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40" tabRatio="599" firstSheet="4" activeTab="4"/>
  </bookViews>
  <sheets>
    <sheet name="Commercial Sizing" sheetId="1" r:id="rId1"/>
    <sheet name="Cash Flow (1)" sheetId="2" r:id="rId2"/>
    <sheet name="Cash Flow (2)" sheetId="3" r:id="rId3"/>
    <sheet name="Refinance Test" sheetId="4" r:id="rId4"/>
    <sheet name="RentRoll" sheetId="5" r:id="rId5"/>
    <sheet name="TI_LC" sheetId="6" r:id="rId6"/>
    <sheet name="Rollover Chart" sheetId="7" r:id="rId7"/>
    <sheet name="Names" sheetId="8" r:id="rId8"/>
    <sheet name="Calculations" sheetId="9" r:id="rId9"/>
    <sheet name="Amortization Schedule" sheetId="10" r:id="rId10"/>
  </sheets>
  <externalReferences>
    <externalReference r:id="rId13"/>
  </externalReferences>
  <definedNames>
    <definedName name="Add_Non_Anchor_Tenant">'RentRoll'!$24:$24</definedName>
    <definedName name="AddAnchor">'RentRoll'!$18:$18</definedName>
    <definedName name="AmScheduleActual360">'Amortization Schedule'!$C$3:$I$303</definedName>
    <definedName name="AnchorRoll">'Calculations'!$H$13:$Z$14</definedName>
    <definedName name="Anchors">'RentRoll'!$A$14:$S$19</definedName>
    <definedName name="Cap">'Commercial Sizing'!$D$13</definedName>
    <definedName name="Constant">'Commercial Sizing'!$L$11</definedName>
    <definedName name="ExpSched">'RentRoll'!$Q$14:$R$28</definedName>
    <definedName name="ExpSchedule">'TI_LC'!$B$32:$N$57</definedName>
    <definedName name="LC">'TI_LC'!$N$24</definedName>
    <definedName name="NCF">'Cash Flow (1)'!$O$49</definedName>
    <definedName name="NOI">'Cash Flow (1)'!$O$44</definedName>
    <definedName name="NonAnchorRoll">'Calculations'!$H$17:$Z$18</definedName>
    <definedName name="NonAnchors">'RentRoll'!$A$22:$S$25</definedName>
    <definedName name="NRSF">'Commercial Sizing'!$D$8</definedName>
    <definedName name="_xlnm.Print_Area" localSheetId="1">'Cash Flow (1)'!$A$1:$U$51</definedName>
    <definedName name="_xlnm.Print_Area" localSheetId="2">'Cash Flow (2)'!$A$1:$U$51</definedName>
    <definedName name="_xlnm.Print_Area" localSheetId="0">'Commercial Sizing'!$A$1:$L$51</definedName>
    <definedName name="_xlnm.Print_Area" localSheetId="3">'Refinance Test'!$A$1:$R$59</definedName>
    <definedName name="_xlnm.Print_Area" localSheetId="5">'TI_LC'!$A$1:$N$59</definedName>
    <definedName name="Projection">'Refinance Test'!$D$11:$R$58</definedName>
    <definedName name="Property">'Commercial Sizing'!$D$6</definedName>
    <definedName name="Rentroll">'RentRoll'!$A$14:$T$28</definedName>
    <definedName name="Rollover">'TI_LC'!$B$33:$G$56</definedName>
    <definedName name="RollYear">'TI_LC'!$C$33:$D$57</definedName>
    <definedName name="TI">'TI_LC'!$K$24</definedName>
    <definedName name="TICalc">'Calculations'!$H$9:$T$10</definedName>
    <definedName name="Year1">'Calculations'!$D$8:$E$9</definedName>
    <definedName name="year10">'Calculations'!$D$35:$E$36</definedName>
    <definedName name="year11">'Calculations'!$D$38:$E$39</definedName>
    <definedName name="year12">'Calculations'!$D$41:$E$42</definedName>
    <definedName name="year13">'Calculations'!$D$44:$E$45</definedName>
    <definedName name="year14">'Calculations'!$D$47:$E$48</definedName>
    <definedName name="year15">'Calculations'!$D$50:$E$51</definedName>
    <definedName name="year16">'Calculations'!$D$53:$E$54</definedName>
    <definedName name="year17">'Calculations'!$D$56:$E$57</definedName>
    <definedName name="year18">'Calculations'!$D$59:$E$60</definedName>
    <definedName name="year19">'Calculations'!$D$62:$E$63</definedName>
    <definedName name="Year2">'Calculations'!$D$11:$E$12</definedName>
    <definedName name="year20">'Calculations'!$D$65:$E$66</definedName>
    <definedName name="Year21">'Calculations'!$D$68:$E$69</definedName>
    <definedName name="Year22">'Calculations'!$D$71:$E$72</definedName>
    <definedName name="year23">'Calculations'!$D$74:$E$75</definedName>
    <definedName name="year24">'Calculations'!$D$77:$E$78</definedName>
    <definedName name="year25">'Calculations'!$D$80:$E$81</definedName>
    <definedName name="Year3">'Calculations'!$D$14:$E$15</definedName>
    <definedName name="Year4">'Calculations'!$D$17:$E$18</definedName>
    <definedName name="Year5">'Calculations'!$D$20:$E$21</definedName>
    <definedName name="Year6">'Calculations'!$D$23:$E$24</definedName>
    <definedName name="Year7">'Calculations'!$D$26:$E$27</definedName>
    <definedName name="year8">'Calculations'!$D$29:$E$30</definedName>
    <definedName name="year9">'Calculations'!$D$32:$E$33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<sst xmlns="http://schemas.openxmlformats.org/spreadsheetml/2006/main" count="738" uniqueCount="381">
  <si>
    <t>COMMERCIAL LOAN SIZING WORKSHEET</t>
  </si>
  <si>
    <t>Office</t>
  </si>
  <si>
    <t>Current Date:</t>
  </si>
  <si>
    <t>Loan #</t>
  </si>
  <si>
    <t>Originator:</t>
  </si>
  <si>
    <t>Originator's Name</t>
  </si>
  <si>
    <t>Version:</t>
  </si>
  <si>
    <t>Co-Broker:</t>
  </si>
  <si>
    <t>If Yes, Name.   Else, None.</t>
  </si>
  <si>
    <t>LOAN INFORMATION</t>
  </si>
  <si>
    <t>RECOMMENDED LOAN</t>
  </si>
  <si>
    <t>Property:</t>
  </si>
  <si>
    <t>Property Name</t>
  </si>
  <si>
    <t>Recommended Loan:</t>
  </si>
  <si>
    <t>Per SF:</t>
  </si>
  <si>
    <t>Type:</t>
  </si>
  <si>
    <t>Property Type</t>
  </si>
  <si>
    <t>Underwriting NOI:</t>
  </si>
  <si>
    <t>NCF:</t>
  </si>
  <si>
    <t>Net Rentable SF:</t>
  </si>
  <si>
    <t>Min DSCR:</t>
  </si>
  <si>
    <t>Max LTV:</t>
  </si>
  <si>
    <t>Location:</t>
  </si>
  <si>
    <t>City, State</t>
  </si>
  <si>
    <t>T-Rate:</t>
  </si>
  <si>
    <t>Date</t>
  </si>
  <si>
    <t>Term:</t>
  </si>
  <si>
    <t>Year Built:</t>
  </si>
  <si>
    <t>Year Built</t>
  </si>
  <si>
    <t>Spread:</t>
  </si>
  <si>
    <t>Am Term:</t>
  </si>
  <si>
    <t>Borrower:</t>
  </si>
  <si>
    <t>Borrower</t>
  </si>
  <si>
    <t>Interest Rate:</t>
  </si>
  <si>
    <t>Constant:</t>
  </si>
  <si>
    <t>Requested Loan Amount:</t>
  </si>
  <si>
    <t>Annual Debt Service:</t>
  </si>
  <si>
    <t>Bal @ Mat:</t>
  </si>
  <si>
    <t>Estimated Cap Rate:</t>
  </si>
  <si>
    <t>Current DSCR:</t>
  </si>
  <si>
    <t xml:space="preserve">LTV: </t>
  </si>
  <si>
    <t>Underwriting Est. Value:</t>
  </si>
  <si>
    <t>3rd Party Appraisal:</t>
  </si>
  <si>
    <t xml:space="preserve"> </t>
  </si>
  <si>
    <t xml:space="preserve"> LTV: </t>
  </si>
  <si>
    <t>Anticipated Closing Date (Rollover Analysis will start here)</t>
  </si>
  <si>
    <t>Max Loan that meets Min DSCR:</t>
  </si>
  <si>
    <t>Max Loan that meets Min DSCR and Max LTV:</t>
  </si>
  <si>
    <t>PRICING MATRIX</t>
  </si>
  <si>
    <t>Spread</t>
  </si>
  <si>
    <t>DSCR</t>
  </si>
  <si>
    <t>Amo</t>
  </si>
  <si>
    <t>SOURCES &amp; USES</t>
  </si>
  <si>
    <t>Sources:</t>
  </si>
  <si>
    <t>Uses:</t>
  </si>
  <si>
    <t>Mortgage Loan Proceeds</t>
  </si>
  <si>
    <t>Payoff Current Loan</t>
  </si>
  <si>
    <t/>
  </si>
  <si>
    <t>Application Deposit</t>
  </si>
  <si>
    <t>Origination Fee</t>
  </si>
  <si>
    <t>Other Source</t>
  </si>
  <si>
    <t>Brokerage Fees</t>
  </si>
  <si>
    <t>Borrower Contribution</t>
  </si>
  <si>
    <t>Underwriting Fee and Expenses</t>
  </si>
  <si>
    <t>Closing Costs</t>
  </si>
  <si>
    <t>Est. Deferred Maintenance/Env Reserve</t>
  </si>
  <si>
    <t>Replacement Reserve</t>
  </si>
  <si>
    <t>Leasing Reserve</t>
  </si>
  <si>
    <t>Cash Withdrawal (if any)</t>
  </si>
  <si>
    <t>Total Sources:</t>
  </si>
  <si>
    <t>Total Uses:</t>
  </si>
  <si>
    <t>NOTES:</t>
  </si>
  <si>
    <t>.</t>
  </si>
  <si>
    <t>COMMMERCIAL PROPERTY CASHFLOW SUMMARY</t>
  </si>
  <si>
    <t>Template Version:</t>
  </si>
  <si>
    <t>UNDERWRITING ASSUMPTIONS</t>
  </si>
  <si>
    <t>Vacancy/Collect Loss (Lower Actual/Mkt, Min 5%)</t>
  </si>
  <si>
    <t>NRSF:</t>
  </si>
  <si>
    <t>Management Fee</t>
  </si>
  <si>
    <t>Replacement Reserves ($ psf)</t>
  </si>
  <si>
    <t>UNDERWRITING</t>
  </si>
  <si>
    <t>Apply</t>
  </si>
  <si>
    <t>UNDERWRITING NOTES</t>
  </si>
  <si>
    <t>ACTUAL</t>
  </si>
  <si>
    <t>CURRENT YEAR</t>
  </si>
  <si>
    <t>Vacancy</t>
  </si>
  <si>
    <t>Total</t>
  </si>
  <si>
    <t>%</t>
  </si>
  <si>
    <t>$/sf</t>
  </si>
  <si>
    <t>Loss?</t>
  </si>
  <si>
    <t>Revenue:</t>
  </si>
  <si>
    <t>Base Rent</t>
  </si>
  <si>
    <t>Percentage Rent</t>
  </si>
  <si>
    <t>CAM &amp; Expense Reimb1</t>
  </si>
  <si>
    <t>CAM &amp; Expense Reimb2</t>
  </si>
  <si>
    <t>CAM &amp; Expense Reimb3</t>
  </si>
  <si>
    <t>Other Income1</t>
  </si>
  <si>
    <t>Other Income2</t>
  </si>
  <si>
    <t>Other Income3</t>
  </si>
  <si>
    <t>Total Potential Income</t>
  </si>
  <si>
    <t>Vacancy/Collection Loss</t>
  </si>
  <si>
    <t>Total Effective Gross Income</t>
  </si>
  <si>
    <t>Expenses:</t>
  </si>
  <si>
    <t>General &amp; Administrative</t>
  </si>
  <si>
    <t xml:space="preserve">Common Area Maintenance </t>
  </si>
  <si>
    <t>Utilities</t>
  </si>
  <si>
    <t>Repairs &amp; Maintenance</t>
  </si>
  <si>
    <t>Miscellaneous1</t>
  </si>
  <si>
    <t>Miscellaneous2</t>
  </si>
  <si>
    <t>Miscellaneous3</t>
  </si>
  <si>
    <t>Miscellaneous4</t>
  </si>
  <si>
    <t>Miscellaneous5</t>
  </si>
  <si>
    <t>Total Operating Expenses</t>
  </si>
  <si>
    <t>Insurance</t>
  </si>
  <si>
    <t>Real Estate Taxes</t>
  </si>
  <si>
    <t>Total Fixed Expenses</t>
  </si>
  <si>
    <t>Total Expenses</t>
  </si>
  <si>
    <t>Net Operating Income</t>
  </si>
  <si>
    <t>Tenant Improvements</t>
  </si>
  <si>
    <t>Leasing Commissions</t>
  </si>
  <si>
    <t>Cash Flow Available for DS</t>
  </si>
  <si>
    <t>Occupancy at Year-End:</t>
  </si>
  <si>
    <t>Note:  This column will be</t>
  </si>
  <si>
    <t>Note:  This column tied to prior Sheet</t>
  </si>
  <si>
    <t>completed by a PMCC Underwriter.</t>
  </si>
  <si>
    <t>Make any changes on prior Sheet</t>
  </si>
  <si>
    <t>This column does not print out</t>
  </si>
  <si>
    <t># months</t>
  </si>
  <si>
    <t>TRAILING 12 MOS ACTUAL</t>
  </si>
  <si>
    <t>ANNUAL BUDGET</t>
  </si>
  <si>
    <t>APPRAISAL</t>
  </si>
  <si>
    <t>ANNUALIZED</t>
  </si>
  <si>
    <t>to</t>
  </si>
  <si>
    <t>NOTES</t>
  </si>
  <si>
    <t>YTD</t>
  </si>
  <si>
    <t>Assumed Growth Rates</t>
  </si>
  <si>
    <t>Refinance Assumptions</t>
  </si>
  <si>
    <t>Refinance Analysis</t>
  </si>
  <si>
    <t>Rental Growth Rate</t>
  </si>
  <si>
    <t>Refinance Coverage</t>
  </si>
  <si>
    <t>Expense Growth Rate</t>
  </si>
  <si>
    <t>Refinance Amortization (Yrs)</t>
  </si>
  <si>
    <t>Supportable Interest Rate</t>
  </si>
  <si>
    <t>Tax Growth Rate</t>
  </si>
  <si>
    <t>Year</t>
  </si>
  <si>
    <t>Debt Service</t>
  </si>
  <si>
    <t>Debt Service Coverage</t>
  </si>
  <si>
    <t>Loan Balance (End of Year)</t>
  </si>
  <si>
    <t>Supportable Debt Service</t>
  </si>
  <si>
    <t>COMMERCIAL PROPERTY RENT ROLL SUMMARY</t>
  </si>
  <si>
    <t>Property</t>
  </si>
  <si>
    <t>Current Occupancy</t>
  </si>
  <si>
    <t>Wtd Avg Rent (psf):</t>
  </si>
  <si>
    <t>% NRSF Leased to Owner/Affiliates</t>
  </si>
  <si>
    <t>Previous Year End Occupancy</t>
  </si>
  <si>
    <t>Wtd Avg Term (mos):</t>
  </si>
  <si>
    <t>% NRSF @ Free Rent</t>
  </si>
  <si>
    <t>Current # of Tenants</t>
  </si>
  <si>
    <t>% NRSF @ NNN Leases</t>
  </si>
  <si>
    <t>Initial</t>
  </si>
  <si>
    <t>Beg.</t>
  </si>
  <si>
    <t>End</t>
  </si>
  <si>
    <t>Renewal</t>
  </si>
  <si>
    <t>Est.</t>
  </si>
  <si>
    <t>$</t>
  </si>
  <si>
    <t>% of</t>
  </si>
  <si>
    <t>New</t>
  </si>
  <si>
    <t>Leased</t>
  </si>
  <si>
    <t>Term</t>
  </si>
  <si>
    <t>Options</t>
  </si>
  <si>
    <t>Current</t>
  </si>
  <si>
    <t>Expense</t>
  </si>
  <si>
    <t>Market</t>
  </si>
  <si>
    <t>Annual</t>
  </si>
  <si>
    <t>Tenants</t>
  </si>
  <si>
    <t>S.F.</t>
  </si>
  <si>
    <t>NRSF</t>
  </si>
  <si>
    <t>(mos.)</t>
  </si>
  <si>
    <t>(mo/yr)</t>
  </si>
  <si>
    <t>(#/terms)</t>
  </si>
  <si>
    <t>Rent/sf</t>
  </si>
  <si>
    <t>Stop/sf</t>
  </si>
  <si>
    <t>Rent</t>
  </si>
  <si>
    <t>TI's</t>
  </si>
  <si>
    <t>Probability</t>
  </si>
  <si>
    <t>Comments</t>
  </si>
  <si>
    <t>Exp Year</t>
  </si>
  <si>
    <t>Exp SF</t>
  </si>
  <si>
    <t>Wtd Term</t>
  </si>
  <si>
    <t>Leased SF</t>
  </si>
  <si>
    <t>NRSF Pct</t>
  </si>
  <si>
    <t>Beg Date</t>
  </si>
  <si>
    <t>End Date</t>
  </si>
  <si>
    <t>Rent psf</t>
  </si>
  <si>
    <t>Stop</t>
  </si>
  <si>
    <t>Mkt psf</t>
  </si>
  <si>
    <t>Annual Rent</t>
  </si>
  <si>
    <t>Rent Pct</t>
  </si>
  <si>
    <t>New TI</t>
  </si>
  <si>
    <t>Renew TI</t>
  </si>
  <si>
    <t>Renew Prob</t>
  </si>
  <si>
    <t>Anchor or Credit Tenants:</t>
  </si>
  <si>
    <t>NONE</t>
  </si>
  <si>
    <t>0 - 0 yrs</t>
  </si>
  <si>
    <t>Add Anchor</t>
  </si>
  <si>
    <t>Total Anchor/Credit:</t>
  </si>
  <si>
    <t>Non-Anchor/Non-Credit:</t>
  </si>
  <si>
    <t>Add Non-Anchor Tenant</t>
  </si>
  <si>
    <t>Total NonAnchor/Credit:</t>
  </si>
  <si>
    <t>Total Leased</t>
  </si>
  <si>
    <t>Current Vacancy</t>
  </si>
  <si>
    <t>Total Leased &amp; Vacant</t>
  </si>
  <si>
    <t>Est.Tenant Improvements per sf for New Tenants:</t>
  </si>
  <si>
    <t>Estimated Leasing Commissions per s.f. for New Tenants:</t>
  </si>
  <si>
    <t>Est. Tenant Improvements per sf for Renewal Tenants:</t>
  </si>
  <si>
    <t>Estimated Leasing Commissions per s.f. for Renewal Tenants:</t>
  </si>
  <si>
    <t>TENANT IMPROVEMENT &amp; COMMISSION SCHEDULE</t>
  </si>
  <si>
    <t>Analysis Period</t>
  </si>
  <si>
    <t>Market Leasing Assumptions</t>
  </si>
  <si>
    <t>Month/Year in which to begin Analysis (from Sizing Sheet)</t>
  </si>
  <si>
    <t>Market Leasing Rate (annual $/sf)</t>
  </si>
  <si>
    <t>Term over which to Calculate Rollover Costs</t>
  </si>
  <si>
    <t>Average Leasing Term (years)</t>
  </si>
  <si>
    <t>Tenant Improvement Assumptions</t>
  </si>
  <si>
    <t>Rollover Assumptions</t>
  </si>
  <si>
    <t>Tenant Improvements New Tenants</t>
  </si>
  <si>
    <t>Anchor Sq.Ft. (rolling during term)</t>
  </si>
  <si>
    <t>Tenant Improvements Renewal Tenants</t>
  </si>
  <si>
    <t>Anchor Renewal Probability</t>
  </si>
  <si>
    <t>Non-Anchor Sq.Ft. (rolling during term)</t>
  </si>
  <si>
    <t>Leasing Commisions Assumptions</t>
  </si>
  <si>
    <t>Non-Anchor Renewal Probability</t>
  </si>
  <si>
    <t>Commissions New Tenants</t>
  </si>
  <si>
    <t>Weighted Average Renewal Probability</t>
  </si>
  <si>
    <t>Commissions Renewal Tenants</t>
  </si>
  <si>
    <t>Leases</t>
  </si>
  <si>
    <t>Exp. Leases</t>
  </si>
  <si>
    <t xml:space="preserve">Total </t>
  </si>
  <si>
    <t>Expiring</t>
  </si>
  <si>
    <t>as %</t>
  </si>
  <si>
    <t>Rollover</t>
  </si>
  <si>
    <t>Rollover as</t>
  </si>
  <si>
    <t>Tenant</t>
  </si>
  <si>
    <t>Expected</t>
  </si>
  <si>
    <t>Sq.Ft.</t>
  </si>
  <si>
    <t>of GLA</t>
  </si>
  <si>
    <t>% of NRSF</t>
  </si>
  <si>
    <t>LC's</t>
  </si>
  <si>
    <t>Totals over Term</t>
  </si>
  <si>
    <t>Average per Year</t>
  </si>
  <si>
    <t>Highest Year</t>
  </si>
  <si>
    <t>Please review for accuracy, as changes you make to spreadsheet may inadvertently impact these results.</t>
  </si>
  <si>
    <t>Expiration Schedule</t>
  </si>
  <si>
    <t>Beg</t>
  </si>
  <si>
    <t>Yr</t>
  </si>
  <si>
    <t>Exp Pct</t>
  </si>
  <si>
    <t>Total SF</t>
  </si>
  <si>
    <t>Roll Pct</t>
  </si>
  <si>
    <t>Expect TI</t>
  </si>
  <si>
    <t>New LC</t>
  </si>
  <si>
    <t>Renew LC</t>
  </si>
  <si>
    <t>Expect LC</t>
  </si>
  <si>
    <t>Annual Averages:</t>
  </si>
  <si>
    <t>Totals:</t>
  </si>
  <si>
    <t>AmScheduleActual360</t>
  </si>
  <si>
    <t>='Amortization Schedule'!$C$3:$I$303</t>
  </si>
  <si>
    <t>AnchorRoll</t>
  </si>
  <si>
    <t>=Calculations!$H$13:$Z$14</t>
  </si>
  <si>
    <t>Anchors</t>
  </si>
  <si>
    <t>=RentRoll!$A$14:$S$22</t>
  </si>
  <si>
    <t>Cap</t>
  </si>
  <si>
    <t>='Commercial Sizing'!$D$13</t>
  </si>
  <si>
    <t>Constant</t>
  </si>
  <si>
    <t>='Commercial Sizing'!$L$11</t>
  </si>
  <si>
    <t>ExpSched</t>
  </si>
  <si>
    <t>=RentRoll!$Q$14:$R$55</t>
  </si>
  <si>
    <t>ExpSchedule</t>
  </si>
  <si>
    <t>=TI_LC!$B$32:$N$57</t>
  </si>
  <si>
    <t>LC</t>
  </si>
  <si>
    <t>=TI_LC!$N$24</t>
  </si>
  <si>
    <t>NCF</t>
  </si>
  <si>
    <t>='Cash Flow (1)'!$O$49</t>
  </si>
  <si>
    <t>NOI</t>
  </si>
  <si>
    <t>='Cash Flow (1)'!$O$44</t>
  </si>
  <si>
    <t>NonAnchorRoll</t>
  </si>
  <si>
    <t>=Calculations!$H$17:$Z$18</t>
  </si>
  <si>
    <t>NonAnchors</t>
  </si>
  <si>
    <t>=RentRoll!$A$25:$S$52</t>
  </si>
  <si>
    <t>='Commercial Sizing'!$D$8</t>
  </si>
  <si>
    <t>Projection</t>
  </si>
  <si>
    <t>='Refinance Test'!$D$11:$R$58</t>
  </si>
  <si>
    <t>='Commercial Sizing'!$D$6</t>
  </si>
  <si>
    <t>Rentroll</t>
  </si>
  <si>
    <t>=RentRoll!$A$14:$T$55</t>
  </si>
  <si>
    <t>=TI_LC!$B$33:$G$56</t>
  </si>
  <si>
    <t>RollYear</t>
  </si>
  <si>
    <t>=TI_LC!$C$33:$D$57</t>
  </si>
  <si>
    <t>TI</t>
  </si>
  <si>
    <t>=TI_LC!$K$24</t>
  </si>
  <si>
    <t>TICalc</t>
  </si>
  <si>
    <t>=Calculations!$H$9:$T$10</t>
  </si>
  <si>
    <t>Year1</t>
  </si>
  <si>
    <t>=Calculations!$D$8:$E$9</t>
  </si>
  <si>
    <t>year10</t>
  </si>
  <si>
    <t>=Calculations!$D$35:$E$36</t>
  </si>
  <si>
    <t>year11</t>
  </si>
  <si>
    <t>=Calculations!$D$38:$E$39</t>
  </si>
  <si>
    <t>year12</t>
  </si>
  <si>
    <t>=Calculations!$D$41:$E$42</t>
  </si>
  <si>
    <t>year13</t>
  </si>
  <si>
    <t>=Calculations!$D$44:$E$45</t>
  </si>
  <si>
    <t>year14</t>
  </si>
  <si>
    <t>=Calculations!$D$47:$E$48</t>
  </si>
  <si>
    <t>year15</t>
  </si>
  <si>
    <t>=Calculations!$D$50:$E$51</t>
  </si>
  <si>
    <t>year16</t>
  </si>
  <si>
    <t>=Calculations!$D$53:$E$54</t>
  </si>
  <si>
    <t>year17</t>
  </si>
  <si>
    <t>=Calculations!$D$56:$E$57</t>
  </si>
  <si>
    <t>year18</t>
  </si>
  <si>
    <t>=Calculations!$D$59:$E$60</t>
  </si>
  <si>
    <t>year19</t>
  </si>
  <si>
    <t>=Calculations!$D$62:$E$63</t>
  </si>
  <si>
    <t>Year2</t>
  </si>
  <si>
    <t>=Calculations!$D$11:$E$12</t>
  </si>
  <si>
    <t>year20</t>
  </si>
  <si>
    <t>=Calculations!$D$65:$E$66</t>
  </si>
  <si>
    <t>Year21</t>
  </si>
  <si>
    <t>=Calculations!$D$68:$E$69</t>
  </si>
  <si>
    <t>Year22</t>
  </si>
  <si>
    <t>=Calculations!$D$71:$E$72</t>
  </si>
  <si>
    <t>year23</t>
  </si>
  <si>
    <t>=Calculations!$D$74:$E$75</t>
  </si>
  <si>
    <t>year24</t>
  </si>
  <si>
    <t>=Calculations!$D$77:$E$78</t>
  </si>
  <si>
    <t>year25</t>
  </si>
  <si>
    <t>=Calculations!$D$80:$E$81</t>
  </si>
  <si>
    <t>Year3</t>
  </si>
  <si>
    <t>=Calculations!$D$14:$E$15</t>
  </si>
  <si>
    <t>Year4</t>
  </si>
  <si>
    <t>=Calculations!$D$17:$E$18</t>
  </si>
  <si>
    <t>Year5</t>
  </si>
  <si>
    <t>=Calculations!$D$20:$E$21</t>
  </si>
  <si>
    <t>Year6</t>
  </si>
  <si>
    <t>=Calculations!$D$23:$E$24</t>
  </si>
  <si>
    <t>Year7</t>
  </si>
  <si>
    <t>=Calculations!$D$26:$E$27</t>
  </si>
  <si>
    <t>year8</t>
  </si>
  <si>
    <t>=Calculations!$D$29:$E$30</t>
  </si>
  <si>
    <t>year9</t>
  </si>
  <si>
    <t>=Calculations!$D$32:$E$33</t>
  </si>
  <si>
    <t>Calculations Page</t>
  </si>
  <si>
    <t>Note:</t>
  </si>
  <si>
    <t>This page specifies criteria to be used when searching for information from the</t>
  </si>
  <si>
    <t>Expiration Schedule and the Rent Roll in order to calculate total expirations per year</t>
  </si>
  <si>
    <t>and the associated TI and LC cost.</t>
  </si>
  <si>
    <t>Calculation of Expiration Schedule per Rent Roll</t>
  </si>
  <si>
    <t>Average TI and LC Calculator</t>
  </si>
  <si>
    <t>SF Expiring</t>
  </si>
  <si>
    <t xml:space="preserve">Search Criteria  </t>
  </si>
  <si>
    <t>years</t>
  </si>
  <si>
    <t>Field</t>
  </si>
  <si>
    <t>Criteria 1</t>
  </si>
  <si>
    <t>Criteria</t>
  </si>
  <si>
    <t>Expiration of Anchor Tenants</t>
  </si>
  <si>
    <t>Tis</t>
  </si>
  <si>
    <t>Expiration of Non-Anchor Tenants</t>
  </si>
  <si>
    <t>Act/360</t>
  </si>
  <si>
    <t>30/360</t>
  </si>
  <si>
    <t>Period</t>
  </si>
  <si>
    <t>Days in Month</t>
  </si>
  <si>
    <t>Payment</t>
  </si>
  <si>
    <t>Interest</t>
  </si>
  <si>
    <t>Principal</t>
  </si>
  <si>
    <t>Balance</t>
  </si>
  <si>
    <t xml:space="preserve">Term </t>
  </si>
  <si>
    <t>Outst. Bal.</t>
  </si>
  <si>
    <t>Advisor:</t>
  </si>
  <si>
    <t>Loan No.</t>
  </si>
  <si>
    <t xml:space="preserve">Reimbursement / </t>
  </si>
  <si>
    <r>
      <t>Note</t>
    </r>
    <r>
      <rPr>
        <sz val="10"/>
        <rFont val="Times New Roman"/>
        <family val="1"/>
      </rPr>
      <t>: In comment section, describe any termination claues, expansion options, rent/expense escalators, etc.  Remember, ALWAYS read the lease!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</si>
</sst>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0.00_)"/>
    <numFmt numFmtId="171" formatCode="0_)"/>
    <numFmt numFmtId="172" formatCode="#,##0.00;[Red]#,##0.00"/>
    <numFmt numFmtId="173" formatCode="#,##0.0;[Red]#,##0.0"/>
    <numFmt numFmtId="174" formatCode="#,##0;[Red]#,##0"/>
    <numFmt numFmtId="175" formatCode="&quot;$&quot;#,##0;[Red]&quot;$&quot;#,##0"/>
    <numFmt numFmtId="176" formatCode="#,##0.0_);[Red]\(#,##0.0\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0.000%"/>
    <numFmt numFmtId="180" formatCode="&quot;$&quot;#,##0.0_);[Red]\(&quot;$&quot;#,##0.0\)"/>
    <numFmt numFmtId="181" formatCode="00000"/>
    <numFmt numFmtId="182" formatCode="dd\-mmm\-yy"/>
    <numFmt numFmtId="183" formatCode="_(* #,##0.000_);_(* \(#,##0.000\);_(* &quot;-&quot;??_);_(@_)"/>
    <numFmt numFmtId="184" formatCode="_(* #,##0.0000_);_(* \(#,##0.0000\);_(* &quot;-&quot;??_);_(@_)"/>
    <numFmt numFmtId="185" formatCode="0.000"/>
    <numFmt numFmtId="186" formatCode="mmmm\-yy"/>
  </numFmts>
  <fonts count="2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0"/>
    </font>
    <font>
      <sz val="10"/>
      <color indexed="9"/>
      <name val="Times New Roman"/>
      <family val="1"/>
    </font>
    <font>
      <sz val="6"/>
      <name val="Times New Roman"/>
      <family val="1"/>
    </font>
    <font>
      <sz val="10"/>
      <color indexed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name val="Times New Roman"/>
      <family val="0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2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5" fontId="0" fillId="0" borderId="13" xfId="0" applyNumberFormat="1" applyFont="1" applyBorder="1" applyAlignment="1" applyProtection="1">
      <alignment/>
      <protection/>
    </xf>
    <xf numFmtId="166" fontId="0" fillId="0" borderId="19" xfId="0" applyNumberFormat="1" applyFont="1" applyBorder="1" applyAlignment="1">
      <alignment/>
    </xf>
    <xf numFmtId="7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6" fontId="0" fillId="0" borderId="18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37" fontId="0" fillId="0" borderId="20" xfId="0" applyNumberFormat="1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166" fontId="7" fillId="0" borderId="11" xfId="0" applyNumberFormat="1" applyFont="1" applyBorder="1" applyAlignment="1" applyProtection="1">
      <alignment/>
      <protection/>
    </xf>
    <xf numFmtId="7" fontId="7" fillId="0" borderId="19" xfId="0" applyNumberFormat="1" applyFont="1" applyBorder="1" applyAlignment="1" applyProtection="1">
      <alignment/>
      <protection/>
    </xf>
    <xf numFmtId="166" fontId="7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7" fontId="0" fillId="0" borderId="11" xfId="0" applyNumberFormat="1" applyFont="1" applyBorder="1" applyAlignment="1" applyProtection="1">
      <alignment/>
      <protection/>
    </xf>
    <xf numFmtId="7" fontId="0" fillId="0" borderId="19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37" fontId="0" fillId="0" borderId="18" xfId="0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7" fontId="0" fillId="0" borderId="18" xfId="0" applyNumberFormat="1" applyFont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0" fontId="3" fillId="0" borderId="13" xfId="0" applyFont="1" applyBorder="1" applyAlignment="1">
      <alignment horizontal="left"/>
    </xf>
    <xf numFmtId="166" fontId="0" fillId="0" borderId="19" xfId="0" applyNumberFormat="1" applyFont="1" applyBorder="1" applyAlignment="1" applyProtection="1">
      <alignment/>
      <protection/>
    </xf>
    <xf numFmtId="166" fontId="0" fillId="0" borderId="21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7" fontId="0" fillId="0" borderId="21" xfId="0" applyNumberFormat="1" applyFont="1" applyBorder="1" applyAlignment="1" applyProtection="1">
      <alignment/>
      <protection/>
    </xf>
    <xf numFmtId="7" fontId="0" fillId="0" borderId="15" xfId="0" applyNumberFormat="1" applyFont="1" applyBorder="1" applyAlignment="1" applyProtection="1">
      <alignment/>
      <protection/>
    </xf>
    <xf numFmtId="166" fontId="0" fillId="0" borderId="15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/>
    </xf>
    <xf numFmtId="166" fontId="7" fillId="0" borderId="0" xfId="19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37" fontId="14" fillId="0" borderId="0" xfId="0" applyNumberFormat="1" applyFont="1" applyBorder="1" applyAlignment="1" applyProtection="1">
      <alignment horizontal="left"/>
      <protection/>
    </xf>
    <xf numFmtId="37" fontId="0" fillId="0" borderId="26" xfId="0" applyNumberFormat="1" applyFont="1" applyBorder="1" applyAlignment="1" applyProtection="1">
      <alignment/>
      <protection/>
    </xf>
    <xf numFmtId="166" fontId="0" fillId="0" borderId="27" xfId="0" applyNumberFormat="1" applyFont="1" applyBorder="1" applyAlignment="1">
      <alignment/>
    </xf>
    <xf numFmtId="5" fontId="0" fillId="0" borderId="28" xfId="0" applyNumberFormat="1" applyFont="1" applyBorder="1" applyAlignment="1" applyProtection="1">
      <alignment/>
      <protection/>
    </xf>
    <xf numFmtId="5" fontId="14" fillId="0" borderId="13" xfId="0" applyNumberFormat="1" applyFont="1" applyBorder="1" applyAlignment="1" applyProtection="1">
      <alignment/>
      <protection/>
    </xf>
    <xf numFmtId="6" fontId="14" fillId="3" borderId="13" xfId="17" applyNumberFormat="1" applyFont="1" applyFill="1" applyBorder="1" applyAlignment="1" applyProtection="1">
      <alignment/>
      <protection/>
    </xf>
    <xf numFmtId="6" fontId="14" fillId="0" borderId="10" xfId="17" applyNumberFormat="1" applyFont="1" applyBorder="1" applyAlignment="1" applyProtection="1">
      <alignment horizontal="right"/>
      <protection/>
    </xf>
    <xf numFmtId="6" fontId="14" fillId="0" borderId="13" xfId="17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165" fontId="14" fillId="0" borderId="0" xfId="15" applyNumberFormat="1" applyFont="1" applyBorder="1" applyAlignment="1">
      <alignment/>
    </xf>
    <xf numFmtId="10" fontId="14" fillId="0" borderId="11" xfId="0" applyNumberFormat="1" applyFont="1" applyBorder="1" applyAlignment="1" applyProtection="1">
      <alignment/>
      <protection/>
    </xf>
    <xf numFmtId="37" fontId="14" fillId="0" borderId="18" xfId="0" applyNumberFormat="1" applyFont="1" applyBorder="1" applyAlignment="1" applyProtection="1">
      <alignment/>
      <protection/>
    </xf>
    <xf numFmtId="37" fontId="14" fillId="0" borderId="19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165" fontId="14" fillId="0" borderId="11" xfId="15" applyNumberFormat="1" applyFont="1" applyBorder="1" applyAlignment="1" applyProtection="1">
      <alignment horizontal="right"/>
      <protection/>
    </xf>
    <xf numFmtId="5" fontId="0" fillId="0" borderId="0" xfId="0" applyNumberFormat="1" applyAlignment="1">
      <alignment/>
    </xf>
    <xf numFmtId="5" fontId="0" fillId="0" borderId="0" xfId="0" applyNumberFormat="1" applyFont="1" applyAlignment="1">
      <alignment/>
    </xf>
    <xf numFmtId="5" fontId="9" fillId="3" borderId="16" xfId="0" applyNumberFormat="1" applyFont="1" applyFill="1" applyBorder="1" applyAlignment="1" applyProtection="1">
      <alignment/>
      <protection/>
    </xf>
    <xf numFmtId="166" fontId="9" fillId="3" borderId="15" xfId="0" applyNumberFormat="1" applyFont="1" applyFill="1" applyBorder="1" applyAlignment="1" applyProtection="1">
      <alignment/>
      <protection/>
    </xf>
    <xf numFmtId="7" fontId="9" fillId="3" borderId="17" xfId="0" applyNumberFormat="1" applyFont="1" applyFill="1" applyBorder="1" applyAlignment="1">
      <alignment/>
    </xf>
    <xf numFmtId="7" fontId="9" fillId="3" borderId="0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166" fontId="9" fillId="3" borderId="19" xfId="0" applyNumberFormat="1" applyFont="1" applyFill="1" applyBorder="1" applyAlignment="1" applyProtection="1">
      <alignment/>
      <protection/>
    </xf>
    <xf numFmtId="166" fontId="9" fillId="3" borderId="15" xfId="0" applyNumberFormat="1" applyFont="1" applyFill="1" applyBorder="1" applyAlignment="1">
      <alignment/>
    </xf>
    <xf numFmtId="7" fontId="9" fillId="3" borderId="29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17" fontId="0" fillId="0" borderId="19" xfId="0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6" fontId="5" fillId="0" borderId="0" xfId="0" applyNumberFormat="1" applyFont="1" applyBorder="1" applyAlignment="1" applyProtection="1">
      <alignment/>
      <protection/>
    </xf>
    <xf numFmtId="10" fontId="0" fillId="0" borderId="1" xfId="19" applyNumberFormat="1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17" fontId="0" fillId="0" borderId="18" xfId="0" applyNumberFormat="1" applyFont="1" applyBorder="1" applyAlignment="1">
      <alignment/>
    </xf>
    <xf numFmtId="17" fontId="0" fillId="0" borderId="1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5" fontId="0" fillId="0" borderId="32" xfId="15" applyNumberFormat="1" applyBorder="1" applyAlignment="1">
      <alignment/>
    </xf>
    <xf numFmtId="165" fontId="0" fillId="0" borderId="30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3" fontId="0" fillId="0" borderId="0" xfId="15" applyFont="1" applyAlignment="1">
      <alignment/>
    </xf>
    <xf numFmtId="43" fontId="0" fillId="0" borderId="29" xfId="15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29" xfId="0" applyFont="1" applyBorder="1" applyAlignment="1">
      <alignment horizontal="center"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33" xfId="0" applyFont="1" applyBorder="1" applyAlignment="1">
      <alignment/>
    </xf>
    <xf numFmtId="166" fontId="0" fillId="0" borderId="34" xfId="0" applyNumberFormat="1" applyFont="1" applyBorder="1" applyAlignment="1" applyProtection="1">
      <alignment/>
      <protection/>
    </xf>
    <xf numFmtId="7" fontId="0" fillId="0" borderId="35" xfId="0" applyNumberFormat="1" applyFont="1" applyBorder="1" applyAlignment="1" applyProtection="1">
      <alignment/>
      <protection/>
    </xf>
    <xf numFmtId="166" fontId="0" fillId="0" borderId="35" xfId="0" applyNumberFormat="1" applyFont="1" applyBorder="1" applyAlignment="1" applyProtection="1">
      <alignment/>
      <protection/>
    </xf>
    <xf numFmtId="166" fontId="14" fillId="0" borderId="11" xfId="0" applyNumberFormat="1" applyFont="1" applyBorder="1" applyAlignment="1" applyProtection="1">
      <alignment/>
      <protection/>
    </xf>
    <xf numFmtId="171" fontId="14" fillId="0" borderId="11" xfId="0" applyNumberFormat="1" applyFont="1" applyBorder="1" applyAlignment="1" applyProtection="1">
      <alignment/>
      <protection/>
    </xf>
    <xf numFmtId="7" fontId="14" fillId="0" borderId="0" xfId="17" applyNumberFormat="1" applyFont="1" applyAlignment="1">
      <alignment/>
    </xf>
    <xf numFmtId="0" fontId="1" fillId="0" borderId="29" xfId="0" applyFont="1" applyBorder="1" applyAlignment="1">
      <alignment horizontal="center"/>
    </xf>
    <xf numFmtId="43" fontId="1" fillId="0" borderId="29" xfId="15" applyFont="1" applyBorder="1" applyAlignment="1">
      <alignment/>
    </xf>
    <xf numFmtId="0" fontId="13" fillId="0" borderId="9" xfId="0" applyFont="1" applyBorder="1" applyAlignment="1" quotePrefix="1">
      <alignment horizontal="center"/>
    </xf>
    <xf numFmtId="0" fontId="1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0" fillId="0" borderId="11" xfId="19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43" fontId="0" fillId="0" borderId="0" xfId="15" applyFont="1" applyBorder="1" applyAlignment="1">
      <alignment/>
    </xf>
    <xf numFmtId="179" fontId="0" fillId="0" borderId="0" xfId="19" applyNumberFormat="1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82" fontId="0" fillId="0" borderId="0" xfId="0" applyNumberFormat="1" applyFont="1" applyAlignment="1">
      <alignment/>
    </xf>
    <xf numFmtId="17" fontId="0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6" fontId="14" fillId="0" borderId="10" xfId="17" applyNumberFormat="1" applyFont="1" applyBorder="1" applyAlignment="1" applyProtection="1">
      <alignment/>
      <protection/>
    </xf>
    <xf numFmtId="6" fontId="13" fillId="3" borderId="28" xfId="17" applyNumberFormat="1" applyFont="1" applyFill="1" applyBorder="1" applyAlignment="1" applyProtection="1">
      <alignment horizontal="right"/>
      <protection/>
    </xf>
    <xf numFmtId="0" fontId="14" fillId="0" borderId="13" xfId="0" applyFont="1" applyBorder="1" applyAlignment="1">
      <alignment/>
    </xf>
    <xf numFmtId="6" fontId="14" fillId="0" borderId="28" xfId="17" applyNumberFormat="1" applyFont="1" applyBorder="1" applyAlignment="1" applyProtection="1">
      <alignment/>
      <protection/>
    </xf>
    <xf numFmtId="5" fontId="13" fillId="3" borderId="16" xfId="0" applyNumberFormat="1" applyFont="1" applyFill="1" applyBorder="1" applyAlignment="1" applyProtection="1">
      <alignment/>
      <protection/>
    </xf>
    <xf numFmtId="37" fontId="14" fillId="0" borderId="26" xfId="0" applyNumberFormat="1" applyFont="1" applyBorder="1" applyAlignment="1" applyProtection="1">
      <alignment/>
      <protection/>
    </xf>
    <xf numFmtId="5" fontId="13" fillId="3" borderId="29" xfId="0" applyNumberFormat="1" applyFont="1" applyFill="1" applyBorder="1" applyAlignment="1" applyProtection="1">
      <alignment/>
      <protection/>
    </xf>
    <xf numFmtId="7" fontId="7" fillId="0" borderId="14" xfId="0" applyNumberFormat="1" applyFont="1" applyBorder="1" applyAlignment="1">
      <alignment/>
    </xf>
    <xf numFmtId="43" fontId="14" fillId="0" borderId="0" xfId="15" applyNumberFormat="1" applyFont="1" applyAlignment="1">
      <alignment/>
    </xf>
    <xf numFmtId="0" fontId="0" fillId="0" borderId="0" xfId="0" applyAlignment="1">
      <alignment horizontal="center"/>
    </xf>
    <xf numFmtId="10" fontId="0" fillId="0" borderId="25" xfId="19" applyNumberFormat="1" applyFont="1" applyBorder="1" applyAlignment="1">
      <alignment/>
    </xf>
    <xf numFmtId="168" fontId="1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6" fontId="0" fillId="0" borderId="26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23" xfId="0" applyNumberFormat="1" applyBorder="1" applyAlignment="1">
      <alignment/>
    </xf>
    <xf numFmtId="6" fontId="1" fillId="0" borderId="26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23" xfId="0" applyNumberFormat="1" applyFont="1" applyBorder="1" applyAlignment="1">
      <alignment/>
    </xf>
    <xf numFmtId="6" fontId="7" fillId="0" borderId="26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6" fontId="7" fillId="0" borderId="23" xfId="0" applyNumberFormat="1" applyFont="1" applyBorder="1" applyAlignment="1">
      <alignment/>
    </xf>
    <xf numFmtId="6" fontId="9" fillId="0" borderId="26" xfId="0" applyNumberFormat="1" applyFont="1" applyBorder="1" applyAlignment="1">
      <alignment/>
    </xf>
    <xf numFmtId="6" fontId="0" fillId="0" borderId="30" xfId="0" applyNumberFormat="1" applyBorder="1" applyAlignment="1">
      <alignment/>
    </xf>
    <xf numFmtId="6" fontId="1" fillId="0" borderId="30" xfId="0" applyNumberFormat="1" applyFont="1" applyBorder="1" applyAlignment="1">
      <alignment/>
    </xf>
    <xf numFmtId="6" fontId="7" fillId="0" borderId="30" xfId="0" applyNumberFormat="1" applyFont="1" applyBorder="1" applyAlignment="1">
      <alignment/>
    </xf>
    <xf numFmtId="6" fontId="9" fillId="0" borderId="3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6" fontId="0" fillId="0" borderId="24" xfId="0" applyNumberFormat="1" applyBorder="1" applyAlignment="1">
      <alignment/>
    </xf>
    <xf numFmtId="6" fontId="0" fillId="0" borderId="31" xfId="0" applyNumberFormat="1" applyBorder="1" applyAlignment="1">
      <alignment/>
    </xf>
    <xf numFmtId="6" fontId="0" fillId="0" borderId="1" xfId="0" applyNumberFormat="1" applyBorder="1" applyAlignment="1">
      <alignment/>
    </xf>
    <xf numFmtId="6" fontId="0" fillId="0" borderId="25" xfId="0" applyNumberFormat="1" applyBorder="1" applyAlignment="1">
      <alignment/>
    </xf>
    <xf numFmtId="6" fontId="1" fillId="0" borderId="4" xfId="0" applyNumberFormat="1" applyFont="1" applyBorder="1" applyAlignment="1">
      <alignment/>
    </xf>
    <xf numFmtId="6" fontId="1" fillId="0" borderId="29" xfId="0" applyNumberFormat="1" applyFont="1" applyBorder="1" applyAlignment="1">
      <alignment/>
    </xf>
    <xf numFmtId="6" fontId="1" fillId="0" borderId="5" xfId="0" applyNumberFormat="1" applyFont="1" applyBorder="1" applyAlignment="1">
      <alignment/>
    </xf>
    <xf numFmtId="6" fontId="1" fillId="0" borderId="6" xfId="0" applyNumberFormat="1" applyFont="1" applyBorder="1" applyAlignment="1">
      <alignment/>
    </xf>
    <xf numFmtId="6" fontId="1" fillId="0" borderId="2" xfId="0" applyNumberFormat="1" applyFont="1" applyBorder="1" applyAlignment="1">
      <alignment/>
    </xf>
    <xf numFmtId="6" fontId="1" fillId="0" borderId="32" xfId="0" applyNumberFormat="1" applyFont="1" applyBorder="1" applyAlignment="1">
      <alignment/>
    </xf>
    <xf numFmtId="6" fontId="1" fillId="0" borderId="22" xfId="0" applyNumberFormat="1" applyFont="1" applyBorder="1" applyAlignment="1">
      <alignment/>
    </xf>
    <xf numFmtId="6" fontId="1" fillId="0" borderId="3" xfId="0" applyNumberFormat="1" applyFont="1" applyBorder="1" applyAlignment="1">
      <alignment/>
    </xf>
    <xf numFmtId="6" fontId="7" fillId="0" borderId="24" xfId="0" applyNumberFormat="1" applyFont="1" applyBorder="1" applyAlignment="1">
      <alignment/>
    </xf>
    <xf numFmtId="6" fontId="7" fillId="0" borderId="31" xfId="0" applyNumberFormat="1" applyFont="1" applyBorder="1" applyAlignment="1">
      <alignment/>
    </xf>
    <xf numFmtId="6" fontId="7" fillId="0" borderId="1" xfId="0" applyNumberFormat="1" applyFont="1" applyBorder="1" applyAlignment="1">
      <alignment/>
    </xf>
    <xf numFmtId="6" fontId="7" fillId="0" borderId="25" xfId="0" applyNumberFormat="1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6" xfId="15" applyFont="1" applyBorder="1" applyAlignment="1">
      <alignment/>
    </xf>
    <xf numFmtId="10" fontId="0" fillId="0" borderId="24" xfId="19" applyNumberFormat="1" applyFont="1" applyBorder="1" applyAlignment="1">
      <alignment/>
    </xf>
    <xf numFmtId="5" fontId="0" fillId="0" borderId="2" xfId="0" applyNumberFormat="1" applyBorder="1" applyAlignment="1">
      <alignment/>
    </xf>
    <xf numFmtId="5" fontId="0" fillId="0" borderId="26" xfId="0" applyNumberFormat="1" applyBorder="1" applyAlignment="1">
      <alignment/>
    </xf>
    <xf numFmtId="0" fontId="1" fillId="0" borderId="23" xfId="0" applyFont="1" applyBorder="1" applyAlignment="1">
      <alignment/>
    </xf>
    <xf numFmtId="0" fontId="0" fillId="4" borderId="7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6" fontId="14" fillId="4" borderId="13" xfId="17" applyNumberFormat="1" applyFont="1" applyFill="1" applyBorder="1" applyAlignment="1" applyProtection="1">
      <alignment/>
      <protection/>
    </xf>
    <xf numFmtId="166" fontId="0" fillId="4" borderId="18" xfId="0" applyNumberFormat="1" applyFont="1" applyFill="1" applyBorder="1" applyAlignment="1">
      <alignment/>
    </xf>
    <xf numFmtId="7" fontId="0" fillId="4" borderId="14" xfId="0" applyNumberFormat="1" applyFont="1" applyFill="1" applyBorder="1" applyAlignment="1">
      <alignment/>
    </xf>
    <xf numFmtId="166" fontId="0" fillId="4" borderId="19" xfId="0" applyNumberFormat="1" applyFont="1" applyFill="1" applyBorder="1" applyAlignment="1">
      <alignment/>
    </xf>
    <xf numFmtId="7" fontId="0" fillId="4" borderId="12" xfId="0" applyNumberFormat="1" applyFont="1" applyFill="1" applyBorder="1" applyAlignment="1">
      <alignment/>
    </xf>
    <xf numFmtId="5" fontId="14" fillId="4" borderId="13" xfId="0" applyNumberFormat="1" applyFont="1" applyFill="1" applyBorder="1" applyAlignment="1" applyProtection="1">
      <alignment/>
      <protection/>
    </xf>
    <xf numFmtId="6" fontId="14" fillId="4" borderId="10" xfId="17" applyNumberFormat="1" applyFont="1" applyFill="1" applyBorder="1" applyAlignment="1" applyProtection="1">
      <alignment horizontal="right"/>
      <protection/>
    </xf>
    <xf numFmtId="166" fontId="14" fillId="4" borderId="19" xfId="0" applyNumberFormat="1" applyFont="1" applyFill="1" applyBorder="1" applyAlignment="1">
      <alignment/>
    </xf>
    <xf numFmtId="166" fontId="9" fillId="4" borderId="15" xfId="0" applyNumberFormat="1" applyFont="1" applyFill="1" applyBorder="1" applyAlignment="1">
      <alignment/>
    </xf>
    <xf numFmtId="2" fontId="0" fillId="4" borderId="14" xfId="0" applyNumberFormat="1" applyFont="1" applyFill="1" applyBorder="1" applyAlignment="1">
      <alignment/>
    </xf>
    <xf numFmtId="166" fontId="14" fillId="4" borderId="18" xfId="0" applyNumberFormat="1" applyFont="1" applyFill="1" applyBorder="1" applyAlignment="1" applyProtection="1">
      <alignment/>
      <protection/>
    </xf>
    <xf numFmtId="7" fontId="0" fillId="4" borderId="14" xfId="0" applyNumberFormat="1" applyFont="1" applyFill="1" applyBorder="1" applyAlignment="1">
      <alignment/>
    </xf>
    <xf numFmtId="166" fontId="0" fillId="4" borderId="18" xfId="0" applyNumberFormat="1" applyFont="1" applyFill="1" applyBorder="1" applyAlignment="1" applyProtection="1">
      <alignment/>
      <protection/>
    </xf>
    <xf numFmtId="5" fontId="9" fillId="4" borderId="16" xfId="0" applyNumberFormat="1" applyFont="1" applyFill="1" applyBorder="1" applyAlignment="1" applyProtection="1">
      <alignment/>
      <protection/>
    </xf>
    <xf numFmtId="166" fontId="9" fillId="4" borderId="15" xfId="0" applyNumberFormat="1" applyFont="1" applyFill="1" applyBorder="1" applyAlignment="1" applyProtection="1">
      <alignment/>
      <protection/>
    </xf>
    <xf numFmtId="37" fontId="0" fillId="4" borderId="26" xfId="0" applyNumberFormat="1" applyFont="1" applyFill="1" applyBorder="1" applyAlignment="1" applyProtection="1">
      <alignment/>
      <protection/>
    </xf>
    <xf numFmtId="44" fontId="14" fillId="4" borderId="14" xfId="0" applyNumberFormat="1" applyFont="1" applyFill="1" applyBorder="1" applyAlignment="1">
      <alignment/>
    </xf>
    <xf numFmtId="166" fontId="9" fillId="4" borderId="19" xfId="0" applyNumberFormat="1" applyFont="1" applyFill="1" applyBorder="1" applyAlignment="1" applyProtection="1">
      <alignment/>
      <protection/>
    </xf>
    <xf numFmtId="10" fontId="9" fillId="0" borderId="1" xfId="19" applyNumberFormat="1" applyFont="1" applyBorder="1" applyAlignment="1">
      <alignment horizontal="center"/>
    </xf>
    <xf numFmtId="0" fontId="1" fillId="4" borderId="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1" fillId="4" borderId="26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44" fontId="12" fillId="4" borderId="23" xfId="17" applyFont="1" applyFill="1" applyBorder="1" applyAlignment="1" applyProtection="1">
      <alignment horizontal="left"/>
      <protection/>
    </xf>
    <xf numFmtId="0" fontId="0" fillId="4" borderId="23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 horizontal="right"/>
    </xf>
    <xf numFmtId="44" fontId="12" fillId="4" borderId="25" xfId="17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/>
    </xf>
    <xf numFmtId="0" fontId="1" fillId="4" borderId="22" xfId="0" applyFont="1" applyFill="1" applyBorder="1" applyAlignment="1">
      <alignment horizontal="right"/>
    </xf>
    <xf numFmtId="5" fontId="12" fillId="4" borderId="3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 horizontal="right"/>
    </xf>
    <xf numFmtId="179" fontId="12" fillId="4" borderId="0" xfId="19" applyNumberFormat="1" applyFont="1" applyFill="1" applyBorder="1" applyAlignment="1">
      <alignment horizontal="right"/>
    </xf>
    <xf numFmtId="179" fontId="12" fillId="4" borderId="23" xfId="19" applyNumberFormat="1" applyFont="1" applyFill="1" applyBorder="1" applyAlignment="1">
      <alignment horizontal="right"/>
    </xf>
    <xf numFmtId="6" fontId="12" fillId="4" borderId="23" xfId="0" applyNumberFormat="1" applyFont="1" applyFill="1" applyBorder="1" applyAlignment="1">
      <alignment horizontal="right"/>
    </xf>
    <xf numFmtId="43" fontId="12" fillId="4" borderId="0" xfId="15" applyFont="1" applyFill="1" applyBorder="1" applyAlignment="1">
      <alignment horizontal="right"/>
    </xf>
    <xf numFmtId="9" fontId="12" fillId="4" borderId="23" xfId="19" applyFont="1" applyFill="1" applyBorder="1" applyAlignment="1" applyProtection="1">
      <alignment horizontal="right"/>
      <protection/>
    </xf>
    <xf numFmtId="5" fontId="0" fillId="4" borderId="22" xfId="0" applyNumberFormat="1" applyFont="1" applyFill="1" applyBorder="1" applyAlignment="1" applyProtection="1">
      <alignment/>
      <protection/>
    </xf>
    <xf numFmtId="0" fontId="0" fillId="4" borderId="26" xfId="0" applyFont="1" applyFill="1" applyBorder="1" applyAlignment="1">
      <alignment horizontal="left"/>
    </xf>
    <xf numFmtId="5" fontId="0" fillId="4" borderId="0" xfId="0" applyNumberFormat="1" applyFont="1" applyFill="1" applyBorder="1" applyAlignment="1" applyProtection="1">
      <alignment/>
      <protection/>
    </xf>
    <xf numFmtId="37" fontId="0" fillId="4" borderId="0" xfId="0" applyNumberFormat="1" applyFont="1" applyFill="1" applyBorder="1" applyAlignment="1" applyProtection="1">
      <alignment/>
      <protection/>
    </xf>
    <xf numFmtId="0" fontId="0" fillId="4" borderId="26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37" fontId="0" fillId="4" borderId="1" xfId="0" applyNumberFormat="1" applyFont="1" applyFill="1" applyBorder="1" applyAlignment="1" applyProtection="1">
      <alignment/>
      <protection/>
    </xf>
    <xf numFmtId="5" fontId="0" fillId="4" borderId="5" xfId="0" applyNumberFormat="1" applyFont="1" applyFill="1" applyBorder="1" applyAlignment="1" applyProtection="1">
      <alignment/>
      <protection/>
    </xf>
    <xf numFmtId="0" fontId="0" fillId="4" borderId="2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10" fontId="14" fillId="0" borderId="36" xfId="19" applyNumberFormat="1" applyFont="1" applyBorder="1" applyAlignment="1" applyProtection="1">
      <alignment/>
      <protection/>
    </xf>
    <xf numFmtId="43" fontId="13" fillId="4" borderId="3" xfId="15" applyFont="1" applyFill="1" applyBorder="1" applyAlignment="1">
      <alignment/>
    </xf>
    <xf numFmtId="10" fontId="13" fillId="4" borderId="25" xfId="19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" xfId="0" applyFont="1" applyFill="1" applyBorder="1" applyAlignment="1" quotePrefix="1">
      <alignment horizontal="left"/>
    </xf>
    <xf numFmtId="0" fontId="0" fillId="4" borderId="22" xfId="0" applyFont="1" applyFill="1" applyBorder="1" applyAlignment="1" quotePrefix="1">
      <alignment horizontal="left"/>
    </xf>
    <xf numFmtId="0" fontId="0" fillId="4" borderId="26" xfId="0" applyFont="1" applyFill="1" applyBorder="1" applyAlignment="1" quotePrefix="1">
      <alignment horizontal="left"/>
    </xf>
    <xf numFmtId="0" fontId="0" fillId="4" borderId="0" xfId="0" applyFont="1" applyFill="1" applyBorder="1" applyAlignment="1" quotePrefix="1">
      <alignment horizontal="left"/>
    </xf>
    <xf numFmtId="0" fontId="0" fillId="4" borderId="24" xfId="0" applyFont="1" applyFill="1" applyBorder="1" applyAlignment="1" quotePrefix="1">
      <alignment horizontal="left"/>
    </xf>
    <xf numFmtId="0" fontId="0" fillId="4" borderId="1" xfId="0" applyFont="1" applyFill="1" applyBorder="1" applyAlignment="1" quotePrefix="1">
      <alignment horizontal="left"/>
    </xf>
    <xf numFmtId="166" fontId="7" fillId="4" borderId="25" xfId="19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2" fontId="5" fillId="4" borderId="0" xfId="0" applyNumberFormat="1" applyFont="1" applyFill="1" applyBorder="1" applyAlignment="1" applyProtection="1">
      <alignment horizontal="right"/>
      <protection locked="0"/>
    </xf>
    <xf numFmtId="10" fontId="5" fillId="4" borderId="0" xfId="19" applyNumberFormat="1" applyFont="1" applyFill="1" applyBorder="1" applyAlignment="1" applyProtection="1">
      <alignment horizontal="right"/>
      <protection locked="0"/>
    </xf>
    <xf numFmtId="179" fontId="6" fillId="4" borderId="0" xfId="19" applyNumberFormat="1" applyFont="1" applyFill="1" applyBorder="1" applyAlignment="1" applyProtection="1">
      <alignment horizontal="right"/>
      <protection locked="0"/>
    </xf>
    <xf numFmtId="14" fontId="5" fillId="4" borderId="0" xfId="0" applyNumberFormat="1" applyFont="1" applyFill="1" applyBorder="1" applyAlignment="1" applyProtection="1">
      <alignment horizontal="right"/>
      <protection locked="0"/>
    </xf>
    <xf numFmtId="9" fontId="5" fillId="4" borderId="23" xfId="19" applyFont="1" applyFill="1" applyBorder="1" applyAlignment="1" applyProtection="1">
      <alignment/>
      <protection locked="0"/>
    </xf>
    <xf numFmtId="164" fontId="5" fillId="4" borderId="23" xfId="15" applyNumberFormat="1" applyFont="1" applyFill="1" applyBorder="1" applyAlignment="1" applyProtection="1">
      <alignment/>
      <protection locked="0"/>
    </xf>
    <xf numFmtId="169" fontId="5" fillId="4" borderId="23" xfId="0" applyNumberFormat="1" applyFont="1" applyFill="1" applyBorder="1" applyAlignment="1" applyProtection="1">
      <alignment/>
      <protection locked="0"/>
    </xf>
    <xf numFmtId="5" fontId="5" fillId="4" borderId="3" xfId="0" applyNumberFormat="1" applyFont="1" applyFill="1" applyBorder="1" applyAlignment="1" applyProtection="1">
      <alignment/>
      <protection locked="0"/>
    </xf>
    <xf numFmtId="5" fontId="5" fillId="4" borderId="23" xfId="0" applyNumberFormat="1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 horizontal="left"/>
      <protection locked="0"/>
    </xf>
    <xf numFmtId="0" fontId="0" fillId="4" borderId="24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4" borderId="24" xfId="0" applyFont="1" applyFill="1" applyBorder="1" applyAlignment="1" applyProtection="1">
      <alignment/>
      <protection locked="0"/>
    </xf>
    <xf numFmtId="37" fontId="0" fillId="4" borderId="23" xfId="0" applyNumberFormat="1" applyFont="1" applyFill="1" applyBorder="1" applyAlignment="1" applyProtection="1">
      <alignment/>
      <protection locked="0"/>
    </xf>
    <xf numFmtId="37" fontId="0" fillId="4" borderId="25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5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5" fontId="0" fillId="0" borderId="0" xfId="0" applyNumberFormat="1" applyFont="1" applyBorder="1" applyAlignment="1" applyProtection="1">
      <alignment/>
      <protection locked="0"/>
    </xf>
    <xf numFmtId="7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5" fontId="5" fillId="0" borderId="13" xfId="0" applyNumberFormat="1" applyFont="1" applyBorder="1" applyAlignment="1" applyProtection="1">
      <alignment/>
      <protection locked="0"/>
    </xf>
    <xf numFmtId="5" fontId="5" fillId="0" borderId="10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6" fontId="5" fillId="0" borderId="34" xfId="0" applyNumberFormat="1" applyFont="1" applyBorder="1" applyAlignment="1" applyProtection="1">
      <alignment/>
      <protection locked="0"/>
    </xf>
    <xf numFmtId="6" fontId="5" fillId="4" borderId="13" xfId="17" applyNumberFormat="1" applyFont="1" applyFill="1" applyBorder="1" applyAlignment="1" applyProtection="1">
      <alignment/>
      <protection locked="0"/>
    </xf>
    <xf numFmtId="6" fontId="5" fillId="4" borderId="10" xfId="17" applyNumberFormat="1" applyFont="1" applyFill="1" applyBorder="1" applyAlignment="1" applyProtection="1">
      <alignment/>
      <protection locked="0"/>
    </xf>
    <xf numFmtId="6" fontId="5" fillId="4" borderId="28" xfId="17" applyNumberFormat="1" applyFont="1" applyFill="1" applyBorder="1" applyAlignment="1" applyProtection="1">
      <alignment/>
      <protection locked="0"/>
    </xf>
    <xf numFmtId="10" fontId="5" fillId="4" borderId="3" xfId="19" applyNumberFormat="1" applyFont="1" applyFill="1" applyBorder="1" applyAlignment="1" applyProtection="1">
      <alignment horizontal="right"/>
      <protection locked="0"/>
    </xf>
    <xf numFmtId="10" fontId="5" fillId="4" borderId="23" xfId="19" applyNumberFormat="1" applyFont="1" applyFill="1" applyBorder="1" applyAlignment="1" applyProtection="1">
      <alignment horizontal="right"/>
      <protection locked="0"/>
    </xf>
    <xf numFmtId="44" fontId="5" fillId="4" borderId="25" xfId="17" applyFont="1" applyFill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6" fontId="5" fillId="0" borderId="13" xfId="17" applyNumberFormat="1" applyFont="1" applyBorder="1" applyAlignment="1" applyProtection="1">
      <alignment/>
      <protection locked="0"/>
    </xf>
    <xf numFmtId="6" fontId="5" fillId="0" borderId="10" xfId="17" applyNumberFormat="1" applyFont="1" applyBorder="1" applyAlignment="1" applyProtection="1">
      <alignment/>
      <protection locked="0"/>
    </xf>
    <xf numFmtId="6" fontId="5" fillId="0" borderId="28" xfId="17" applyNumberFormat="1" applyFont="1" applyBorder="1" applyAlignment="1" applyProtection="1">
      <alignment/>
      <protection locked="0"/>
    </xf>
    <xf numFmtId="37" fontId="0" fillId="0" borderId="26" xfId="0" applyNumberFormat="1" applyFont="1" applyBorder="1" applyAlignment="1" applyProtection="1">
      <alignment/>
      <protection locked="0"/>
    </xf>
    <xf numFmtId="166" fontId="5" fillId="0" borderId="19" xfId="0" applyNumberFormat="1" applyFont="1" applyBorder="1" applyAlignment="1" applyProtection="1">
      <alignment/>
      <protection locked="0"/>
    </xf>
    <xf numFmtId="166" fontId="5" fillId="0" borderId="18" xfId="0" applyNumberFormat="1" applyFont="1" applyBorder="1" applyAlignment="1" applyProtection="1">
      <alignment/>
      <protection locked="0"/>
    </xf>
    <xf numFmtId="10" fontId="5" fillId="4" borderId="3" xfId="19" applyNumberFormat="1" applyFont="1" applyFill="1" applyBorder="1" applyAlignment="1" applyProtection="1">
      <alignment/>
      <protection locked="0"/>
    </xf>
    <xf numFmtId="10" fontId="5" fillId="4" borderId="23" xfId="19" applyNumberFormat="1" applyFont="1" applyFill="1" applyBorder="1" applyAlignment="1" applyProtection="1">
      <alignment/>
      <protection locked="0"/>
    </xf>
    <xf numFmtId="10" fontId="5" fillId="4" borderId="25" xfId="19" applyNumberFormat="1" applyFont="1" applyFill="1" applyBorder="1" applyAlignment="1" applyProtection="1">
      <alignment/>
      <protection locked="0"/>
    </xf>
    <xf numFmtId="2" fontId="5" fillId="4" borderId="3" xfId="0" applyNumberFormat="1" applyFont="1" applyFill="1" applyBorder="1" applyAlignment="1" applyProtection="1">
      <alignment/>
      <protection locked="0"/>
    </xf>
    <xf numFmtId="0" fontId="5" fillId="4" borderId="25" xfId="0" applyFont="1" applyFill="1" applyBorder="1" applyAlignment="1" applyProtection="1">
      <alignment/>
      <protection locked="0"/>
    </xf>
    <xf numFmtId="37" fontId="14" fillId="0" borderId="15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17" fontId="5" fillId="0" borderId="11" xfId="0" applyNumberFormat="1" applyFont="1" applyBorder="1" applyAlignment="1" applyProtection="1">
      <alignment/>
      <protection locked="0"/>
    </xf>
    <xf numFmtId="17" fontId="5" fillId="0" borderId="19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7" fontId="5" fillId="0" borderId="35" xfId="0" applyNumberFormat="1" applyFont="1" applyBorder="1" applyAlignment="1" applyProtection="1">
      <alignment/>
      <protection locked="0"/>
    </xf>
    <xf numFmtId="37" fontId="5" fillId="0" borderId="19" xfId="0" applyNumberFormat="1" applyFont="1" applyBorder="1" applyAlignment="1" applyProtection="1">
      <alignment/>
      <protection locked="0"/>
    </xf>
    <xf numFmtId="37" fontId="5" fillId="0" borderId="29" xfId="0" applyNumberFormat="1" applyFont="1" applyBorder="1" applyAlignment="1" applyProtection="1">
      <alignment/>
      <protection locked="0"/>
    </xf>
    <xf numFmtId="37" fontId="5" fillId="0" borderId="35" xfId="0" applyNumberFormat="1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 locked="0"/>
    </xf>
    <xf numFmtId="7" fontId="5" fillId="0" borderId="15" xfId="0" applyNumberFormat="1" applyFont="1" applyBorder="1" applyAlignment="1" applyProtection="1">
      <alignment/>
      <protection locked="0"/>
    </xf>
    <xf numFmtId="7" fontId="5" fillId="0" borderId="11" xfId="0" applyNumberFormat="1" applyFont="1" applyBorder="1" applyAlignment="1" applyProtection="1">
      <alignment/>
      <protection locked="0"/>
    </xf>
    <xf numFmtId="7" fontId="5" fillId="0" borderId="34" xfId="0" applyNumberFormat="1" applyFont="1" applyBorder="1" applyAlignment="1" applyProtection="1">
      <alignment/>
      <protection locked="0"/>
    </xf>
    <xf numFmtId="0" fontId="8" fillId="4" borderId="25" xfId="0" applyFont="1" applyFill="1" applyBorder="1" applyAlignment="1" applyProtection="1">
      <alignment/>
      <protection locked="0"/>
    </xf>
    <xf numFmtId="9" fontId="8" fillId="4" borderId="23" xfId="19" applyFont="1" applyFill="1" applyBorder="1" applyAlignment="1" applyProtection="1">
      <alignment/>
      <protection locked="0"/>
    </xf>
    <xf numFmtId="166" fontId="8" fillId="4" borderId="3" xfId="19" applyNumberFormat="1" applyFont="1" applyFill="1" applyBorder="1" applyAlignment="1" applyProtection="1">
      <alignment/>
      <protection locked="0"/>
    </xf>
    <xf numFmtId="166" fontId="8" fillId="4" borderId="25" xfId="19" applyNumberFormat="1" applyFont="1" applyFill="1" applyBorder="1" applyAlignment="1" applyProtection="1">
      <alignment/>
      <protection locked="0"/>
    </xf>
    <xf numFmtId="0" fontId="8" fillId="4" borderId="22" xfId="0" applyFont="1" applyFill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168" fontId="5" fillId="4" borderId="1" xfId="17" applyNumberFormat="1" applyFont="1" applyFill="1" applyBorder="1" applyAlignment="1" applyProtection="1">
      <alignment horizontal="right"/>
      <protection locked="0"/>
    </xf>
    <xf numFmtId="9" fontId="12" fillId="4" borderId="25" xfId="19" applyFont="1" applyFill="1" applyBorder="1" applyAlignment="1">
      <alignment horizontal="right"/>
    </xf>
    <xf numFmtId="7" fontId="5" fillId="0" borderId="19" xfId="0" applyNumberFormat="1" applyFont="1" applyBorder="1" applyAlignment="1" applyProtection="1">
      <alignment horizontal="right"/>
      <protection locked="0"/>
    </xf>
    <xf numFmtId="7" fontId="5" fillId="0" borderId="19" xfId="0" applyNumberFormat="1" applyFont="1" applyBorder="1" applyAlignment="1" applyProtection="1">
      <alignment/>
      <protection locked="0"/>
    </xf>
    <xf numFmtId="7" fontId="0" fillId="0" borderId="35" xfId="0" applyNumberFormat="1" applyFont="1" applyBorder="1" applyAlignment="1" applyProtection="1">
      <alignment/>
      <protection locked="0"/>
    </xf>
    <xf numFmtId="7" fontId="0" fillId="0" borderId="18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37" fontId="14" fillId="0" borderId="0" xfId="0" applyNumberFormat="1" applyFont="1" applyBorder="1" applyAlignment="1" applyProtection="1">
      <alignment horizontal="right"/>
      <protection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10" fontId="14" fillId="2" borderId="29" xfId="19" applyNumberFormat="1" applyFont="1" applyFill="1" applyBorder="1" applyAlignment="1">
      <alignment/>
    </xf>
    <xf numFmtId="10" fontId="13" fillId="2" borderId="29" xfId="19" applyNumberFormat="1" applyFont="1" applyFill="1" applyBorder="1" applyAlignment="1">
      <alignment/>
    </xf>
    <xf numFmtId="182" fontId="14" fillId="0" borderId="0" xfId="0" applyNumberFormat="1" applyFont="1" applyBorder="1" applyAlignment="1">
      <alignment horizontal="center"/>
    </xf>
    <xf numFmtId="165" fontId="14" fillId="0" borderId="0" xfId="15" applyNumberFormat="1" applyFont="1" applyBorder="1" applyAlignment="1">
      <alignment horizontal="center"/>
    </xf>
    <xf numFmtId="0" fontId="0" fillId="4" borderId="0" xfId="0" applyFill="1" applyAlignment="1">
      <alignment/>
    </xf>
    <xf numFmtId="10" fontId="9" fillId="0" borderId="25" xfId="19" applyNumberFormat="1" applyFont="1" applyBorder="1" applyAlignment="1">
      <alignment horizontal="center"/>
    </xf>
    <xf numFmtId="39" fontId="7" fillId="0" borderId="26" xfId="15" applyNumberFormat="1" applyFont="1" applyBorder="1" applyAlignment="1">
      <alignment horizontal="center"/>
    </xf>
    <xf numFmtId="39" fontId="7" fillId="0" borderId="24" xfId="15" applyNumberFormat="1" applyFont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169" fontId="7" fillId="0" borderId="25" xfId="0" applyNumberFormat="1" applyFont="1" applyBorder="1" applyAlignment="1">
      <alignment horizontal="center"/>
    </xf>
    <xf numFmtId="169" fontId="5" fillId="4" borderId="23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26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5" fontId="9" fillId="3" borderId="20" xfId="0" applyNumberFormat="1" applyFont="1" applyFill="1" applyBorder="1" applyAlignment="1" applyProtection="1">
      <alignment/>
      <protection locked="0"/>
    </xf>
    <xf numFmtId="166" fontId="13" fillId="3" borderId="34" xfId="19" applyNumberFormat="1" applyFont="1" applyFill="1" applyBorder="1" applyAlignment="1" applyProtection="1">
      <alignment/>
      <protection/>
    </xf>
    <xf numFmtId="0" fontId="1" fillId="0" borderId="34" xfId="0" applyFont="1" applyBorder="1" applyAlignment="1">
      <alignment horizontal="center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4" borderId="25" xfId="0" applyFont="1" applyFill="1" applyBorder="1" applyAlignment="1" applyProtection="1">
      <alignment horizontal="right"/>
      <protection locked="0"/>
    </xf>
    <xf numFmtId="168" fontId="14" fillId="0" borderId="0" xfId="17" applyNumberFormat="1" applyFont="1" applyAlignment="1">
      <alignment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17" fontId="13" fillId="4" borderId="3" xfId="0" applyNumberFormat="1" applyFont="1" applyFill="1" applyBorder="1" applyAlignment="1" applyProtection="1">
      <alignment horizontal="right"/>
      <protection/>
    </xf>
    <xf numFmtId="186" fontId="5" fillId="4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5" fontId="14" fillId="4" borderId="6" xfId="0" applyNumberFormat="1" applyFont="1" applyFill="1" applyBorder="1" applyAlignment="1" applyProtection="1">
      <alignment/>
      <protection/>
    </xf>
    <xf numFmtId="7" fontId="9" fillId="3" borderId="17" xfId="0" applyNumberFormat="1" applyFont="1" applyFill="1" applyBorder="1" applyAlignment="1" applyProtection="1">
      <alignment/>
      <protection/>
    </xf>
    <xf numFmtId="7" fontId="9" fillId="4" borderId="17" xfId="0" applyNumberFormat="1" applyFont="1" applyFill="1" applyBorder="1" applyAlignment="1" applyProtection="1">
      <alignment/>
      <protection/>
    </xf>
    <xf numFmtId="7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4" borderId="13" xfId="0" applyFont="1" applyFill="1" applyBorder="1" applyAlignment="1" applyProtection="1">
      <alignment/>
      <protection/>
    </xf>
    <xf numFmtId="2" fontId="0" fillId="4" borderId="14" xfId="0" applyNumberFormat="1" applyFont="1" applyFill="1" applyBorder="1" applyAlignment="1" applyProtection="1">
      <alignment/>
      <protection/>
    </xf>
    <xf numFmtId="5" fontId="9" fillId="3" borderId="10" xfId="0" applyNumberFormat="1" applyFont="1" applyFill="1" applyBorder="1" applyAlignment="1" applyProtection="1">
      <alignment/>
      <protection/>
    </xf>
    <xf numFmtId="7" fontId="9" fillId="3" borderId="29" xfId="0" applyNumberFormat="1" applyFont="1" applyFill="1" applyBorder="1" applyAlignment="1" applyProtection="1">
      <alignment/>
      <protection/>
    </xf>
    <xf numFmtId="5" fontId="9" fillId="4" borderId="29" xfId="0" applyNumberFormat="1" applyFont="1" applyFill="1" applyBorder="1" applyAlignment="1" applyProtection="1">
      <alignment/>
      <protection/>
    </xf>
    <xf numFmtId="7" fontId="9" fillId="4" borderId="29" xfId="0" applyNumberFormat="1" applyFont="1" applyFill="1" applyBorder="1" applyAlignment="1" applyProtection="1">
      <alignment/>
      <protection/>
    </xf>
    <xf numFmtId="0" fontId="0" fillId="4" borderId="23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center"/>
      <protection/>
    </xf>
    <xf numFmtId="182" fontId="14" fillId="0" borderId="0" xfId="0" applyNumberFormat="1" applyFont="1" applyBorder="1" applyAlignment="1" applyProtection="1">
      <alignment horizontal="center"/>
      <protection/>
    </xf>
    <xf numFmtId="165" fontId="14" fillId="0" borderId="0" xfId="15" applyNumberFormat="1" applyFont="1" applyBorder="1" applyAlignment="1" applyProtection="1">
      <alignment horizontal="center"/>
      <protection/>
    </xf>
    <xf numFmtId="10" fontId="14" fillId="0" borderId="22" xfId="19" applyNumberFormat="1" applyFont="1" applyBorder="1" applyAlignment="1" applyProtection="1">
      <alignment/>
      <protection/>
    </xf>
    <xf numFmtId="10" fontId="14" fillId="0" borderId="0" xfId="0" applyNumberFormat="1" applyFont="1" applyBorder="1" applyAlignment="1" applyProtection="1">
      <alignment/>
      <protection/>
    </xf>
    <xf numFmtId="10" fontId="14" fillId="0" borderId="0" xfId="19" applyNumberFormat="1" applyFont="1" applyBorder="1" applyAlignment="1" applyProtection="1">
      <alignment/>
      <protection/>
    </xf>
    <xf numFmtId="10" fontId="14" fillId="0" borderId="1" xfId="19" applyNumberFormat="1" applyFont="1" applyBorder="1" applyAlignment="1" applyProtection="1">
      <alignment/>
      <protection/>
    </xf>
    <xf numFmtId="10" fontId="14" fillId="0" borderId="1" xfId="0" applyNumberFormat="1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/>
      <protection/>
    </xf>
    <xf numFmtId="10" fontId="14" fillId="0" borderId="5" xfId="19" applyNumberFormat="1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5" fillId="4" borderId="23" xfId="0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4" borderId="22" xfId="0" applyFont="1" applyFill="1" applyBorder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5" fillId="0" borderId="29" xfId="0" applyFont="1" applyBorder="1" applyAlignment="1">
      <alignment/>
    </xf>
    <xf numFmtId="0" fontId="10" fillId="4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23" fillId="4" borderId="32" xfId="0" applyFont="1" applyFill="1" applyBorder="1" applyAlignment="1" applyProtection="1">
      <alignment horizontal="centerContinuous"/>
      <protection/>
    </xf>
    <xf numFmtId="0" fontId="23" fillId="4" borderId="30" xfId="0" applyFont="1" applyFill="1" applyBorder="1" applyAlignment="1" applyProtection="1">
      <alignment/>
      <protection/>
    </xf>
    <xf numFmtId="0" fontId="23" fillId="4" borderId="31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5" fillId="5" borderId="26" xfId="0" applyFont="1" applyFill="1" applyBorder="1" applyAlignment="1" applyProtection="1">
      <alignment horizontal="right"/>
      <protection/>
    </xf>
    <xf numFmtId="6" fontId="12" fillId="4" borderId="1" xfId="17" applyNumberFormat="1" applyFont="1" applyFill="1" applyBorder="1" applyAlignment="1">
      <alignment horizontal="left"/>
    </xf>
    <xf numFmtId="6" fontId="5" fillId="4" borderId="0" xfId="0" applyNumberFormat="1" applyFont="1" applyFill="1" applyBorder="1" applyAlignment="1" applyProtection="1">
      <alignment horizontal="right"/>
      <protection locked="0"/>
    </xf>
    <xf numFmtId="6" fontId="12" fillId="4" borderId="0" xfId="0" applyNumberFormat="1" applyFont="1" applyFill="1" applyBorder="1" applyAlignment="1" applyProtection="1">
      <alignment horizontal="right"/>
      <protection/>
    </xf>
    <xf numFmtId="6" fontId="5" fillId="4" borderId="22" xfId="0" applyNumberFormat="1" applyFont="1" applyFill="1" applyBorder="1" applyAlignment="1" applyProtection="1">
      <alignment horizontal="right"/>
      <protection locked="0"/>
    </xf>
    <xf numFmtId="6" fontId="12" fillId="4" borderId="0" xfId="17" applyNumberFormat="1" applyFont="1" applyFill="1" applyAlignment="1">
      <alignment horizontal="right"/>
    </xf>
    <xf numFmtId="6" fontId="12" fillId="4" borderId="23" xfId="17" applyNumberFormat="1" applyFont="1" applyFill="1" applyBorder="1" applyAlignment="1">
      <alignment horizontal="right"/>
    </xf>
    <xf numFmtId="6" fontId="5" fillId="0" borderId="19" xfId="17" applyNumberFormat="1" applyFont="1" applyBorder="1" applyAlignment="1" applyProtection="1">
      <alignment/>
      <protection locked="0"/>
    </xf>
    <xf numFmtId="6" fontId="5" fillId="0" borderId="11" xfId="0" applyNumberFormat="1" applyFont="1" applyBorder="1" applyAlignment="1" applyProtection="1">
      <alignment/>
      <protection locked="0"/>
    </xf>
    <xf numFmtId="6" fontId="0" fillId="0" borderId="18" xfId="0" applyNumberFormat="1" applyFont="1" applyBorder="1" applyAlignment="1" applyProtection="1">
      <alignment/>
      <protection/>
    </xf>
    <xf numFmtId="6" fontId="0" fillId="0" borderId="0" xfId="0" applyNumberFormat="1" applyFont="1" applyAlignment="1" applyProtection="1">
      <alignment/>
      <protection/>
    </xf>
    <xf numFmtId="6" fontId="0" fillId="0" borderId="0" xfId="0" applyNumberFormat="1" applyFont="1" applyAlignment="1">
      <alignment/>
    </xf>
    <xf numFmtId="6" fontId="0" fillId="0" borderId="29" xfId="0" applyNumberFormat="1" applyFont="1" applyBorder="1" applyAlignment="1">
      <alignment horizontal="center"/>
    </xf>
    <xf numFmtId="6" fontId="5" fillId="0" borderId="35" xfId="17" applyNumberFormat="1" applyFont="1" applyBorder="1" applyAlignment="1" applyProtection="1">
      <alignment/>
      <protection locked="0"/>
    </xf>
    <xf numFmtId="6" fontId="5" fillId="0" borderId="34" xfId="0" applyNumberFormat="1" applyFont="1" applyBorder="1" applyAlignment="1" applyProtection="1">
      <alignment/>
      <protection locked="0"/>
    </xf>
    <xf numFmtId="6" fontId="0" fillId="0" borderId="19" xfId="0" applyNumberFormat="1" applyFont="1" applyBorder="1" applyAlignment="1" applyProtection="1">
      <alignment/>
      <protection/>
    </xf>
    <xf numFmtId="6" fontId="0" fillId="0" borderId="19" xfId="17" applyNumberFormat="1" applyFont="1" applyBorder="1" applyAlignment="1" applyProtection="1">
      <alignment/>
      <protection/>
    </xf>
    <xf numFmtId="6" fontId="0" fillId="0" borderId="18" xfId="17" applyNumberFormat="1" applyFont="1" applyBorder="1" applyAlignment="1" applyProtection="1">
      <alignment/>
      <protection/>
    </xf>
    <xf numFmtId="6" fontId="0" fillId="0" borderId="15" xfId="0" applyNumberFormat="1" applyFont="1" applyBorder="1" applyAlignment="1" applyProtection="1">
      <alignment/>
      <protection/>
    </xf>
    <xf numFmtId="6" fontId="0" fillId="0" borderId="37" xfId="0" applyNumberFormat="1" applyFon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/>
    </xf>
    <xf numFmtId="8" fontId="14" fillId="0" borderId="0" xfId="17" applyNumberFormat="1" applyFont="1" applyBorder="1" applyAlignment="1">
      <alignment/>
    </xf>
    <xf numFmtId="8" fontId="8" fillId="4" borderId="3" xfId="17" applyNumberFormat="1" applyFont="1" applyFill="1" applyBorder="1" applyAlignment="1" applyProtection="1">
      <alignment/>
      <protection locked="0"/>
    </xf>
    <xf numFmtId="8" fontId="8" fillId="4" borderId="25" xfId="15" applyNumberFormat="1" applyFont="1" applyFill="1" applyBorder="1" applyAlignment="1" applyProtection="1">
      <alignment/>
      <protection locked="0"/>
    </xf>
    <xf numFmtId="8" fontId="8" fillId="4" borderId="25" xfId="17" applyNumberFormat="1" applyFont="1" applyFill="1" applyBorder="1" applyAlignment="1" applyProtection="1">
      <alignment/>
      <protection locked="0"/>
    </xf>
    <xf numFmtId="38" fontId="5" fillId="4" borderId="0" xfId="15" applyNumberFormat="1" applyFont="1" applyFill="1" applyBorder="1" applyAlignment="1" applyProtection="1">
      <alignment horizontal="right"/>
      <protection locked="0"/>
    </xf>
    <xf numFmtId="38" fontId="14" fillId="4" borderId="23" xfId="15" applyNumberFormat="1" applyFont="1" applyFill="1" applyBorder="1" applyAlignment="1" applyProtection="1">
      <alignment/>
      <protection/>
    </xf>
    <xf numFmtId="38" fontId="14" fillId="4" borderId="3" xfId="15" applyNumberFormat="1" applyFont="1" applyFill="1" applyBorder="1" applyAlignment="1" applyProtection="1">
      <alignment/>
      <protection/>
    </xf>
    <xf numFmtId="38" fontId="14" fillId="2" borderId="29" xfId="15" applyNumberFormat="1" applyFont="1" applyFill="1" applyBorder="1" applyAlignment="1">
      <alignment/>
    </xf>
    <xf numFmtId="38" fontId="13" fillId="2" borderId="29" xfId="15" applyNumberFormat="1" applyFont="1" applyFill="1" applyBorder="1" applyAlignment="1">
      <alignment/>
    </xf>
    <xf numFmtId="38" fontId="14" fillId="2" borderId="29" xfId="17" applyNumberFormat="1" applyFont="1" applyFill="1" applyBorder="1" applyAlignment="1">
      <alignment/>
    </xf>
    <xf numFmtId="38" fontId="13" fillId="2" borderId="29" xfId="17" applyNumberFormat="1" applyFont="1" applyFill="1" applyBorder="1" applyAlignment="1">
      <alignment/>
    </xf>
    <xf numFmtId="38" fontId="14" fillId="0" borderId="0" xfId="0" applyNumberFormat="1" applyFont="1" applyBorder="1" applyAlignment="1" applyProtection="1">
      <alignment/>
      <protection/>
    </xf>
    <xf numFmtId="38" fontId="14" fillId="0" borderId="23" xfId="0" applyNumberFormat="1" applyFont="1" applyBorder="1" applyAlignment="1" applyProtection="1">
      <alignment/>
      <protection/>
    </xf>
    <xf numFmtId="38" fontId="14" fillId="0" borderId="1" xfId="0" applyNumberFormat="1" applyFont="1" applyBorder="1" applyAlignment="1" applyProtection="1">
      <alignment/>
      <protection/>
    </xf>
    <xf numFmtId="38" fontId="14" fillId="0" borderId="25" xfId="0" applyNumberFormat="1" applyFont="1" applyBorder="1" applyAlignment="1" applyProtection="1">
      <alignment/>
      <protection/>
    </xf>
    <xf numFmtId="38" fontId="14" fillId="0" borderId="5" xfId="15" applyNumberFormat="1" applyFont="1" applyBorder="1" applyAlignment="1" applyProtection="1">
      <alignment/>
      <protection/>
    </xf>
    <xf numFmtId="38" fontId="14" fillId="0" borderId="6" xfId="15" applyNumberFormat="1" applyFont="1" applyBorder="1" applyAlignment="1" applyProtection="1">
      <alignment/>
      <protection/>
    </xf>
    <xf numFmtId="38" fontId="14" fillId="0" borderId="1" xfId="17" applyNumberFormat="1" applyFont="1" applyBorder="1" applyAlignment="1" applyProtection="1">
      <alignment/>
      <protection/>
    </xf>
    <xf numFmtId="38" fontId="14" fillId="0" borderId="25" xfId="17" applyNumberFormat="1" applyFont="1" applyBorder="1" applyAlignment="1" applyProtection="1">
      <alignment/>
      <protection/>
    </xf>
    <xf numFmtId="38" fontId="7" fillId="0" borderId="3" xfId="15" applyNumberFormat="1" applyFont="1" applyBorder="1" applyAlignment="1">
      <alignment/>
    </xf>
    <xf numFmtId="38" fontId="7" fillId="0" borderId="23" xfId="15" applyNumberFormat="1" applyFont="1" applyBorder="1" applyAlignment="1">
      <alignment/>
    </xf>
    <xf numFmtId="38" fontId="7" fillId="0" borderId="32" xfId="15" applyNumberFormat="1" applyFont="1" applyBorder="1" applyAlignment="1">
      <alignment/>
    </xf>
    <xf numFmtId="38" fontId="7" fillId="0" borderId="30" xfId="15" applyNumberFormat="1" applyFont="1" applyBorder="1" applyAlignment="1">
      <alignment/>
    </xf>
    <xf numFmtId="38" fontId="7" fillId="0" borderId="31" xfId="15" applyNumberFormat="1" applyFont="1" applyBorder="1" applyAlignment="1">
      <alignment/>
    </xf>
    <xf numFmtId="38" fontId="7" fillId="0" borderId="25" xfId="15" applyNumberFormat="1" applyFont="1" applyBorder="1" applyAlignment="1">
      <alignment/>
    </xf>
    <xf numFmtId="38" fontId="13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6" fontId="14" fillId="4" borderId="3" xfId="17" applyNumberFormat="1" applyFont="1" applyFill="1" applyBorder="1" applyAlignment="1">
      <alignment/>
    </xf>
    <xf numFmtId="6" fontId="14" fillId="4" borderId="25" xfId="17" applyNumberFormat="1" applyFont="1" applyFill="1" applyBorder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Lease Rollover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0"/>
    </c:view3D>
    <c:plotArea>
      <c:layout>
        <c:manualLayout>
          <c:xMode val="edge"/>
          <c:yMode val="edge"/>
          <c:x val="0.0075"/>
          <c:y val="0.0835"/>
          <c:w val="0.90675"/>
          <c:h val="0.9055"/>
        </c:manualLayout>
      </c:layout>
      <c:bar3DChart>
        <c:barDir val="col"/>
        <c:grouping val="standard"/>
        <c:varyColors val="0"/>
        <c:ser>
          <c:idx val="1"/>
          <c:order val="0"/>
          <c:tx>
            <c:v>Scheduled Expirations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TI_LC!$C$33:$C$44</c:f>
              <c:strCache>
                <c:ptCount val="12"/>
                <c:pt idx="0">
                  <c:v>38352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TI_LC!$E$33:$E$44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Total Rollover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TI_LC!$C$33:$C$44</c:f>
              <c:strCache>
                <c:ptCount val="12"/>
                <c:pt idx="0">
                  <c:v>38352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TI_LC!$G$33:$G$44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50"/>
        <c:shape val="box"/>
        <c:axId val="40843769"/>
        <c:axId val="61206950"/>
        <c:axId val="57492847"/>
      </c:bar3DChart>
      <c:catAx>
        <c:axId val="40843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 (Beginning)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206950"/>
        <c:crosses val="autoZero"/>
        <c:auto val="0"/>
        <c:lblOffset val="100"/>
        <c:noMultiLvlLbl val="0"/>
      </c:catAx>
      <c:valAx>
        <c:axId val="6120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SF Expiring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3769"/>
        <c:crossesAt val="1"/>
        <c:crossBetween val="between"/>
        <c:dispUnits/>
      </c:valAx>
      <c:serAx>
        <c:axId val="5749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06950"/>
        <c:crosses val="autoZero"/>
        <c:tickLblSkip val="1"/>
        <c:tickMarkSkip val="1"/>
      </c:serAx>
      <c:spPr>
        <a:solidFill>
          <a:srgbClr val="C0C0C0"/>
        </a:solidFill>
        <a:ln w="12700">
          <a:solidFill>
            <a:srgbClr val="80808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Edat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workbookViewId="0" topLeftCell="A1">
      <selection activeCell="A1" sqref="A1"/>
    </sheetView>
  </sheetViews>
  <sheetFormatPr defaultColWidth="9.33203125" defaultRowHeight="12.75"/>
  <cols>
    <col min="1" max="1" width="8.33203125" style="3" customWidth="1"/>
    <col min="2" max="2" width="6.5" style="3" customWidth="1"/>
    <col min="3" max="8" width="15.66015625" style="3" customWidth="1"/>
    <col min="9" max="9" width="16.16015625" style="3" customWidth="1"/>
    <col min="10" max="12" width="15.66015625" style="3" customWidth="1"/>
    <col min="13" max="13" width="11.16015625" style="3" customWidth="1"/>
    <col min="14" max="17" width="9.33203125" style="3" customWidth="1"/>
    <col min="18" max="18" width="12.33203125" style="3" customWidth="1"/>
    <col min="19" max="16384" width="9.33203125" style="3" customWidth="1"/>
  </cols>
  <sheetData>
    <row r="1" spans="1:12" ht="18.75">
      <c r="A1" s="115"/>
      <c r="F1"/>
      <c r="J1" s="4"/>
      <c r="K1" s="4"/>
      <c r="L1" s="88" t="str">
        <f ca="1">CELL("filename")</f>
        <v>\\CLT-NETAPP02\B16771$\Bill\GSB @ LSU\CRE Case Study\Handout's\Rent Roll\[GSB Rent Roll Template.xls]RentRoll</v>
      </c>
    </row>
    <row r="2" spans="1:12" ht="15.75">
      <c r="A2" s="114" t="s">
        <v>0</v>
      </c>
      <c r="B2"/>
      <c r="C2"/>
      <c r="G2" s="94"/>
      <c r="H2" s="286" t="s">
        <v>377</v>
      </c>
      <c r="I2" s="329"/>
      <c r="J2" s="458" t="s">
        <v>1</v>
      </c>
      <c r="K2" s="6" t="s">
        <v>2</v>
      </c>
      <c r="L2" s="5">
        <f ca="1">NOW()</f>
        <v>41043.64981782407</v>
      </c>
    </row>
    <row r="3" spans="1:12" ht="12.75">
      <c r="A3" s="89" t="s">
        <v>378</v>
      </c>
      <c r="C3" s="468" t="s">
        <v>3</v>
      </c>
      <c r="D3"/>
      <c r="E3"/>
      <c r="F3"/>
      <c r="G3" s="94"/>
      <c r="H3" s="291" t="s">
        <v>4</v>
      </c>
      <c r="I3" s="504"/>
      <c r="J3" s="505" t="s">
        <v>5</v>
      </c>
      <c r="K3" s="6" t="s">
        <v>6</v>
      </c>
      <c r="L3" s="5">
        <v>36923</v>
      </c>
    </row>
    <row r="4" spans="1:12" ht="12.75">
      <c r="A4" s="93"/>
      <c r="D4"/>
      <c r="E4"/>
      <c r="F4"/>
      <c r="G4" s="94"/>
      <c r="H4" s="288" t="s">
        <v>7</v>
      </c>
      <c r="I4" s="298"/>
      <c r="J4" s="459" t="s">
        <v>8</v>
      </c>
      <c r="L4" s="5"/>
    </row>
    <row r="5" spans="1:13" ht="12.75">
      <c r="A5" s="4" t="s">
        <v>9</v>
      </c>
      <c r="B5" s="4"/>
      <c r="E5" s="6"/>
      <c r="H5" s="4" t="s">
        <v>10</v>
      </c>
      <c r="I5" s="7"/>
      <c r="J5" s="8"/>
      <c r="K5" s="7"/>
      <c r="L5" s="9"/>
      <c r="M5" s="7"/>
    </row>
    <row r="6" spans="1:13" ht="12.75">
      <c r="A6" s="286" t="s">
        <v>11</v>
      </c>
      <c r="B6" s="287"/>
      <c r="C6" s="287"/>
      <c r="D6" s="410" t="s">
        <v>12</v>
      </c>
      <c r="E6" s="287"/>
      <c r="F6" s="290"/>
      <c r="H6" s="286" t="s">
        <v>13</v>
      </c>
      <c r="I6" s="287"/>
      <c r="J6" s="524" t="e">
        <f>MIN(D12,C22,D14*L8)</f>
        <v>#DIV/0!</v>
      </c>
      <c r="K6" s="303" t="s">
        <v>14</v>
      </c>
      <c r="L6" s="304" t="e">
        <f>+J6/D8</f>
        <v>#DIV/0!</v>
      </c>
      <c r="M6" s="7"/>
    </row>
    <row r="7" spans="1:18" ht="12.75">
      <c r="A7" s="291" t="s">
        <v>15</v>
      </c>
      <c r="B7" s="292"/>
      <c r="C7" s="292"/>
      <c r="D7" s="411" t="s">
        <v>16</v>
      </c>
      <c r="E7" s="292"/>
      <c r="F7" s="293"/>
      <c r="H7" s="291" t="s">
        <v>17</v>
      </c>
      <c r="I7" s="292"/>
      <c r="J7" s="523">
        <f>+NOI</f>
        <v>0</v>
      </c>
      <c r="K7" s="295" t="s">
        <v>18</v>
      </c>
      <c r="L7" s="526" t="e">
        <f>NCF</f>
        <v>#DIV/0!</v>
      </c>
      <c r="M7" s="7"/>
      <c r="N7"/>
      <c r="O7"/>
      <c r="P7"/>
      <c r="Q7"/>
      <c r="R7" s="119"/>
    </row>
    <row r="8" spans="1:18" ht="12.75">
      <c r="A8" s="291" t="s">
        <v>19</v>
      </c>
      <c r="B8" s="292"/>
      <c r="C8" s="292"/>
      <c r="D8" s="545">
        <v>0</v>
      </c>
      <c r="E8" s="292"/>
      <c r="F8" s="293"/>
      <c r="H8" s="291" t="s">
        <v>20</v>
      </c>
      <c r="I8" s="292"/>
      <c r="J8" s="338">
        <v>1.3</v>
      </c>
      <c r="K8" s="305" t="s">
        <v>21</v>
      </c>
      <c r="L8" s="342">
        <v>0.75</v>
      </c>
      <c r="M8" s="7"/>
      <c r="R8" s="120"/>
    </row>
    <row r="9" spans="1:18" ht="12.75">
      <c r="A9" s="291" t="s">
        <v>22</v>
      </c>
      <c r="B9" s="292"/>
      <c r="C9" s="292"/>
      <c r="D9" s="411" t="s">
        <v>23</v>
      </c>
      <c r="E9" s="292"/>
      <c r="F9" s="293"/>
      <c r="H9" s="291" t="s">
        <v>24</v>
      </c>
      <c r="I9" s="341" t="s">
        <v>25</v>
      </c>
      <c r="J9" s="339">
        <v>0</v>
      </c>
      <c r="K9" s="295" t="s">
        <v>26</v>
      </c>
      <c r="L9" s="343">
        <v>10</v>
      </c>
      <c r="M9" s="7"/>
      <c r="R9" s="120"/>
    </row>
    <row r="10" spans="1:18" ht="12.75">
      <c r="A10" s="291" t="s">
        <v>27</v>
      </c>
      <c r="B10" s="292"/>
      <c r="C10" s="292"/>
      <c r="D10" s="411" t="s">
        <v>28</v>
      </c>
      <c r="E10" s="292"/>
      <c r="F10" s="293"/>
      <c r="H10" s="291" t="s">
        <v>29</v>
      </c>
      <c r="I10" s="512"/>
      <c r="J10" s="340">
        <v>0</v>
      </c>
      <c r="K10" s="295" t="s">
        <v>30</v>
      </c>
      <c r="L10" s="344">
        <v>25</v>
      </c>
      <c r="M10" s="7"/>
      <c r="R10" s="120"/>
    </row>
    <row r="11" spans="1:18" ht="12.75">
      <c r="A11" s="294" t="s">
        <v>31</v>
      </c>
      <c r="B11" s="292"/>
      <c r="C11" s="292"/>
      <c r="D11" s="411" t="s">
        <v>32</v>
      </c>
      <c r="E11" s="292"/>
      <c r="F11" s="293"/>
      <c r="H11" s="291" t="s">
        <v>33</v>
      </c>
      <c r="I11" s="442"/>
      <c r="J11" s="306">
        <f>+J9+J10</f>
        <v>0</v>
      </c>
      <c r="K11" s="295" t="s">
        <v>34</v>
      </c>
      <c r="L11" s="307" t="e">
        <f>J12/J6</f>
        <v>#DIV/0!</v>
      </c>
      <c r="M11" s="186"/>
      <c r="R11" s="120"/>
    </row>
    <row r="12" spans="1:18" ht="12.75">
      <c r="A12" s="294" t="s">
        <v>35</v>
      </c>
      <c r="B12" s="292"/>
      <c r="C12" s="292"/>
      <c r="D12" s="522">
        <v>0</v>
      </c>
      <c r="E12" s="295" t="s">
        <v>14</v>
      </c>
      <c r="F12" s="296" t="e">
        <f>+D12/D8</f>
        <v>#DIV/0!</v>
      </c>
      <c r="H12" s="291" t="s">
        <v>36</v>
      </c>
      <c r="I12" s="292"/>
      <c r="J12" s="525" t="e">
        <f>-PMT(J11/12,L10*12,J6)*12</f>
        <v>#DIV/0!</v>
      </c>
      <c r="K12" s="295" t="s">
        <v>37</v>
      </c>
      <c r="L12" s="308" t="e">
        <f>IF(Calculations!J21=1,VLOOKUP(L9*12,AmScheduleActual360,7),-PV(J11/12,(L10-L9)*12,J12/12))</f>
        <v>#DIV/0!</v>
      </c>
      <c r="M12" s="461"/>
      <c r="R12" s="120"/>
    </row>
    <row r="13" spans="1:18" ht="12.75">
      <c r="A13" s="291" t="s">
        <v>38</v>
      </c>
      <c r="B13" s="292"/>
      <c r="C13" s="292"/>
      <c r="D13" s="339">
        <v>0</v>
      </c>
      <c r="E13" s="295"/>
      <c r="F13" s="297"/>
      <c r="H13" s="291" t="s">
        <v>39</v>
      </c>
      <c r="I13" s="292"/>
      <c r="J13" s="309" t="e">
        <f>L7/J12</f>
        <v>#DIV/0!</v>
      </c>
      <c r="K13" s="295" t="s">
        <v>40</v>
      </c>
      <c r="L13" s="310" t="e">
        <f>+J6/(NOI/Cap)</f>
        <v>#DIV/0!</v>
      </c>
      <c r="M13" s="185"/>
      <c r="R13" s="120"/>
    </row>
    <row r="14" spans="1:18" ht="12.75">
      <c r="A14" s="288" t="s">
        <v>41</v>
      </c>
      <c r="B14" s="298"/>
      <c r="C14" s="298"/>
      <c r="D14" s="521" t="e">
        <f>+NOI/Cap</f>
        <v>#DIV/0!</v>
      </c>
      <c r="E14" s="299" t="s">
        <v>14</v>
      </c>
      <c r="F14" s="300" t="e">
        <f>D14/D8</f>
        <v>#DIV/0!</v>
      </c>
      <c r="H14" s="288" t="s">
        <v>42</v>
      </c>
      <c r="I14" s="298"/>
      <c r="J14" s="412" t="s">
        <v>43</v>
      </c>
      <c r="K14" s="299" t="s">
        <v>44</v>
      </c>
      <c r="L14" s="413" t="e">
        <f>J6/J14</f>
        <v>#DIV/0!</v>
      </c>
      <c r="M14" s="7"/>
      <c r="R14" s="120"/>
    </row>
    <row r="15" spans="1:18" ht="12.75">
      <c r="A15" s="11"/>
      <c r="C15" s="7"/>
      <c r="H15" s="566" t="e">
        <f>IF(J13&lt;J8,"Warning:  Minimum DSCR not achieved.","")</f>
        <v>#DIV/0!</v>
      </c>
      <c r="I15" s="567"/>
      <c r="J15" s="567"/>
      <c r="K15" s="567"/>
      <c r="L15" s="567"/>
      <c r="M15" s="7"/>
      <c r="R15" s="120"/>
    </row>
    <row r="16" spans="1:18" ht="12.75">
      <c r="A16"/>
      <c r="B16"/>
      <c r="C16"/>
      <c r="D16"/>
      <c r="E16"/>
      <c r="F16"/>
      <c r="H16" s="566" t="e">
        <f>IF(L13&gt;L8,"Warning:  Maximum underwritten LTV exceeded.","")</f>
        <v>#DIV/0!</v>
      </c>
      <c r="I16" s="568"/>
      <c r="J16" s="568"/>
      <c r="K16" s="568"/>
      <c r="L16" s="568"/>
      <c r="M16" s="7"/>
      <c r="R16" s="120"/>
    </row>
    <row r="17" spans="1:18" ht="12.75">
      <c r="A17" s="301" t="s">
        <v>45</v>
      </c>
      <c r="B17" s="302"/>
      <c r="C17" s="302"/>
      <c r="D17" s="467"/>
      <c r="E17" s="302"/>
      <c r="F17" s="466">
        <v>38352</v>
      </c>
      <c r="H17" s="286" t="s">
        <v>46</v>
      </c>
      <c r="I17" s="287"/>
      <c r="J17" s="287"/>
      <c r="K17" s="287"/>
      <c r="L17" s="569" t="e">
        <f>-PV(J11/12,L10*12,L7/J8/12)</f>
        <v>#DIV/0!</v>
      </c>
      <c r="M17" s="7"/>
      <c r="R17" s="120"/>
    </row>
    <row r="18" spans="1:18" ht="12.75">
      <c r="A18" s="11"/>
      <c r="C18" s="7"/>
      <c r="H18" s="288" t="s">
        <v>47</v>
      </c>
      <c r="I18" s="289"/>
      <c r="J18" s="289"/>
      <c r="K18" s="289"/>
      <c r="L18" s="570" t="e">
        <f>MIN(L17,D14*L8)</f>
        <v>#DIV/0!</v>
      </c>
      <c r="M18" s="7"/>
      <c r="R18" s="120"/>
    </row>
    <row r="19" spans="1:18" ht="12.75">
      <c r="A19" s="12" t="s">
        <v>48</v>
      </c>
      <c r="I19" s="11"/>
      <c r="R19" s="120"/>
    </row>
    <row r="20" spans="1:18" ht="12.75">
      <c r="A20" s="13"/>
      <c r="B20" s="14"/>
      <c r="C20" s="15" t="s">
        <v>49</v>
      </c>
      <c r="D20" s="16"/>
      <c r="E20" s="16"/>
      <c r="F20" s="16"/>
      <c r="G20" s="16"/>
      <c r="H20" s="16"/>
      <c r="I20" s="16"/>
      <c r="J20" s="16"/>
      <c r="K20" s="16"/>
      <c r="L20" s="17"/>
      <c r="R20" s="120"/>
    </row>
    <row r="21" spans="1:18" ht="12.75">
      <c r="A21" s="18" t="s">
        <v>50</v>
      </c>
      <c r="B21" s="19" t="s">
        <v>51</v>
      </c>
      <c r="C21" s="285">
        <f>J10</f>
        <v>0</v>
      </c>
      <c r="D21" s="285">
        <f aca="true" t="shared" si="0" ref="D21:L21">+C21+0.0005</f>
        <v>0.0005</v>
      </c>
      <c r="E21" s="285">
        <f t="shared" si="0"/>
        <v>0.001</v>
      </c>
      <c r="F21" s="285">
        <f t="shared" si="0"/>
        <v>0.0015</v>
      </c>
      <c r="G21" s="285">
        <f t="shared" si="0"/>
        <v>0.002</v>
      </c>
      <c r="H21" s="285">
        <f t="shared" si="0"/>
        <v>0.0025</v>
      </c>
      <c r="I21" s="285">
        <f t="shared" si="0"/>
        <v>0.003</v>
      </c>
      <c r="J21" s="285">
        <f t="shared" si="0"/>
        <v>0.0035</v>
      </c>
      <c r="K21" s="285">
        <f t="shared" si="0"/>
        <v>0.004</v>
      </c>
      <c r="L21" s="443">
        <f t="shared" si="0"/>
        <v>0.0045000000000000005</v>
      </c>
      <c r="R21" s="120"/>
    </row>
    <row r="22" spans="1:18" ht="12.75">
      <c r="A22" s="444">
        <f>J8-0.05</f>
        <v>1.25</v>
      </c>
      <c r="B22" s="448">
        <v>20</v>
      </c>
      <c r="C22" s="560" t="e">
        <f aca="true" t="shared" si="1" ref="C22:L33">+$L$7/(PMT(($J$9+C$21)/12,$B22*12,-1)*12)/$A22</f>
        <v>#DIV/0!</v>
      </c>
      <c r="D22" s="560" t="e">
        <f t="shared" si="1"/>
        <v>#DIV/0!</v>
      </c>
      <c r="E22" s="560" t="e">
        <f t="shared" si="1"/>
        <v>#DIV/0!</v>
      </c>
      <c r="F22" s="560" t="e">
        <f t="shared" si="1"/>
        <v>#DIV/0!</v>
      </c>
      <c r="G22" s="560" t="e">
        <f t="shared" si="1"/>
        <v>#DIV/0!</v>
      </c>
      <c r="H22" s="560" t="e">
        <f t="shared" si="1"/>
        <v>#DIV/0!</v>
      </c>
      <c r="I22" s="560" t="e">
        <f t="shared" si="1"/>
        <v>#DIV/0!</v>
      </c>
      <c r="J22" s="560" t="e">
        <f t="shared" si="1"/>
        <v>#DIV/0!</v>
      </c>
      <c r="K22" s="560" t="e">
        <f t="shared" si="1"/>
        <v>#DIV/0!</v>
      </c>
      <c r="L22" s="560" t="e">
        <f t="shared" si="1"/>
        <v>#DIV/0!</v>
      </c>
      <c r="R22" s="120"/>
    </row>
    <row r="23" spans="1:18" ht="12.75">
      <c r="A23" s="444">
        <f>+A22+0.05</f>
        <v>1.3</v>
      </c>
      <c r="B23" s="446">
        <f>+B22</f>
        <v>20</v>
      </c>
      <c r="C23" s="561" t="e">
        <f t="shared" si="1"/>
        <v>#DIV/0!</v>
      </c>
      <c r="D23" s="561" t="e">
        <f t="shared" si="1"/>
        <v>#DIV/0!</v>
      </c>
      <c r="E23" s="561" t="e">
        <f t="shared" si="1"/>
        <v>#DIV/0!</v>
      </c>
      <c r="F23" s="561" t="e">
        <f t="shared" si="1"/>
        <v>#DIV/0!</v>
      </c>
      <c r="G23" s="561" t="e">
        <f t="shared" si="1"/>
        <v>#DIV/0!</v>
      </c>
      <c r="H23" s="561" t="e">
        <f t="shared" si="1"/>
        <v>#DIV/0!</v>
      </c>
      <c r="I23" s="561" t="e">
        <f t="shared" si="1"/>
        <v>#DIV/0!</v>
      </c>
      <c r="J23" s="561" t="e">
        <f t="shared" si="1"/>
        <v>#DIV/0!</v>
      </c>
      <c r="K23" s="561" t="e">
        <f t="shared" si="1"/>
        <v>#DIV/0!</v>
      </c>
      <c r="L23" s="561" t="e">
        <f t="shared" si="1"/>
        <v>#DIV/0!</v>
      </c>
      <c r="R23" s="120"/>
    </row>
    <row r="24" spans="1:18" ht="12.75">
      <c r="A24" s="444">
        <f>+A23+0.05</f>
        <v>1.35</v>
      </c>
      <c r="B24" s="446">
        <f aca="true" t="shared" si="2" ref="B24:B33">+B23</f>
        <v>20</v>
      </c>
      <c r="C24" s="561" t="e">
        <f t="shared" si="1"/>
        <v>#DIV/0!</v>
      </c>
      <c r="D24" s="561" t="e">
        <f t="shared" si="1"/>
        <v>#DIV/0!</v>
      </c>
      <c r="E24" s="561" t="e">
        <f t="shared" si="1"/>
        <v>#DIV/0!</v>
      </c>
      <c r="F24" s="561" t="e">
        <f t="shared" si="1"/>
        <v>#DIV/0!</v>
      </c>
      <c r="G24" s="561" t="e">
        <f t="shared" si="1"/>
        <v>#DIV/0!</v>
      </c>
      <c r="H24" s="561" t="e">
        <f t="shared" si="1"/>
        <v>#DIV/0!</v>
      </c>
      <c r="I24" s="561" t="e">
        <f t="shared" si="1"/>
        <v>#DIV/0!</v>
      </c>
      <c r="J24" s="561" t="e">
        <f t="shared" si="1"/>
        <v>#DIV/0!</v>
      </c>
      <c r="K24" s="561" t="e">
        <f t="shared" si="1"/>
        <v>#DIV/0!</v>
      </c>
      <c r="L24" s="561" t="e">
        <f t="shared" si="1"/>
        <v>#DIV/0!</v>
      </c>
      <c r="R24" s="120"/>
    </row>
    <row r="25" spans="1:18" ht="12.75">
      <c r="A25" s="445">
        <f>+A24+0.05</f>
        <v>1.4000000000000001</v>
      </c>
      <c r="B25" s="447">
        <f t="shared" si="2"/>
        <v>20</v>
      </c>
      <c r="C25" s="561" t="e">
        <f t="shared" si="1"/>
        <v>#DIV/0!</v>
      </c>
      <c r="D25" s="561" t="e">
        <f t="shared" si="1"/>
        <v>#DIV/0!</v>
      </c>
      <c r="E25" s="561" t="e">
        <f t="shared" si="1"/>
        <v>#DIV/0!</v>
      </c>
      <c r="F25" s="561" t="e">
        <f t="shared" si="1"/>
        <v>#DIV/0!</v>
      </c>
      <c r="G25" s="561" t="e">
        <f t="shared" si="1"/>
        <v>#DIV/0!</v>
      </c>
      <c r="H25" s="561" t="e">
        <f t="shared" si="1"/>
        <v>#DIV/0!</v>
      </c>
      <c r="I25" s="561" t="e">
        <f t="shared" si="1"/>
        <v>#DIV/0!</v>
      </c>
      <c r="J25" s="561" t="e">
        <f t="shared" si="1"/>
        <v>#DIV/0!</v>
      </c>
      <c r="K25" s="561" t="e">
        <f t="shared" si="1"/>
        <v>#DIV/0!</v>
      </c>
      <c r="L25" s="561" t="e">
        <f t="shared" si="1"/>
        <v>#DIV/0!</v>
      </c>
      <c r="R25" s="120"/>
    </row>
    <row r="26" spans="1:18" ht="12.75">
      <c r="A26" s="444">
        <f>+A22</f>
        <v>1.25</v>
      </c>
      <c r="B26" s="446">
        <f>B22+5</f>
        <v>25</v>
      </c>
      <c r="C26" s="562" t="e">
        <f t="shared" si="1"/>
        <v>#DIV/0!</v>
      </c>
      <c r="D26" s="560" t="e">
        <f t="shared" si="1"/>
        <v>#DIV/0!</v>
      </c>
      <c r="E26" s="560" t="e">
        <f t="shared" si="1"/>
        <v>#DIV/0!</v>
      </c>
      <c r="F26" s="560" t="e">
        <f t="shared" si="1"/>
        <v>#DIV/0!</v>
      </c>
      <c r="G26" s="560" t="e">
        <f t="shared" si="1"/>
        <v>#DIV/0!</v>
      </c>
      <c r="H26" s="560" t="e">
        <f t="shared" si="1"/>
        <v>#DIV/0!</v>
      </c>
      <c r="I26" s="560" t="e">
        <f t="shared" si="1"/>
        <v>#DIV/0!</v>
      </c>
      <c r="J26" s="560" t="e">
        <f t="shared" si="1"/>
        <v>#DIV/0!</v>
      </c>
      <c r="K26" s="560" t="e">
        <f t="shared" si="1"/>
        <v>#DIV/0!</v>
      </c>
      <c r="L26" s="560" t="e">
        <f t="shared" si="1"/>
        <v>#DIV/0!</v>
      </c>
      <c r="R26" s="120"/>
    </row>
    <row r="27" spans="1:18" ht="12.75">
      <c r="A27" s="444">
        <f>+A26+0.05</f>
        <v>1.3</v>
      </c>
      <c r="B27" s="446">
        <f t="shared" si="2"/>
        <v>25</v>
      </c>
      <c r="C27" s="563" t="e">
        <f t="shared" si="1"/>
        <v>#DIV/0!</v>
      </c>
      <c r="D27" s="561" t="e">
        <f t="shared" si="1"/>
        <v>#DIV/0!</v>
      </c>
      <c r="E27" s="561" t="e">
        <f t="shared" si="1"/>
        <v>#DIV/0!</v>
      </c>
      <c r="F27" s="561" t="e">
        <f t="shared" si="1"/>
        <v>#DIV/0!</v>
      </c>
      <c r="G27" s="561" t="e">
        <f t="shared" si="1"/>
        <v>#DIV/0!</v>
      </c>
      <c r="H27" s="561" t="e">
        <f t="shared" si="1"/>
        <v>#DIV/0!</v>
      </c>
      <c r="I27" s="561" t="e">
        <f t="shared" si="1"/>
        <v>#DIV/0!</v>
      </c>
      <c r="J27" s="561" t="e">
        <f t="shared" si="1"/>
        <v>#DIV/0!</v>
      </c>
      <c r="K27" s="561" t="e">
        <f t="shared" si="1"/>
        <v>#DIV/0!</v>
      </c>
      <c r="L27" s="561" t="e">
        <f t="shared" si="1"/>
        <v>#DIV/0!</v>
      </c>
      <c r="R27" s="120"/>
    </row>
    <row r="28" spans="1:18" ht="12.75">
      <c r="A28" s="444">
        <f>+A27+0.05</f>
        <v>1.35</v>
      </c>
      <c r="B28" s="446">
        <f t="shared" si="2"/>
        <v>25</v>
      </c>
      <c r="C28" s="563" t="e">
        <f t="shared" si="1"/>
        <v>#DIV/0!</v>
      </c>
      <c r="D28" s="561" t="e">
        <f t="shared" si="1"/>
        <v>#DIV/0!</v>
      </c>
      <c r="E28" s="561" t="e">
        <f t="shared" si="1"/>
        <v>#DIV/0!</v>
      </c>
      <c r="F28" s="561" t="e">
        <f t="shared" si="1"/>
        <v>#DIV/0!</v>
      </c>
      <c r="G28" s="561" t="e">
        <f t="shared" si="1"/>
        <v>#DIV/0!</v>
      </c>
      <c r="H28" s="561" t="e">
        <f t="shared" si="1"/>
        <v>#DIV/0!</v>
      </c>
      <c r="I28" s="561" t="e">
        <f t="shared" si="1"/>
        <v>#DIV/0!</v>
      </c>
      <c r="J28" s="561" t="e">
        <f t="shared" si="1"/>
        <v>#DIV/0!</v>
      </c>
      <c r="K28" s="561" t="e">
        <f t="shared" si="1"/>
        <v>#DIV/0!</v>
      </c>
      <c r="L28" s="561" t="e">
        <f t="shared" si="1"/>
        <v>#DIV/0!</v>
      </c>
      <c r="R28" s="120"/>
    </row>
    <row r="29" spans="1:18" ht="12.75">
      <c r="A29" s="445">
        <f>+A28+0.05</f>
        <v>1.4000000000000001</v>
      </c>
      <c r="B29" s="447">
        <f t="shared" si="2"/>
        <v>25</v>
      </c>
      <c r="C29" s="564" t="e">
        <f t="shared" si="1"/>
        <v>#DIV/0!</v>
      </c>
      <c r="D29" s="565" t="e">
        <f t="shared" si="1"/>
        <v>#DIV/0!</v>
      </c>
      <c r="E29" s="565" t="e">
        <f t="shared" si="1"/>
        <v>#DIV/0!</v>
      </c>
      <c r="F29" s="565" t="e">
        <f t="shared" si="1"/>
        <v>#DIV/0!</v>
      </c>
      <c r="G29" s="565" t="e">
        <f t="shared" si="1"/>
        <v>#DIV/0!</v>
      </c>
      <c r="H29" s="565" t="e">
        <f t="shared" si="1"/>
        <v>#DIV/0!</v>
      </c>
      <c r="I29" s="565" t="e">
        <f t="shared" si="1"/>
        <v>#DIV/0!</v>
      </c>
      <c r="J29" s="565" t="e">
        <f t="shared" si="1"/>
        <v>#DIV/0!</v>
      </c>
      <c r="K29" s="565" t="e">
        <f t="shared" si="1"/>
        <v>#DIV/0!</v>
      </c>
      <c r="L29" s="565" t="e">
        <f t="shared" si="1"/>
        <v>#DIV/0!</v>
      </c>
      <c r="R29" s="120"/>
    </row>
    <row r="30" spans="1:18" ht="12.75">
      <c r="A30" s="444">
        <f>+A26</f>
        <v>1.25</v>
      </c>
      <c r="B30" s="446">
        <f>B26+5</f>
        <v>30</v>
      </c>
      <c r="C30" s="561" t="e">
        <f t="shared" si="1"/>
        <v>#DIV/0!</v>
      </c>
      <c r="D30" s="561" t="e">
        <f t="shared" si="1"/>
        <v>#DIV/0!</v>
      </c>
      <c r="E30" s="561" t="e">
        <f t="shared" si="1"/>
        <v>#DIV/0!</v>
      </c>
      <c r="F30" s="561" t="e">
        <f t="shared" si="1"/>
        <v>#DIV/0!</v>
      </c>
      <c r="G30" s="561" t="e">
        <f t="shared" si="1"/>
        <v>#DIV/0!</v>
      </c>
      <c r="H30" s="561" t="e">
        <f t="shared" si="1"/>
        <v>#DIV/0!</v>
      </c>
      <c r="I30" s="561" t="e">
        <f t="shared" si="1"/>
        <v>#DIV/0!</v>
      </c>
      <c r="J30" s="561" t="e">
        <f t="shared" si="1"/>
        <v>#DIV/0!</v>
      </c>
      <c r="K30" s="561" t="e">
        <f t="shared" si="1"/>
        <v>#DIV/0!</v>
      </c>
      <c r="L30" s="561" t="e">
        <f t="shared" si="1"/>
        <v>#DIV/0!</v>
      </c>
      <c r="R30" s="120"/>
    </row>
    <row r="31" spans="1:18" ht="12.75">
      <c r="A31" s="444">
        <f>+A30+0.05</f>
        <v>1.3</v>
      </c>
      <c r="B31" s="446">
        <f t="shared" si="2"/>
        <v>30</v>
      </c>
      <c r="C31" s="561" t="e">
        <f t="shared" si="1"/>
        <v>#DIV/0!</v>
      </c>
      <c r="D31" s="561" t="e">
        <f t="shared" si="1"/>
        <v>#DIV/0!</v>
      </c>
      <c r="E31" s="561" t="e">
        <f t="shared" si="1"/>
        <v>#DIV/0!</v>
      </c>
      <c r="F31" s="561" t="e">
        <f t="shared" si="1"/>
        <v>#DIV/0!</v>
      </c>
      <c r="G31" s="561" t="e">
        <f t="shared" si="1"/>
        <v>#DIV/0!</v>
      </c>
      <c r="H31" s="561" t="e">
        <f t="shared" si="1"/>
        <v>#DIV/0!</v>
      </c>
      <c r="I31" s="561" t="e">
        <f t="shared" si="1"/>
        <v>#DIV/0!</v>
      </c>
      <c r="J31" s="561" t="e">
        <f t="shared" si="1"/>
        <v>#DIV/0!</v>
      </c>
      <c r="K31" s="561" t="e">
        <f t="shared" si="1"/>
        <v>#DIV/0!</v>
      </c>
      <c r="L31" s="561" t="e">
        <f t="shared" si="1"/>
        <v>#DIV/0!</v>
      </c>
      <c r="R31" s="120"/>
    </row>
    <row r="32" spans="1:18" ht="12.75">
      <c r="A32" s="444">
        <f>+A31+0.05</f>
        <v>1.35</v>
      </c>
      <c r="B32" s="446">
        <f t="shared" si="2"/>
        <v>30</v>
      </c>
      <c r="C32" s="561" t="e">
        <f t="shared" si="1"/>
        <v>#DIV/0!</v>
      </c>
      <c r="D32" s="561" t="e">
        <f t="shared" si="1"/>
        <v>#DIV/0!</v>
      </c>
      <c r="E32" s="561" t="e">
        <f t="shared" si="1"/>
        <v>#DIV/0!</v>
      </c>
      <c r="F32" s="561" t="e">
        <f t="shared" si="1"/>
        <v>#DIV/0!</v>
      </c>
      <c r="G32" s="561" t="e">
        <f t="shared" si="1"/>
        <v>#DIV/0!</v>
      </c>
      <c r="H32" s="561" t="e">
        <f t="shared" si="1"/>
        <v>#DIV/0!</v>
      </c>
      <c r="I32" s="561" t="e">
        <f t="shared" si="1"/>
        <v>#DIV/0!</v>
      </c>
      <c r="J32" s="561" t="e">
        <f t="shared" si="1"/>
        <v>#DIV/0!</v>
      </c>
      <c r="K32" s="561" t="e">
        <f t="shared" si="1"/>
        <v>#DIV/0!</v>
      </c>
      <c r="L32" s="561" t="e">
        <f t="shared" si="1"/>
        <v>#DIV/0!</v>
      </c>
      <c r="R32" s="120"/>
    </row>
    <row r="33" spans="1:18" ht="12.75">
      <c r="A33" s="445">
        <f>+A32+0.05</f>
        <v>1.4000000000000001</v>
      </c>
      <c r="B33" s="447">
        <f t="shared" si="2"/>
        <v>30</v>
      </c>
      <c r="C33" s="565" t="e">
        <f t="shared" si="1"/>
        <v>#DIV/0!</v>
      </c>
      <c r="D33" s="565" t="e">
        <f t="shared" si="1"/>
        <v>#DIV/0!</v>
      </c>
      <c r="E33" s="565" t="e">
        <f t="shared" si="1"/>
        <v>#DIV/0!</v>
      </c>
      <c r="F33" s="565" t="e">
        <f t="shared" si="1"/>
        <v>#DIV/0!</v>
      </c>
      <c r="G33" s="565" t="e">
        <f t="shared" si="1"/>
        <v>#DIV/0!</v>
      </c>
      <c r="H33" s="565" t="e">
        <f t="shared" si="1"/>
        <v>#DIV/0!</v>
      </c>
      <c r="I33" s="565" t="e">
        <f t="shared" si="1"/>
        <v>#DIV/0!</v>
      </c>
      <c r="J33" s="565" t="e">
        <f t="shared" si="1"/>
        <v>#DIV/0!</v>
      </c>
      <c r="K33" s="565" t="e">
        <f t="shared" si="1"/>
        <v>#DIV/0!</v>
      </c>
      <c r="L33" s="565" t="e">
        <f t="shared" si="1"/>
        <v>#DIV/0!</v>
      </c>
      <c r="R33" s="120"/>
    </row>
    <row r="34" ht="12.75">
      <c r="R34" s="120"/>
    </row>
    <row r="35" spans="1:18" ht="12.75">
      <c r="A35" s="12" t="s">
        <v>52</v>
      </c>
      <c r="H35"/>
      <c r="I35"/>
      <c r="J35"/>
      <c r="K35"/>
      <c r="L35"/>
      <c r="R35" s="120"/>
    </row>
    <row r="36" spans="1:18" ht="12.75">
      <c r="A36" s="20" t="s">
        <v>53</v>
      </c>
      <c r="B36" s="21"/>
      <c r="C36" s="21"/>
      <c r="D36" s="21"/>
      <c r="E36" s="21"/>
      <c r="F36" s="22"/>
      <c r="G36"/>
      <c r="H36" s="20" t="s">
        <v>54</v>
      </c>
      <c r="I36" s="21"/>
      <c r="J36" s="21"/>
      <c r="K36" s="21"/>
      <c r="L36" s="22"/>
      <c r="R36" s="120"/>
    </row>
    <row r="37" spans="1:18" ht="12.75">
      <c r="A37" s="347" t="s">
        <v>55</v>
      </c>
      <c r="B37" s="287"/>
      <c r="C37" s="311"/>
      <c r="D37" s="287"/>
      <c r="E37" s="287"/>
      <c r="F37" s="345">
        <v>0</v>
      </c>
      <c r="G37"/>
      <c r="H37" s="347" t="s">
        <v>56</v>
      </c>
      <c r="I37" s="319"/>
      <c r="J37" s="311"/>
      <c r="K37" s="319" t="s">
        <v>57</v>
      </c>
      <c r="L37" s="345">
        <v>0</v>
      </c>
      <c r="R37" s="120"/>
    </row>
    <row r="38" spans="1:18" ht="12.75">
      <c r="A38" s="348" t="s">
        <v>58</v>
      </c>
      <c r="B38" s="292"/>
      <c r="C38" s="313"/>
      <c r="D38" s="292"/>
      <c r="E38" s="292"/>
      <c r="F38" s="346">
        <v>0</v>
      </c>
      <c r="G38"/>
      <c r="H38" s="348" t="s">
        <v>59</v>
      </c>
      <c r="I38" s="320"/>
      <c r="J38" s="313"/>
      <c r="K38" s="320"/>
      <c r="L38" s="346">
        <v>0</v>
      </c>
      <c r="R38" s="120"/>
    </row>
    <row r="39" spans="1:18" ht="12.75">
      <c r="A39" s="348" t="s">
        <v>60</v>
      </c>
      <c r="B39" s="292"/>
      <c r="C39" s="314"/>
      <c r="D39" s="292"/>
      <c r="E39" s="292"/>
      <c r="F39" s="346">
        <v>0</v>
      </c>
      <c r="G39"/>
      <c r="H39" s="348" t="s">
        <v>61</v>
      </c>
      <c r="I39" s="320"/>
      <c r="J39" s="314"/>
      <c r="K39" s="292"/>
      <c r="L39" s="346">
        <v>0</v>
      </c>
      <c r="R39" s="120"/>
    </row>
    <row r="40" spans="1:18" ht="12.75">
      <c r="A40" s="351" t="s">
        <v>62</v>
      </c>
      <c r="B40" s="292"/>
      <c r="C40" s="314"/>
      <c r="D40" s="292"/>
      <c r="E40" s="292"/>
      <c r="F40" s="346">
        <v>0</v>
      </c>
      <c r="G40"/>
      <c r="H40" s="348" t="s">
        <v>63</v>
      </c>
      <c r="I40" s="312"/>
      <c r="J40" s="314"/>
      <c r="K40" s="292"/>
      <c r="L40" s="346">
        <v>0</v>
      </c>
      <c r="R40" s="120"/>
    </row>
    <row r="41" spans="1:18" ht="12.75">
      <c r="A41" s="351"/>
      <c r="B41" s="292"/>
      <c r="C41" s="314"/>
      <c r="D41" s="292"/>
      <c r="E41" s="292"/>
      <c r="F41" s="353"/>
      <c r="G41"/>
      <c r="H41" s="348" t="s">
        <v>64</v>
      </c>
      <c r="I41" s="320"/>
      <c r="J41" s="314"/>
      <c r="K41" s="292"/>
      <c r="L41" s="346">
        <v>0</v>
      </c>
      <c r="R41" s="120"/>
    </row>
    <row r="42" spans="1:18" ht="12.75">
      <c r="A42" s="351"/>
      <c r="B42" s="292"/>
      <c r="C42" s="314"/>
      <c r="D42" s="292"/>
      <c r="E42" s="292"/>
      <c r="F42" s="353"/>
      <c r="G42"/>
      <c r="H42" s="348" t="s">
        <v>65</v>
      </c>
      <c r="I42" s="292"/>
      <c r="J42" s="314"/>
      <c r="K42" s="292"/>
      <c r="L42" s="346">
        <v>0</v>
      </c>
      <c r="R42" s="120"/>
    </row>
    <row r="43" spans="1:18" ht="12.75">
      <c r="A43" s="351"/>
      <c r="B43" s="292"/>
      <c r="C43" s="314"/>
      <c r="D43" s="292"/>
      <c r="E43" s="292"/>
      <c r="F43" s="353"/>
      <c r="G43"/>
      <c r="H43" s="348" t="s">
        <v>66</v>
      </c>
      <c r="I43" s="292"/>
      <c r="J43" s="314"/>
      <c r="K43" s="292"/>
      <c r="L43" s="346">
        <v>0</v>
      </c>
      <c r="R43" s="120"/>
    </row>
    <row r="44" spans="1:18" ht="12.75">
      <c r="A44" s="351"/>
      <c r="B44" s="292"/>
      <c r="C44" s="314"/>
      <c r="D44" s="292"/>
      <c r="E44" s="292"/>
      <c r="F44" s="353"/>
      <c r="G44"/>
      <c r="H44" s="348" t="s">
        <v>67</v>
      </c>
      <c r="I44" s="292"/>
      <c r="J44" s="314"/>
      <c r="K44" s="292"/>
      <c r="L44" s="346">
        <v>0</v>
      </c>
      <c r="R44" s="120"/>
    </row>
    <row r="45" spans="1:18" ht="12.75">
      <c r="A45" s="352"/>
      <c r="B45" s="289"/>
      <c r="C45" s="317"/>
      <c r="D45" s="289"/>
      <c r="E45" s="289"/>
      <c r="F45" s="354"/>
      <c r="G45"/>
      <c r="H45" s="349" t="s">
        <v>68</v>
      </c>
      <c r="I45" s="289"/>
      <c r="J45" s="317"/>
      <c r="K45" s="289"/>
      <c r="L45" s="346">
        <v>0</v>
      </c>
      <c r="R45" s="120"/>
    </row>
    <row r="46" spans="1:18" ht="12.75">
      <c r="A46" s="350" t="s">
        <v>69</v>
      </c>
      <c r="B46" s="302"/>
      <c r="C46" s="318"/>
      <c r="D46" s="302"/>
      <c r="E46" s="302"/>
      <c r="F46" s="469">
        <f>SUM(F37:F45)</f>
        <v>0</v>
      </c>
      <c r="G46"/>
      <c r="H46" s="350" t="s">
        <v>70</v>
      </c>
      <c r="I46" s="321"/>
      <c r="J46" s="318"/>
      <c r="K46" s="321" t="s">
        <v>43</v>
      </c>
      <c r="L46" s="469">
        <f>SUM(L37:L45)</f>
        <v>0</v>
      </c>
      <c r="R46" s="120"/>
    </row>
    <row r="47" spans="1:18" ht="12.75">
      <c r="A47" s="23"/>
      <c r="B47" s="7"/>
      <c r="C47" s="24"/>
      <c r="F47"/>
      <c r="G47" s="23"/>
      <c r="H47" s="24"/>
      <c r="R47" s="120"/>
    </row>
    <row r="48" spans="1:18" ht="12.75">
      <c r="A48" s="355" t="s">
        <v>71</v>
      </c>
      <c r="B48" s="356"/>
      <c r="C48" s="357"/>
      <c r="D48" s="356"/>
      <c r="F48" s="23"/>
      <c r="G48" s="23"/>
      <c r="H48" s="24"/>
      <c r="R48" s="120"/>
    </row>
    <row r="49" spans="1:18" ht="12.75">
      <c r="A49" s="358"/>
      <c r="B49" s="359"/>
      <c r="C49" s="360"/>
      <c r="D49" s="359"/>
      <c r="I49" s="23"/>
      <c r="J49" s="7"/>
      <c r="K49" s="25"/>
      <c r="L49" s="7"/>
      <c r="R49" s="120"/>
    </row>
    <row r="50" spans="1:18" ht="12.75">
      <c r="A50" s="358"/>
      <c r="B50" s="359"/>
      <c r="C50" s="361"/>
      <c r="D50" s="359"/>
      <c r="I50" s="23"/>
      <c r="J50" s="7"/>
      <c r="K50" s="24"/>
      <c r="L50" s="7"/>
      <c r="R50" s="120"/>
    </row>
    <row r="51" spans="1:18" ht="12.75">
      <c r="A51" s="359" t="s">
        <v>72</v>
      </c>
      <c r="B51" s="359"/>
      <c r="C51" s="359"/>
      <c r="D51" s="359"/>
      <c r="R51" s="120"/>
    </row>
    <row r="52" ht="12.75">
      <c r="R52" s="120"/>
    </row>
    <row r="53" ht="12.75">
      <c r="R53" s="120"/>
    </row>
    <row r="54" ht="12.75">
      <c r="R54" s="120"/>
    </row>
    <row r="55" ht="12.75">
      <c r="R55" s="120"/>
    </row>
    <row r="56" ht="12.75">
      <c r="R56" s="120"/>
    </row>
    <row r="57" ht="12.75">
      <c r="R57" s="120"/>
    </row>
    <row r="58" ht="12.75">
      <c r="R58" s="120"/>
    </row>
    <row r="59" ht="12.75">
      <c r="R59" s="120"/>
    </row>
    <row r="60" ht="12.75">
      <c r="R60" s="120"/>
    </row>
    <row r="61" ht="12.75">
      <c r="R61" s="120"/>
    </row>
    <row r="62" ht="12.75">
      <c r="R62" s="120"/>
    </row>
    <row r="63" ht="12.75">
      <c r="R63" s="120"/>
    </row>
    <row r="64" ht="12.75">
      <c r="R64" s="120"/>
    </row>
    <row r="65" ht="12.75">
      <c r="R65" s="120"/>
    </row>
    <row r="66" ht="12.75">
      <c r="R66" s="120"/>
    </row>
    <row r="67" ht="12.75">
      <c r="R67" s="120"/>
    </row>
    <row r="68" ht="12.75">
      <c r="R68" s="120"/>
    </row>
    <row r="69" ht="12.75">
      <c r="R69" s="120"/>
    </row>
    <row r="70" ht="12.75">
      <c r="R70" s="120"/>
    </row>
    <row r="71" ht="12.75">
      <c r="R71" s="120"/>
    </row>
    <row r="72" ht="12.75">
      <c r="R72" s="120"/>
    </row>
    <row r="73" ht="12.75">
      <c r="R73" s="120"/>
    </row>
    <row r="74" ht="12.75">
      <c r="R74" s="120"/>
    </row>
    <row r="75" ht="12.75">
      <c r="R75" s="120"/>
    </row>
    <row r="76" ht="12.75">
      <c r="R76" s="120"/>
    </row>
    <row r="77" ht="12.75">
      <c r="R77" s="120"/>
    </row>
    <row r="78" ht="12.75">
      <c r="R78" s="120"/>
    </row>
    <row r="79" ht="12.75">
      <c r="R79" s="120"/>
    </row>
    <row r="80" ht="12.75">
      <c r="R80" s="120"/>
    </row>
    <row r="81" ht="12.75">
      <c r="R81" s="120"/>
    </row>
    <row r="82" ht="12.75">
      <c r="R82" s="120"/>
    </row>
    <row r="83" ht="12.75">
      <c r="R83" s="120"/>
    </row>
    <row r="84" ht="12.75">
      <c r="R84" s="120"/>
    </row>
    <row r="85" ht="12.75">
      <c r="R85" s="120"/>
    </row>
    <row r="86" ht="12.75">
      <c r="R86" s="120"/>
    </row>
    <row r="87" ht="12.75">
      <c r="R87" s="120"/>
    </row>
    <row r="88" ht="12.75">
      <c r="R88" s="120"/>
    </row>
    <row r="89" ht="12.75">
      <c r="R89" s="120"/>
    </row>
    <row r="90" ht="12.75">
      <c r="R90" s="120"/>
    </row>
    <row r="91" ht="12.75">
      <c r="R91" s="120"/>
    </row>
    <row r="92" ht="12.75">
      <c r="R92" s="120"/>
    </row>
    <row r="93" ht="12.75">
      <c r="R93" s="120"/>
    </row>
    <row r="94" ht="12.75">
      <c r="R94" s="120"/>
    </row>
    <row r="95" ht="12.75">
      <c r="R95" s="120"/>
    </row>
    <row r="96" ht="12.75">
      <c r="R96" s="120"/>
    </row>
    <row r="97" ht="12.75">
      <c r="R97" s="120"/>
    </row>
    <row r="98" ht="12.75">
      <c r="R98" s="120"/>
    </row>
    <row r="99" ht="12.75">
      <c r="R99" s="120"/>
    </row>
    <row r="100" ht="12.75">
      <c r="R100" s="120"/>
    </row>
    <row r="101" ht="12.75">
      <c r="R101" s="120"/>
    </row>
    <row r="102" ht="12.75">
      <c r="R102" s="120"/>
    </row>
    <row r="103" ht="12.75">
      <c r="R103" s="120"/>
    </row>
    <row r="104" ht="12.75">
      <c r="R104" s="120"/>
    </row>
    <row r="105" ht="12.75">
      <c r="R105" s="120"/>
    </row>
    <row r="106" ht="12.75">
      <c r="R106" s="120"/>
    </row>
    <row r="107" ht="12.75">
      <c r="R107" s="120"/>
    </row>
    <row r="108" ht="12.75">
      <c r="R108" s="120"/>
    </row>
    <row r="109" ht="12.75">
      <c r="R109" s="120"/>
    </row>
    <row r="110" ht="12.75">
      <c r="R110" s="120"/>
    </row>
    <row r="111" ht="12.75">
      <c r="R111" s="120"/>
    </row>
    <row r="112" ht="12.75">
      <c r="R112" s="120"/>
    </row>
    <row r="113" ht="12.75">
      <c r="R113" s="120"/>
    </row>
    <row r="114" ht="12.75">
      <c r="R114" s="120"/>
    </row>
    <row r="115" ht="12.75">
      <c r="R115" s="120"/>
    </row>
    <row r="116" ht="12.75">
      <c r="R116" s="120"/>
    </row>
    <row r="117" ht="12.75">
      <c r="R117" s="120"/>
    </row>
    <row r="118" ht="12.75">
      <c r="R118" s="120"/>
    </row>
    <row r="119" ht="12.75">
      <c r="R119" s="120"/>
    </row>
    <row r="120" ht="12.75">
      <c r="R120" s="120"/>
    </row>
    <row r="121" ht="12.75">
      <c r="R121" s="120"/>
    </row>
    <row r="122" ht="12.75">
      <c r="R122" s="120"/>
    </row>
    <row r="123" ht="12.75">
      <c r="R123" s="120"/>
    </row>
    <row r="124" ht="12.75">
      <c r="R124" s="120"/>
    </row>
    <row r="125" ht="12.75">
      <c r="R125" s="120"/>
    </row>
    <row r="126" ht="12.75">
      <c r="R126" s="120"/>
    </row>
    <row r="127" ht="12.75">
      <c r="R127" s="120"/>
    </row>
    <row r="128" ht="12.75">
      <c r="R128" s="120"/>
    </row>
    <row r="129" ht="12.75">
      <c r="R129" s="120"/>
    </row>
    <row r="130" spans="18:20" ht="12.75">
      <c r="R130" s="120"/>
      <c r="T130" s="3">
        <f>(O130-Q130)/(0.078/12)-Q130</f>
        <v>0</v>
      </c>
    </row>
  </sheetData>
  <printOptions horizontalCentered="1"/>
  <pageMargins left="0.36" right="0.38" top="0.25" bottom="0.25" header="0.39" footer="0.33"/>
  <pageSetup fitToHeight="1" fitToWidth="1" horizontalDpi="300" verticalDpi="300" orientation="landscape" scale="84" r:id="rId2"/>
  <headerFooter alignWithMargins="0">
    <oddFooter>&amp;L&amp;"Times New Roman,Bold"For Discussion Purposes Only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A1" sqref="A1"/>
    </sheetView>
  </sheetViews>
  <sheetFormatPr defaultColWidth="9.33203125" defaultRowHeight="12.75"/>
  <cols>
    <col min="1" max="1" width="2.33203125" style="3" customWidth="1"/>
    <col min="2" max="2" width="24.5" style="3" customWidth="1"/>
    <col min="3" max="3" width="12.33203125" style="3" customWidth="1"/>
    <col min="4" max="4" width="7.33203125" style="3" customWidth="1"/>
    <col min="5" max="5" width="9.16015625" style="3" customWidth="1"/>
    <col min="6" max="6" width="1.0078125" style="3" customWidth="1"/>
    <col min="7" max="7" width="12.33203125" style="3" customWidth="1"/>
    <col min="8" max="8" width="7.33203125" style="3" customWidth="1"/>
    <col min="9" max="9" width="9" style="3" customWidth="1"/>
    <col min="10" max="10" width="1.0078125" style="3" customWidth="1"/>
    <col min="11" max="11" width="12.33203125" style="3" customWidth="1"/>
    <col min="12" max="12" width="7.33203125" style="3" customWidth="1"/>
    <col min="13" max="13" width="9.33203125" style="3" customWidth="1"/>
    <col min="14" max="14" width="1.0078125" style="3" customWidth="1"/>
    <col min="15" max="15" width="12.33203125" style="3" customWidth="1"/>
    <col min="16" max="16" width="7.33203125" style="3" customWidth="1"/>
    <col min="17" max="17" width="9.16015625" style="3" customWidth="1"/>
    <col min="18" max="18" width="1.0078125" style="3" customWidth="1"/>
    <col min="19" max="19" width="8.5" style="477" customWidth="1"/>
    <col min="20" max="20" width="16.83203125" style="3" customWidth="1"/>
    <col min="21" max="21" width="12.66015625" style="3" customWidth="1"/>
    <col min="22" max="22" width="15.5" style="3" hidden="1" customWidth="1"/>
    <col min="23" max="23" width="19.5" style="3" hidden="1" customWidth="1"/>
    <col min="24" max="16384" width="9.33203125" style="3" customWidth="1"/>
  </cols>
  <sheetData>
    <row r="1" spans="1:21" ht="18.75">
      <c r="A1" s="116"/>
      <c r="B1"/>
      <c r="C1"/>
      <c r="P1"/>
      <c r="Q1"/>
      <c r="S1" s="513"/>
      <c r="T1"/>
      <c r="U1" s="88" t="str">
        <f ca="1">CELL("filename")</f>
        <v>\\CLT-NETAPP02\B16771$\Bill\GSB @ LSU\CRE Case Study\Handout's\Rent Roll\[GSB Rent Roll Template.xls]RentRoll</v>
      </c>
    </row>
    <row r="2" spans="1:21" ht="15.75">
      <c r="A2" s="1" t="s">
        <v>73</v>
      </c>
      <c r="B2"/>
      <c r="C2"/>
      <c r="P2"/>
      <c r="Q2"/>
      <c r="R2" s="6"/>
      <c r="S2"/>
      <c r="T2" s="514" t="s">
        <v>2</v>
      </c>
      <c r="U2" s="5">
        <f ca="1">NOW()</f>
        <v>41043.64981782407</v>
      </c>
    </row>
    <row r="3" spans="1:21" ht="12.75">
      <c r="A3" s="89" t="s">
        <v>378</v>
      </c>
      <c r="B3" s="89"/>
      <c r="C3" s="419" t="str">
        <f>'Commercial Sizing'!C3</f>
        <v>Loan #</v>
      </c>
      <c r="P3"/>
      <c r="Q3"/>
      <c r="R3" s="6"/>
      <c r="S3" s="513"/>
      <c r="T3" s="6" t="s">
        <v>74</v>
      </c>
      <c r="U3" s="5">
        <f>'Commercial Sizing'!L3</f>
        <v>36923</v>
      </c>
    </row>
    <row r="4" spans="1:17" ht="12.75">
      <c r="A4" s="89" t="s">
        <v>11</v>
      </c>
      <c r="B4" s="89"/>
      <c r="C4" s="420" t="str">
        <f>+Property</f>
        <v>Property Name</v>
      </c>
      <c r="K4" s="89" t="s">
        <v>75</v>
      </c>
      <c r="Q4"/>
    </row>
    <row r="5" spans="1:17" ht="12.75">
      <c r="A5" s="89" t="s">
        <v>15</v>
      </c>
      <c r="B5" s="89"/>
      <c r="C5" s="419" t="str">
        <f>+'Commercial Sizing'!D7</f>
        <v>Property Type</v>
      </c>
      <c r="K5" s="286" t="s">
        <v>76</v>
      </c>
      <c r="L5" s="287"/>
      <c r="M5" s="287"/>
      <c r="N5" s="287"/>
      <c r="O5" s="287"/>
      <c r="P5" s="319"/>
      <c r="Q5" s="372">
        <v>0.05</v>
      </c>
    </row>
    <row r="6" spans="1:20" ht="12.75">
      <c r="A6" s="117" t="s">
        <v>77</v>
      </c>
      <c r="B6" s="89"/>
      <c r="C6" s="421">
        <f>+NRSF</f>
        <v>0</v>
      </c>
      <c r="K6" s="291" t="s">
        <v>78</v>
      </c>
      <c r="L6" s="292"/>
      <c r="M6" s="292"/>
      <c r="N6" s="292"/>
      <c r="O6" s="292"/>
      <c r="P6" s="320"/>
      <c r="Q6" s="373">
        <v>0.05</v>
      </c>
      <c r="S6" s="515"/>
      <c r="T6" s="7"/>
    </row>
    <row r="7" spans="1:20" ht="12.75">
      <c r="A7" s="117"/>
      <c r="B7" s="89"/>
      <c r="C7" s="99"/>
      <c r="K7" s="288" t="s">
        <v>79</v>
      </c>
      <c r="L7" s="289"/>
      <c r="M7" s="289"/>
      <c r="N7" s="289"/>
      <c r="O7" s="289"/>
      <c r="P7" s="322"/>
      <c r="Q7" s="374">
        <v>0.25</v>
      </c>
      <c r="S7" s="515"/>
      <c r="T7" s="7"/>
    </row>
    <row r="8" spans="1:20" ht="12.75">
      <c r="A8" s="117"/>
      <c r="B8" s="89"/>
      <c r="C8" s="99"/>
      <c r="P8" s="11"/>
      <c r="S8" s="515"/>
      <c r="T8" s="7"/>
    </row>
    <row r="9" spans="3:21" ht="12.75">
      <c r="C9" s="27"/>
      <c r="D9" s="176">
        <f>H9-1</f>
        <v>2001</v>
      </c>
      <c r="E9" s="28"/>
      <c r="F9" s="7"/>
      <c r="G9" s="27"/>
      <c r="H9" s="176">
        <f>L9-1</f>
        <v>2002</v>
      </c>
      <c r="I9" s="28"/>
      <c r="J9" s="7"/>
      <c r="K9" s="27"/>
      <c r="L9" s="176">
        <f>YEAR('Commercial Sizing'!F17)-1</f>
        <v>2003</v>
      </c>
      <c r="M9" s="28"/>
      <c r="O9" s="257"/>
      <c r="P9" s="258" t="s">
        <v>80</v>
      </c>
      <c r="Q9" s="259"/>
      <c r="S9" s="516" t="s">
        <v>81</v>
      </c>
      <c r="T9" s="449" t="s">
        <v>82</v>
      </c>
      <c r="U9" s="450"/>
    </row>
    <row r="10" spans="3:21" ht="12.75">
      <c r="C10" s="30"/>
      <c r="D10" s="31" t="s">
        <v>83</v>
      </c>
      <c r="E10" s="32"/>
      <c r="F10" s="7"/>
      <c r="G10" s="30"/>
      <c r="H10" s="31" t="s">
        <v>83</v>
      </c>
      <c r="I10" s="32"/>
      <c r="J10" s="7"/>
      <c r="K10" s="30"/>
      <c r="L10" s="31" t="s">
        <v>83</v>
      </c>
      <c r="M10" s="32"/>
      <c r="O10" s="260"/>
      <c r="P10" s="261" t="s">
        <v>84</v>
      </c>
      <c r="Q10" s="262"/>
      <c r="S10" s="517" t="s">
        <v>85</v>
      </c>
      <c r="T10" s="451"/>
      <c r="U10" s="452"/>
    </row>
    <row r="11" spans="3:21" ht="12.75">
      <c r="C11" s="33" t="s">
        <v>86</v>
      </c>
      <c r="D11" s="36" t="s">
        <v>87</v>
      </c>
      <c r="E11" s="37" t="s">
        <v>88</v>
      </c>
      <c r="F11" s="9"/>
      <c r="G11" s="33" t="s">
        <v>86</v>
      </c>
      <c r="H11" s="36" t="s">
        <v>87</v>
      </c>
      <c r="I11" s="37" t="s">
        <v>88</v>
      </c>
      <c r="J11" s="9"/>
      <c r="K11" s="33" t="s">
        <v>86</v>
      </c>
      <c r="L11" s="36" t="s">
        <v>87</v>
      </c>
      <c r="M11" s="37" t="s">
        <v>88</v>
      </c>
      <c r="O11" s="263" t="s">
        <v>86</v>
      </c>
      <c r="P11" s="264" t="s">
        <v>87</v>
      </c>
      <c r="Q11" s="265" t="s">
        <v>88</v>
      </c>
      <c r="S11" s="518" t="s">
        <v>89</v>
      </c>
      <c r="T11" s="453"/>
      <c r="U11" s="454"/>
    </row>
    <row r="12" spans="1:21" ht="12.75">
      <c r="A12" s="12" t="s">
        <v>90</v>
      </c>
      <c r="B12"/>
      <c r="C12" s="34"/>
      <c r="D12" s="40"/>
      <c r="E12" s="35"/>
      <c r="F12" s="7"/>
      <c r="G12" s="34"/>
      <c r="H12" s="40"/>
      <c r="I12" s="35"/>
      <c r="J12" s="7"/>
      <c r="K12" s="34"/>
      <c r="L12" s="40"/>
      <c r="M12" s="35"/>
      <c r="O12" s="260"/>
      <c r="P12" s="266"/>
      <c r="Q12" s="262"/>
      <c r="S12" s="519"/>
      <c r="T12" s="486"/>
      <c r="U12" s="487"/>
    </row>
    <row r="13" spans="2:23" ht="12.75">
      <c r="B13" s="362" t="s">
        <v>91</v>
      </c>
      <c r="C13" s="365">
        <v>0</v>
      </c>
      <c r="D13" s="41"/>
      <c r="E13" s="42" t="e">
        <f aca="true" t="shared" si="0" ref="E13:E23">C13/$C$6</f>
        <v>#DIV/0!</v>
      </c>
      <c r="F13" s="95"/>
      <c r="G13" s="365">
        <v>0</v>
      </c>
      <c r="H13" s="41"/>
      <c r="I13" s="42" t="e">
        <f aca="true" t="shared" si="1" ref="I13:I23">G13/$C$6</f>
        <v>#DIV/0!</v>
      </c>
      <c r="J13" s="95"/>
      <c r="K13" s="365">
        <v>0</v>
      </c>
      <c r="L13" s="41"/>
      <c r="M13" s="42" t="e">
        <f aca="true" t="shared" si="2" ref="M13:M23">K13/$C$6</f>
        <v>#DIV/0!</v>
      </c>
      <c r="O13" s="267">
        <f>RentRoll!$K$28</f>
        <v>0</v>
      </c>
      <c r="P13" s="268"/>
      <c r="Q13" s="269" t="e">
        <f aca="true" t="shared" si="3" ref="Q13:Q23">O13/$C$6</f>
        <v>#DIV/0!</v>
      </c>
      <c r="S13" s="520"/>
      <c r="T13" s="351"/>
      <c r="U13" s="484"/>
      <c r="V13" s="359" t="b">
        <v>1</v>
      </c>
      <c r="W13" s="3">
        <f>IF(V13=TRUE,O13*$P$22,0)</f>
        <v>0</v>
      </c>
    </row>
    <row r="14" spans="2:23" ht="12.75">
      <c r="B14" s="362" t="s">
        <v>92</v>
      </c>
      <c r="C14" s="365">
        <v>0</v>
      </c>
      <c r="D14" s="41"/>
      <c r="E14" s="42" t="e">
        <f t="shared" si="0"/>
        <v>#DIV/0!</v>
      </c>
      <c r="F14" s="95"/>
      <c r="G14" s="365">
        <v>0</v>
      </c>
      <c r="H14" s="41"/>
      <c r="I14" s="42" t="e">
        <f t="shared" si="1"/>
        <v>#DIV/0!</v>
      </c>
      <c r="J14" s="95"/>
      <c r="K14" s="365">
        <v>0</v>
      </c>
      <c r="L14" s="41"/>
      <c r="M14" s="42" t="e">
        <f t="shared" si="2"/>
        <v>#DIV/0!</v>
      </c>
      <c r="O14" s="369">
        <v>0</v>
      </c>
      <c r="P14" s="268"/>
      <c r="Q14" s="269" t="e">
        <f t="shared" si="3"/>
        <v>#DIV/0!</v>
      </c>
      <c r="S14" s="520"/>
      <c r="T14" s="351"/>
      <c r="U14" s="484"/>
      <c r="V14" s="359" t="b">
        <v>1</v>
      </c>
      <c r="W14" s="3">
        <f aca="true" t="shared" si="4" ref="W14:W20">IF(V14=TRUE,O14*$P$22,0)</f>
        <v>0</v>
      </c>
    </row>
    <row r="15" spans="2:23" ht="12.75">
      <c r="B15" s="363" t="s">
        <v>93</v>
      </c>
      <c r="C15" s="365">
        <v>0</v>
      </c>
      <c r="D15" s="41"/>
      <c r="E15" s="42" t="e">
        <f t="shared" si="0"/>
        <v>#DIV/0!</v>
      </c>
      <c r="F15" s="95"/>
      <c r="G15" s="365">
        <v>0</v>
      </c>
      <c r="H15" s="41"/>
      <c r="I15" s="42" t="e">
        <f t="shared" si="1"/>
        <v>#DIV/0!</v>
      </c>
      <c r="J15" s="95"/>
      <c r="K15" s="365">
        <v>0</v>
      </c>
      <c r="L15" s="41"/>
      <c r="M15" s="42" t="e">
        <f t="shared" si="2"/>
        <v>#DIV/0!</v>
      </c>
      <c r="O15" s="369">
        <v>0</v>
      </c>
      <c r="P15" s="268"/>
      <c r="Q15" s="269" t="e">
        <f t="shared" si="3"/>
        <v>#DIV/0!</v>
      </c>
      <c r="S15" s="520"/>
      <c r="T15" s="351"/>
      <c r="U15" s="484"/>
      <c r="V15" s="359" t="b">
        <v>1</v>
      </c>
      <c r="W15" s="3">
        <f t="shared" si="4"/>
        <v>0</v>
      </c>
    </row>
    <row r="16" spans="2:23" ht="12.75">
      <c r="B16" s="363" t="s">
        <v>94</v>
      </c>
      <c r="C16" s="365">
        <v>0</v>
      </c>
      <c r="D16" s="41"/>
      <c r="E16" s="42" t="e">
        <f t="shared" si="0"/>
        <v>#DIV/0!</v>
      </c>
      <c r="F16" s="95"/>
      <c r="G16" s="365">
        <v>0</v>
      </c>
      <c r="H16" s="41"/>
      <c r="I16" s="42" t="e">
        <f t="shared" si="1"/>
        <v>#DIV/0!</v>
      </c>
      <c r="J16" s="95"/>
      <c r="K16" s="365">
        <v>0</v>
      </c>
      <c r="L16" s="41"/>
      <c r="M16" s="42" t="e">
        <f t="shared" si="2"/>
        <v>#DIV/0!</v>
      </c>
      <c r="O16" s="369">
        <v>0</v>
      </c>
      <c r="P16" s="268"/>
      <c r="Q16" s="269" t="e">
        <f t="shared" si="3"/>
        <v>#DIV/0!</v>
      </c>
      <c r="S16" s="520"/>
      <c r="T16" s="351"/>
      <c r="U16" s="484"/>
      <c r="V16" s="359" t="b">
        <v>1</v>
      </c>
      <c r="W16" s="3">
        <f t="shared" si="4"/>
        <v>0</v>
      </c>
    </row>
    <row r="17" spans="2:23" ht="12.75">
      <c r="B17" s="363" t="s">
        <v>95</v>
      </c>
      <c r="C17" s="365">
        <v>0</v>
      </c>
      <c r="D17" s="41"/>
      <c r="E17" s="42" t="e">
        <f t="shared" si="0"/>
        <v>#DIV/0!</v>
      </c>
      <c r="F17" s="95"/>
      <c r="G17" s="365">
        <v>0</v>
      </c>
      <c r="H17" s="41"/>
      <c r="I17" s="42" t="e">
        <f t="shared" si="1"/>
        <v>#DIV/0!</v>
      </c>
      <c r="J17" s="95"/>
      <c r="K17" s="365">
        <v>0</v>
      </c>
      <c r="L17" s="41"/>
      <c r="M17" s="42" t="e">
        <f t="shared" si="2"/>
        <v>#DIV/0!</v>
      </c>
      <c r="O17" s="369">
        <v>0</v>
      </c>
      <c r="P17" s="268"/>
      <c r="Q17" s="269" t="e">
        <f t="shared" si="3"/>
        <v>#DIV/0!</v>
      </c>
      <c r="S17" s="520"/>
      <c r="T17" s="351"/>
      <c r="U17" s="484"/>
      <c r="V17" s="359" t="b">
        <v>1</v>
      </c>
      <c r="W17" s="3">
        <f t="shared" si="4"/>
        <v>0</v>
      </c>
    </row>
    <row r="18" spans="2:23" ht="12.75">
      <c r="B18" s="363" t="s">
        <v>96</v>
      </c>
      <c r="C18" s="365">
        <v>0</v>
      </c>
      <c r="D18" s="41"/>
      <c r="E18" s="42" t="e">
        <f t="shared" si="0"/>
        <v>#DIV/0!</v>
      </c>
      <c r="F18" s="95"/>
      <c r="G18" s="365">
        <v>0</v>
      </c>
      <c r="H18" s="41"/>
      <c r="I18" s="42" t="e">
        <f t="shared" si="1"/>
        <v>#DIV/0!</v>
      </c>
      <c r="J18" s="95"/>
      <c r="K18" s="365">
        <v>0</v>
      </c>
      <c r="L18" s="41"/>
      <c r="M18" s="42" t="e">
        <f t="shared" si="2"/>
        <v>#DIV/0!</v>
      </c>
      <c r="O18" s="369">
        <v>0</v>
      </c>
      <c r="P18" s="268"/>
      <c r="Q18" s="269" t="e">
        <f t="shared" si="3"/>
        <v>#DIV/0!</v>
      </c>
      <c r="S18" s="520"/>
      <c r="T18" s="351"/>
      <c r="U18" s="484"/>
      <c r="V18" s="359" t="b">
        <v>1</v>
      </c>
      <c r="W18" s="3">
        <f t="shared" si="4"/>
        <v>0</v>
      </c>
    </row>
    <row r="19" spans="2:23" ht="12.75">
      <c r="B19" s="363" t="s">
        <v>97</v>
      </c>
      <c r="C19" s="365">
        <v>0</v>
      </c>
      <c r="D19" s="41"/>
      <c r="E19" s="42" t="e">
        <f t="shared" si="0"/>
        <v>#DIV/0!</v>
      </c>
      <c r="F19" s="95"/>
      <c r="G19" s="365">
        <v>0</v>
      </c>
      <c r="H19" s="41"/>
      <c r="I19" s="42" t="e">
        <f t="shared" si="1"/>
        <v>#DIV/0!</v>
      </c>
      <c r="J19" s="95"/>
      <c r="K19" s="365">
        <v>0</v>
      </c>
      <c r="L19" s="41"/>
      <c r="M19" s="42" t="e">
        <f t="shared" si="2"/>
        <v>#DIV/0!</v>
      </c>
      <c r="O19" s="369">
        <v>0</v>
      </c>
      <c r="P19" s="268"/>
      <c r="Q19" s="269" t="e">
        <f t="shared" si="3"/>
        <v>#DIV/0!</v>
      </c>
      <c r="S19" s="520"/>
      <c r="T19" s="351"/>
      <c r="U19" s="484"/>
      <c r="V19" s="359" t="b">
        <v>1</v>
      </c>
      <c r="W19" s="3">
        <f t="shared" si="4"/>
        <v>0</v>
      </c>
    </row>
    <row r="20" spans="2:23" ht="12.75">
      <c r="B20" s="363" t="s">
        <v>98</v>
      </c>
      <c r="C20" s="366">
        <v>0</v>
      </c>
      <c r="D20" s="101"/>
      <c r="E20" s="45" t="e">
        <f t="shared" si="0"/>
        <v>#DIV/0!</v>
      </c>
      <c r="F20" s="95"/>
      <c r="G20" s="366">
        <v>0</v>
      </c>
      <c r="H20" s="44"/>
      <c r="I20" s="45" t="e">
        <f t="shared" si="1"/>
        <v>#DIV/0!</v>
      </c>
      <c r="J20" s="95"/>
      <c r="K20" s="366">
        <v>0</v>
      </c>
      <c r="L20" s="44"/>
      <c r="M20" s="45" t="e">
        <f t="shared" si="2"/>
        <v>#DIV/0!</v>
      </c>
      <c r="O20" s="370">
        <v>0</v>
      </c>
      <c r="P20" s="270"/>
      <c r="Q20" s="271" t="e">
        <f t="shared" si="3"/>
        <v>#DIV/0!</v>
      </c>
      <c r="S20" s="520"/>
      <c r="T20" s="352"/>
      <c r="U20" s="485"/>
      <c r="V20" s="359" t="b">
        <v>1</v>
      </c>
      <c r="W20" s="3">
        <f t="shared" si="4"/>
        <v>0</v>
      </c>
    </row>
    <row r="21" spans="1:21" ht="12.75">
      <c r="A21" s="12" t="s">
        <v>99</v>
      </c>
      <c r="B21" s="364"/>
      <c r="C21" s="103">
        <f>SUM(C13:C20)</f>
        <v>0</v>
      </c>
      <c r="D21" s="41"/>
      <c r="E21" s="42" t="e">
        <f t="shared" si="0"/>
        <v>#DIV/0!</v>
      </c>
      <c r="F21" s="95"/>
      <c r="G21" s="103">
        <f>SUM(G13:G20)</f>
        <v>0</v>
      </c>
      <c r="H21" s="41"/>
      <c r="I21" s="42" t="e">
        <f t="shared" si="1"/>
        <v>#DIV/0!</v>
      </c>
      <c r="J21" s="95"/>
      <c r="K21" s="103">
        <f>SUM(K13:K20)</f>
        <v>0</v>
      </c>
      <c r="L21" s="41"/>
      <c r="M21" s="42" t="e">
        <f t="shared" si="2"/>
        <v>#DIV/0!</v>
      </c>
      <c r="O21" s="272">
        <f>SUM(O13:O20)</f>
        <v>0</v>
      </c>
      <c r="P21" s="268"/>
      <c r="Q21" s="269" t="e">
        <f t="shared" si="3"/>
        <v>#DIV/0!</v>
      </c>
      <c r="S21" s="486"/>
      <c r="T21" s="508"/>
      <c r="U21" s="487"/>
    </row>
    <row r="22" spans="2:23" ht="12.75">
      <c r="B22" s="362" t="s">
        <v>100</v>
      </c>
      <c r="C22" s="366">
        <v>0</v>
      </c>
      <c r="D22" s="44" t="e">
        <f>C22/C21</f>
        <v>#DIV/0!</v>
      </c>
      <c r="E22" s="45" t="e">
        <f t="shared" si="0"/>
        <v>#DIV/0!</v>
      </c>
      <c r="F22" s="95"/>
      <c r="G22" s="366">
        <v>0</v>
      </c>
      <c r="H22" s="44" t="e">
        <f>-G22/G21</f>
        <v>#DIV/0!</v>
      </c>
      <c r="I22" s="45" t="e">
        <f t="shared" si="1"/>
        <v>#DIV/0!</v>
      </c>
      <c r="J22" s="95"/>
      <c r="K22" s="366">
        <v>0</v>
      </c>
      <c r="L22" s="44" t="e">
        <f>-K22/K21</f>
        <v>#DIV/0!</v>
      </c>
      <c r="M22" s="45" t="e">
        <f t="shared" si="2"/>
        <v>#DIV/0!</v>
      </c>
      <c r="O22" s="273">
        <f>$W$22</f>
        <v>0</v>
      </c>
      <c r="P22" s="274">
        <f>Q5</f>
        <v>0.05</v>
      </c>
      <c r="Q22" s="271" t="e">
        <f t="shared" si="3"/>
        <v>#DIV/0!</v>
      </c>
      <c r="S22" s="352"/>
      <c r="T22" s="507"/>
      <c r="U22" s="485"/>
      <c r="W22" s="3">
        <f>SUM(W13:W20)</f>
        <v>0</v>
      </c>
    </row>
    <row r="23" spans="1:21" ht="12.75">
      <c r="A23" s="12" t="s">
        <v>101</v>
      </c>
      <c r="B23" s="364"/>
      <c r="C23" s="121">
        <f>C21-C22</f>
        <v>0</v>
      </c>
      <c r="D23" s="127"/>
      <c r="E23" s="470" t="e">
        <f t="shared" si="0"/>
        <v>#DIV/0!</v>
      </c>
      <c r="F23" s="124"/>
      <c r="G23" s="121">
        <f>G21-G22</f>
        <v>0</v>
      </c>
      <c r="H23" s="127"/>
      <c r="I23" s="470" t="e">
        <f t="shared" si="1"/>
        <v>#DIV/0!</v>
      </c>
      <c r="J23" s="124"/>
      <c r="K23" s="121">
        <f>K21-K22</f>
        <v>0</v>
      </c>
      <c r="L23" s="127"/>
      <c r="M23" s="470" t="e">
        <f t="shared" si="2"/>
        <v>#DIV/0!</v>
      </c>
      <c r="N23" s="125"/>
      <c r="O23" s="280">
        <f>O21-O22</f>
        <v>0</v>
      </c>
      <c r="P23" s="275"/>
      <c r="Q23" s="471" t="e">
        <f t="shared" si="3"/>
        <v>#DIV/0!</v>
      </c>
      <c r="S23" s="488"/>
      <c r="T23" s="509"/>
      <c r="U23" s="489"/>
    </row>
    <row r="24" spans="2:21" ht="12.75">
      <c r="B24" s="359"/>
      <c r="C24" s="367"/>
      <c r="D24" s="41"/>
      <c r="E24" s="46"/>
      <c r="F24" s="96"/>
      <c r="G24" s="367"/>
      <c r="H24" s="41"/>
      <c r="I24" s="46"/>
      <c r="J24" s="96"/>
      <c r="K24" s="367"/>
      <c r="L24" s="41"/>
      <c r="M24" s="46"/>
      <c r="O24" s="260"/>
      <c r="P24" s="268"/>
      <c r="Q24" s="276"/>
      <c r="S24" s="486"/>
      <c r="T24" s="508"/>
      <c r="U24" s="487"/>
    </row>
    <row r="25" spans="1:21" ht="12.75">
      <c r="A25" s="12" t="s">
        <v>102</v>
      </c>
      <c r="B25" s="364"/>
      <c r="C25" s="367"/>
      <c r="D25" s="41"/>
      <c r="E25" s="46"/>
      <c r="F25" s="96"/>
      <c r="G25" s="367"/>
      <c r="H25" s="41"/>
      <c r="I25" s="46"/>
      <c r="J25" s="96"/>
      <c r="K25" s="367"/>
      <c r="L25" s="41"/>
      <c r="M25" s="46"/>
      <c r="O25" s="260"/>
      <c r="P25" s="268"/>
      <c r="Q25" s="276"/>
      <c r="S25" s="351"/>
      <c r="T25" s="506"/>
      <c r="U25" s="484"/>
    </row>
    <row r="26" spans="2:21" ht="12.75">
      <c r="B26" s="362" t="s">
        <v>78</v>
      </c>
      <c r="C26" s="365">
        <v>0</v>
      </c>
      <c r="D26" s="47" t="e">
        <f>C26/C23</f>
        <v>#DIV/0!</v>
      </c>
      <c r="E26" s="42" t="e">
        <f aca="true" t="shared" si="5" ref="E26:E36">C26/$C$6</f>
        <v>#DIV/0!</v>
      </c>
      <c r="F26" s="95"/>
      <c r="G26" s="365">
        <v>0</v>
      </c>
      <c r="H26" s="47" t="e">
        <f>G26/G23</f>
        <v>#DIV/0!</v>
      </c>
      <c r="I26" s="42" t="e">
        <f aca="true" t="shared" si="6" ref="I26:I36">G26/$C$6</f>
        <v>#DIV/0!</v>
      </c>
      <c r="J26" s="95"/>
      <c r="K26" s="365">
        <v>0</v>
      </c>
      <c r="L26" s="47" t="e">
        <f>K26/K23</f>
        <v>#DIV/0!</v>
      </c>
      <c r="M26" s="42" t="e">
        <f aca="true" t="shared" si="7" ref="M26:M36">K26/$C$6</f>
        <v>#DIV/0!</v>
      </c>
      <c r="O26" s="267">
        <f>O23*P26</f>
        <v>0</v>
      </c>
      <c r="P26" s="277">
        <f>Q6</f>
        <v>0.05</v>
      </c>
      <c r="Q26" s="278" t="e">
        <f aca="true" t="shared" si="8" ref="Q26:Q36">O26/$C$6</f>
        <v>#DIV/0!</v>
      </c>
      <c r="S26" s="351"/>
      <c r="T26" s="506"/>
      <c r="U26" s="484"/>
    </row>
    <row r="27" spans="2:21" ht="12.75">
      <c r="B27" s="362" t="s">
        <v>103</v>
      </c>
      <c r="C27" s="365">
        <v>0</v>
      </c>
      <c r="D27" s="41"/>
      <c r="E27" s="42" t="e">
        <f t="shared" si="5"/>
        <v>#DIV/0!</v>
      </c>
      <c r="F27" s="95"/>
      <c r="G27" s="365">
        <v>0</v>
      </c>
      <c r="H27" s="41"/>
      <c r="I27" s="42" t="e">
        <f t="shared" si="6"/>
        <v>#DIV/0!</v>
      </c>
      <c r="J27" s="95"/>
      <c r="K27" s="365">
        <v>0</v>
      </c>
      <c r="L27" s="41"/>
      <c r="M27" s="42" t="e">
        <f t="shared" si="7"/>
        <v>#DIV/0!</v>
      </c>
      <c r="O27" s="369">
        <v>0</v>
      </c>
      <c r="P27" s="268"/>
      <c r="Q27" s="269" t="e">
        <f t="shared" si="8"/>
        <v>#DIV/0!</v>
      </c>
      <c r="S27" s="351"/>
      <c r="T27" s="506"/>
      <c r="U27" s="484"/>
    </row>
    <row r="28" spans="2:21" ht="12.75">
      <c r="B28" s="362" t="s">
        <v>104</v>
      </c>
      <c r="C28" s="365">
        <v>0</v>
      </c>
      <c r="D28" s="41"/>
      <c r="E28" s="42" t="e">
        <f t="shared" si="5"/>
        <v>#DIV/0!</v>
      </c>
      <c r="F28" s="95"/>
      <c r="G28" s="365">
        <v>0</v>
      </c>
      <c r="H28" s="41"/>
      <c r="I28" s="42" t="e">
        <f t="shared" si="6"/>
        <v>#DIV/0!</v>
      </c>
      <c r="J28" s="95"/>
      <c r="K28" s="365">
        <v>0</v>
      </c>
      <c r="L28" s="41"/>
      <c r="M28" s="42" t="e">
        <f t="shared" si="7"/>
        <v>#DIV/0!</v>
      </c>
      <c r="O28" s="369">
        <v>0</v>
      </c>
      <c r="P28" s="268"/>
      <c r="Q28" s="269" t="e">
        <f t="shared" si="8"/>
        <v>#DIV/0!</v>
      </c>
      <c r="S28" s="351"/>
      <c r="T28" s="506"/>
      <c r="U28" s="484"/>
    </row>
    <row r="29" spans="2:21" ht="12.75">
      <c r="B29" s="362" t="s">
        <v>105</v>
      </c>
      <c r="C29" s="365">
        <v>0</v>
      </c>
      <c r="D29" s="41"/>
      <c r="E29" s="42" t="e">
        <f t="shared" si="5"/>
        <v>#DIV/0!</v>
      </c>
      <c r="F29" s="95"/>
      <c r="G29" s="365">
        <v>0</v>
      </c>
      <c r="H29" s="41"/>
      <c r="I29" s="42" t="e">
        <f t="shared" si="6"/>
        <v>#DIV/0!</v>
      </c>
      <c r="J29" s="95"/>
      <c r="K29" s="365">
        <v>0</v>
      </c>
      <c r="L29" s="41"/>
      <c r="M29" s="42" t="e">
        <f t="shared" si="7"/>
        <v>#DIV/0!</v>
      </c>
      <c r="O29" s="369">
        <v>0</v>
      </c>
      <c r="P29" s="268"/>
      <c r="Q29" s="269" t="e">
        <f t="shared" si="8"/>
        <v>#DIV/0!</v>
      </c>
      <c r="S29" s="351"/>
      <c r="T29" s="506"/>
      <c r="U29" s="484"/>
    </row>
    <row r="30" spans="2:21" ht="12.75">
      <c r="B30" s="362" t="s">
        <v>106</v>
      </c>
      <c r="C30" s="365">
        <v>0</v>
      </c>
      <c r="D30" s="41"/>
      <c r="E30" s="42" t="e">
        <f t="shared" si="5"/>
        <v>#DIV/0!</v>
      </c>
      <c r="F30" s="95"/>
      <c r="G30" s="365">
        <v>0</v>
      </c>
      <c r="H30" s="41"/>
      <c r="I30" s="42" t="e">
        <f t="shared" si="6"/>
        <v>#DIV/0!</v>
      </c>
      <c r="J30" s="95"/>
      <c r="K30" s="365">
        <v>0</v>
      </c>
      <c r="L30" s="41"/>
      <c r="M30" s="42" t="e">
        <f t="shared" si="7"/>
        <v>#DIV/0!</v>
      </c>
      <c r="O30" s="369">
        <v>0</v>
      </c>
      <c r="P30" s="268"/>
      <c r="Q30" s="269" t="e">
        <f t="shared" si="8"/>
        <v>#DIV/0!</v>
      </c>
      <c r="S30" s="351"/>
      <c r="T30" s="506"/>
      <c r="U30" s="484"/>
    </row>
    <row r="31" spans="2:21" ht="12.75">
      <c r="B31" s="363" t="s">
        <v>107</v>
      </c>
      <c r="C31" s="365">
        <v>0</v>
      </c>
      <c r="D31" s="41"/>
      <c r="E31" s="42" t="e">
        <f t="shared" si="5"/>
        <v>#DIV/0!</v>
      </c>
      <c r="F31" s="95"/>
      <c r="G31" s="365">
        <v>0</v>
      </c>
      <c r="H31" s="41"/>
      <c r="I31" s="42" t="e">
        <f t="shared" si="6"/>
        <v>#DIV/0!</v>
      </c>
      <c r="J31" s="95"/>
      <c r="K31" s="365">
        <v>0</v>
      </c>
      <c r="L31" s="41"/>
      <c r="M31" s="42" t="e">
        <f t="shared" si="7"/>
        <v>#DIV/0!</v>
      </c>
      <c r="O31" s="369">
        <v>0</v>
      </c>
      <c r="P31" s="268"/>
      <c r="Q31" s="269" t="e">
        <f t="shared" si="8"/>
        <v>#DIV/0!</v>
      </c>
      <c r="S31" s="351"/>
      <c r="T31" s="506"/>
      <c r="U31" s="484"/>
    </row>
    <row r="32" spans="2:21" ht="12.75">
      <c r="B32" s="363" t="s">
        <v>108</v>
      </c>
      <c r="C32" s="365">
        <v>0</v>
      </c>
      <c r="D32" s="41"/>
      <c r="E32" s="42" t="e">
        <f t="shared" si="5"/>
        <v>#DIV/0!</v>
      </c>
      <c r="F32" s="95"/>
      <c r="G32" s="365">
        <v>0</v>
      </c>
      <c r="H32" s="41"/>
      <c r="I32" s="42" t="e">
        <f t="shared" si="6"/>
        <v>#DIV/0!</v>
      </c>
      <c r="J32" s="95"/>
      <c r="K32" s="365">
        <v>0</v>
      </c>
      <c r="L32" s="41"/>
      <c r="M32" s="42" t="e">
        <f t="shared" si="7"/>
        <v>#DIV/0!</v>
      </c>
      <c r="O32" s="369">
        <v>0</v>
      </c>
      <c r="P32" s="268"/>
      <c r="Q32" s="269" t="e">
        <f t="shared" si="8"/>
        <v>#DIV/0!</v>
      </c>
      <c r="S32" s="351"/>
      <c r="T32" s="506"/>
      <c r="U32" s="484"/>
    </row>
    <row r="33" spans="2:21" ht="12.75">
      <c r="B33" s="363" t="s">
        <v>109</v>
      </c>
      <c r="C33" s="365">
        <v>0</v>
      </c>
      <c r="D33" s="41"/>
      <c r="E33" s="42" t="e">
        <f t="shared" si="5"/>
        <v>#DIV/0!</v>
      </c>
      <c r="F33" s="95"/>
      <c r="G33" s="365">
        <v>0</v>
      </c>
      <c r="H33" s="41"/>
      <c r="I33" s="42" t="e">
        <f t="shared" si="6"/>
        <v>#DIV/0!</v>
      </c>
      <c r="J33" s="95"/>
      <c r="K33" s="365">
        <v>0</v>
      </c>
      <c r="L33" s="41"/>
      <c r="M33" s="42" t="e">
        <f t="shared" si="7"/>
        <v>#DIV/0!</v>
      </c>
      <c r="O33" s="369">
        <v>0</v>
      </c>
      <c r="P33" s="268"/>
      <c r="Q33" s="269" t="e">
        <f t="shared" si="8"/>
        <v>#DIV/0!</v>
      </c>
      <c r="S33" s="351"/>
      <c r="T33" s="506"/>
      <c r="U33" s="484"/>
    </row>
    <row r="34" spans="2:21" ht="12.75">
      <c r="B34" s="363" t="s">
        <v>110</v>
      </c>
      <c r="C34" s="365">
        <v>0</v>
      </c>
      <c r="D34" s="41"/>
      <c r="E34" s="42" t="e">
        <f t="shared" si="5"/>
        <v>#DIV/0!</v>
      </c>
      <c r="F34" s="95"/>
      <c r="G34" s="365">
        <v>0</v>
      </c>
      <c r="H34" s="41"/>
      <c r="I34" s="42" t="e">
        <f t="shared" si="6"/>
        <v>#DIV/0!</v>
      </c>
      <c r="J34" s="95"/>
      <c r="K34" s="365">
        <v>0</v>
      </c>
      <c r="L34" s="41"/>
      <c r="M34" s="42" t="e">
        <f t="shared" si="7"/>
        <v>#DIV/0!</v>
      </c>
      <c r="O34" s="369">
        <v>0</v>
      </c>
      <c r="P34" s="268"/>
      <c r="Q34" s="269" t="e">
        <f t="shared" si="8"/>
        <v>#DIV/0!</v>
      </c>
      <c r="S34" s="351"/>
      <c r="T34" s="506"/>
      <c r="U34" s="484"/>
    </row>
    <row r="35" spans="2:21" ht="12.75">
      <c r="B35" s="363" t="s">
        <v>111</v>
      </c>
      <c r="C35" s="366">
        <v>0</v>
      </c>
      <c r="D35" s="44"/>
      <c r="E35" s="45" t="e">
        <f t="shared" si="5"/>
        <v>#DIV/0!</v>
      </c>
      <c r="F35" s="95"/>
      <c r="G35" s="366">
        <v>0</v>
      </c>
      <c r="H35" s="44"/>
      <c r="I35" s="45" t="e">
        <f t="shared" si="6"/>
        <v>#DIV/0!</v>
      </c>
      <c r="J35" s="95"/>
      <c r="K35" s="366">
        <v>0</v>
      </c>
      <c r="L35" s="44"/>
      <c r="M35" s="45" t="e">
        <f t="shared" si="7"/>
        <v>#DIV/0!</v>
      </c>
      <c r="O35" s="370">
        <v>0</v>
      </c>
      <c r="P35" s="270"/>
      <c r="Q35" s="271" t="e">
        <f t="shared" si="8"/>
        <v>#DIV/0!</v>
      </c>
      <c r="S35" s="352"/>
      <c r="T35" s="507"/>
      <c r="U35" s="485"/>
    </row>
    <row r="36" spans="1:21" ht="12.75">
      <c r="A36" s="12" t="s">
        <v>112</v>
      </c>
      <c r="B36"/>
      <c r="C36" s="103">
        <f>SUM(C26:C35)</f>
        <v>0</v>
      </c>
      <c r="D36" s="47" t="e">
        <f>C36/C23</f>
        <v>#DIV/0!</v>
      </c>
      <c r="E36" s="42" t="e">
        <f t="shared" si="5"/>
        <v>#DIV/0!</v>
      </c>
      <c r="F36" s="95"/>
      <c r="G36" s="103">
        <f>SUM(G26:G35)</f>
        <v>0</v>
      </c>
      <c r="H36" s="47" t="e">
        <f>G36/G23</f>
        <v>#DIV/0!</v>
      </c>
      <c r="I36" s="42" t="e">
        <f t="shared" si="6"/>
        <v>#DIV/0!</v>
      </c>
      <c r="J36" s="95"/>
      <c r="K36" s="103">
        <f>SUM(K26:K35)</f>
        <v>0</v>
      </c>
      <c r="L36" s="47" t="e">
        <f>K36/K23</f>
        <v>#DIV/0!</v>
      </c>
      <c r="M36" s="42" t="e">
        <f t="shared" si="7"/>
        <v>#DIV/0!</v>
      </c>
      <c r="O36" s="272">
        <f>SUM(O26:O35)</f>
        <v>0</v>
      </c>
      <c r="P36" s="279" t="e">
        <f>O36/O23</f>
        <v>#DIV/0!</v>
      </c>
      <c r="Q36" s="269" t="e">
        <f t="shared" si="8"/>
        <v>#DIV/0!</v>
      </c>
      <c r="S36" s="351"/>
      <c r="T36" s="506"/>
      <c r="U36" s="484"/>
    </row>
    <row r="37" spans="3:21" ht="12.75">
      <c r="C37" s="367"/>
      <c r="D37" s="41"/>
      <c r="E37" s="46"/>
      <c r="F37" s="96"/>
      <c r="G37" s="367"/>
      <c r="H37" s="41"/>
      <c r="I37" s="46"/>
      <c r="J37" s="96"/>
      <c r="K37" s="367"/>
      <c r="L37" s="41"/>
      <c r="M37" s="46"/>
      <c r="O37" s="260"/>
      <c r="P37" s="268"/>
      <c r="Q37" s="276"/>
      <c r="S37" s="351"/>
      <c r="T37" s="506"/>
      <c r="U37" s="484"/>
    </row>
    <row r="38" spans="2:21" ht="12.75">
      <c r="B38" s="11" t="s">
        <v>113</v>
      </c>
      <c r="C38" s="365">
        <v>0</v>
      </c>
      <c r="D38" s="41"/>
      <c r="E38" s="42" t="e">
        <f>C38/$C$6</f>
        <v>#DIV/0!</v>
      </c>
      <c r="F38" s="95"/>
      <c r="G38" s="365">
        <v>0</v>
      </c>
      <c r="H38" s="41"/>
      <c r="I38" s="42" t="e">
        <f>G38/$C$6</f>
        <v>#DIV/0!</v>
      </c>
      <c r="J38" s="95"/>
      <c r="K38" s="365">
        <v>0</v>
      </c>
      <c r="L38" s="41"/>
      <c r="M38" s="42" t="e">
        <f>K38/$C$6</f>
        <v>#DIV/0!</v>
      </c>
      <c r="O38" s="369">
        <v>0</v>
      </c>
      <c r="P38" s="268"/>
      <c r="Q38" s="269" t="e">
        <f>O38/$C$6</f>
        <v>#DIV/0!</v>
      </c>
      <c r="S38" s="351"/>
      <c r="T38" s="506"/>
      <c r="U38" s="484"/>
    </row>
    <row r="39" spans="2:21" ht="12.75">
      <c r="B39" s="11" t="s">
        <v>114</v>
      </c>
      <c r="C39" s="366">
        <v>0</v>
      </c>
      <c r="D39" s="44"/>
      <c r="E39" s="45" t="e">
        <f>C39/$C$6</f>
        <v>#DIV/0!</v>
      </c>
      <c r="F39" s="95"/>
      <c r="G39" s="366">
        <v>0</v>
      </c>
      <c r="H39" s="44"/>
      <c r="I39" s="45" t="e">
        <f>G39/$C$6</f>
        <v>#DIV/0!</v>
      </c>
      <c r="J39" s="95"/>
      <c r="K39" s="366">
        <v>0</v>
      </c>
      <c r="L39" s="44"/>
      <c r="M39" s="45" t="e">
        <f>K39/$C$6</f>
        <v>#DIV/0!</v>
      </c>
      <c r="O39" s="371">
        <v>0</v>
      </c>
      <c r="P39" s="270"/>
      <c r="Q39" s="271" t="e">
        <f>O39/$C$6</f>
        <v>#DIV/0!</v>
      </c>
      <c r="S39" s="351"/>
      <c r="T39" s="506"/>
      <c r="U39" s="484"/>
    </row>
    <row r="40" spans="1:21" ht="12.75">
      <c r="A40" s="12" t="s">
        <v>115</v>
      </c>
      <c r="B40"/>
      <c r="C40" s="103">
        <f>SUM(C38:C39)</f>
        <v>0</v>
      </c>
      <c r="D40" s="47" t="e">
        <f>C40/C23</f>
        <v>#DIV/0!</v>
      </c>
      <c r="E40" s="42" t="e">
        <f>C40/$C$6</f>
        <v>#DIV/0!</v>
      </c>
      <c r="F40" s="95"/>
      <c r="G40" s="103">
        <f>SUM(G38:G39)</f>
        <v>0</v>
      </c>
      <c r="H40" s="47" t="e">
        <f>G40/G23</f>
        <v>#DIV/0!</v>
      </c>
      <c r="I40" s="42" t="e">
        <f>G40/$C$6</f>
        <v>#DIV/0!</v>
      </c>
      <c r="J40" s="95"/>
      <c r="K40" s="103">
        <f>SUM(K38:K39)</f>
        <v>0</v>
      </c>
      <c r="L40" s="47" t="e">
        <f>K40/K23</f>
        <v>#DIV/0!</v>
      </c>
      <c r="M40" s="42" t="e">
        <f>K40/$C$6</f>
        <v>#DIV/0!</v>
      </c>
      <c r="O40" s="272">
        <f>SUM(O38:O39)</f>
        <v>0</v>
      </c>
      <c r="P40" s="279" t="e">
        <f>O40/O23</f>
        <v>#DIV/0!</v>
      </c>
      <c r="Q40" s="269" t="e">
        <f>O40/$C$6</f>
        <v>#DIV/0!</v>
      </c>
      <c r="S40" s="486"/>
      <c r="T40" s="508"/>
      <c r="U40" s="487"/>
    </row>
    <row r="41" spans="2:21" ht="12.75">
      <c r="B41"/>
      <c r="C41" s="367"/>
      <c r="D41" s="41"/>
      <c r="E41" s="46"/>
      <c r="F41" s="96"/>
      <c r="G41" s="367"/>
      <c r="H41" s="41"/>
      <c r="I41" s="46"/>
      <c r="J41" s="96"/>
      <c r="K41" s="367"/>
      <c r="L41" s="41"/>
      <c r="M41" s="46"/>
      <c r="O41" s="260"/>
      <c r="P41" s="268"/>
      <c r="Q41" s="276"/>
      <c r="S41" s="352"/>
      <c r="T41" s="507"/>
      <c r="U41" s="485"/>
    </row>
    <row r="42" spans="1:21" ht="12.75">
      <c r="A42" s="12" t="s">
        <v>116</v>
      </c>
      <c r="B42"/>
      <c r="C42" s="121">
        <f>C40+C36</f>
        <v>0</v>
      </c>
      <c r="D42" s="122" t="e">
        <f>C42/C23</f>
        <v>#DIV/0!</v>
      </c>
      <c r="E42" s="470" t="e">
        <f>C42/$C$6</f>
        <v>#DIV/0!</v>
      </c>
      <c r="F42" s="472"/>
      <c r="G42" s="121">
        <f>G40+G36</f>
        <v>0</v>
      </c>
      <c r="H42" s="122" t="e">
        <f>G42/G23</f>
        <v>#DIV/0!</v>
      </c>
      <c r="I42" s="470" t="e">
        <f>G42/$C$6</f>
        <v>#DIV/0!</v>
      </c>
      <c r="J42" s="472"/>
      <c r="K42" s="121">
        <f>K40+K36</f>
        <v>0</v>
      </c>
      <c r="L42" s="122" t="e">
        <f>K42/K23</f>
        <v>#DIV/0!</v>
      </c>
      <c r="M42" s="470" t="e">
        <f>K42/$C$6</f>
        <v>#DIV/0!</v>
      </c>
      <c r="N42" s="473"/>
      <c r="O42" s="280">
        <f>O40+O36</f>
        <v>0</v>
      </c>
      <c r="P42" s="281" t="e">
        <f>O42/O23</f>
        <v>#DIV/0!</v>
      </c>
      <c r="Q42" s="471" t="e">
        <f>O42/$C$6</f>
        <v>#DIV/0!</v>
      </c>
      <c r="S42" s="351"/>
      <c r="T42" s="506"/>
      <c r="U42" s="484"/>
    </row>
    <row r="43" spans="2:21" ht="12.75">
      <c r="B43"/>
      <c r="C43" s="474"/>
      <c r="D43" s="47"/>
      <c r="E43" s="475"/>
      <c r="F43" s="476"/>
      <c r="G43" s="474"/>
      <c r="H43" s="47"/>
      <c r="I43" s="475"/>
      <c r="J43" s="476"/>
      <c r="K43" s="474"/>
      <c r="L43" s="47"/>
      <c r="M43" s="475"/>
      <c r="N43" s="477"/>
      <c r="O43" s="478"/>
      <c r="P43" s="279"/>
      <c r="Q43" s="479"/>
      <c r="S43" s="488"/>
      <c r="T43" s="509"/>
      <c r="U43" s="489"/>
    </row>
    <row r="44" spans="1:21" ht="12.75">
      <c r="A44" s="12" t="s">
        <v>117</v>
      </c>
      <c r="B44"/>
      <c r="C44" s="121">
        <f>C23-C42</f>
        <v>0</v>
      </c>
      <c r="D44" s="122" t="e">
        <f>C44/C23</f>
        <v>#DIV/0!</v>
      </c>
      <c r="E44" s="470" t="e">
        <f>C44/$C$6</f>
        <v>#DIV/0!</v>
      </c>
      <c r="F44" s="472"/>
      <c r="G44" s="121">
        <f>G23-G42</f>
        <v>0</v>
      </c>
      <c r="H44" s="122" t="e">
        <f>G44/G23</f>
        <v>#DIV/0!</v>
      </c>
      <c r="I44" s="470" t="e">
        <f>G44/$C$6</f>
        <v>#DIV/0!</v>
      </c>
      <c r="J44" s="472"/>
      <c r="K44" s="121">
        <f>K23-K42</f>
        <v>0</v>
      </c>
      <c r="L44" s="122" t="e">
        <f>K44/K23</f>
        <v>#DIV/0!</v>
      </c>
      <c r="M44" s="470" t="e">
        <f>K44/$C$6</f>
        <v>#DIV/0!</v>
      </c>
      <c r="N44" s="473"/>
      <c r="O44" s="280">
        <f>O23-O42</f>
        <v>0</v>
      </c>
      <c r="P44" s="281" t="e">
        <f>O44/O23</f>
        <v>#DIV/0!</v>
      </c>
      <c r="Q44" s="471" t="e">
        <f>O44/$C$6</f>
        <v>#DIV/0!</v>
      </c>
      <c r="S44" s="351"/>
      <c r="T44" s="506"/>
      <c r="U44" s="484"/>
    </row>
    <row r="45" spans="3:21" ht="12.75">
      <c r="C45" s="367"/>
      <c r="D45" s="41"/>
      <c r="E45" s="46"/>
      <c r="F45" s="96"/>
      <c r="G45" s="367"/>
      <c r="H45" s="41"/>
      <c r="I45" s="46"/>
      <c r="J45" s="96"/>
      <c r="K45" s="367"/>
      <c r="L45" s="41"/>
      <c r="M45" s="46"/>
      <c r="O45" s="282"/>
      <c r="P45" s="268"/>
      <c r="Q45" s="276"/>
      <c r="S45" s="486"/>
      <c r="T45" s="508"/>
      <c r="U45" s="487"/>
    </row>
    <row r="46" spans="2:21" ht="12.75">
      <c r="B46" s="11" t="s">
        <v>66</v>
      </c>
      <c r="C46" s="365">
        <v>0</v>
      </c>
      <c r="D46" s="41"/>
      <c r="E46" s="42" t="e">
        <f>C46/$C$6</f>
        <v>#DIV/0!</v>
      </c>
      <c r="F46" s="95"/>
      <c r="G46" s="365">
        <v>0</v>
      </c>
      <c r="H46" s="41"/>
      <c r="I46" s="42" t="e">
        <f>G46/$C$6</f>
        <v>#DIV/0!</v>
      </c>
      <c r="J46" s="95"/>
      <c r="K46" s="365">
        <v>0</v>
      </c>
      <c r="L46" s="41"/>
      <c r="M46" s="42" t="e">
        <f>K46/$C$6</f>
        <v>#DIV/0!</v>
      </c>
      <c r="O46" s="267">
        <f>NRSF*Q46</f>
        <v>0</v>
      </c>
      <c r="P46" s="268"/>
      <c r="Q46" s="283">
        <f>Q7</f>
        <v>0.25</v>
      </c>
      <c r="S46" s="351"/>
      <c r="T46" s="506"/>
      <c r="U46" s="484"/>
    </row>
    <row r="47" spans="2:21" ht="12.75">
      <c r="B47" s="11" t="s">
        <v>118</v>
      </c>
      <c r="C47" s="365">
        <v>0</v>
      </c>
      <c r="D47" s="41"/>
      <c r="E47" s="42" t="e">
        <f>C47/$C$6</f>
        <v>#DIV/0!</v>
      </c>
      <c r="F47" s="95"/>
      <c r="G47" s="365">
        <v>0</v>
      </c>
      <c r="H47" s="41"/>
      <c r="I47" s="42" t="e">
        <f>G47/$C$6</f>
        <v>#DIV/0!</v>
      </c>
      <c r="J47" s="95"/>
      <c r="K47" s="365">
        <v>0</v>
      </c>
      <c r="L47" s="41"/>
      <c r="M47" s="42" t="e">
        <f>K47/$C$6</f>
        <v>#DIV/0!</v>
      </c>
      <c r="O47" s="267" t="e">
        <f>TI</f>
        <v>#DIV/0!</v>
      </c>
      <c r="P47" s="268"/>
      <c r="Q47" s="269" t="e">
        <f>O47/$C$6</f>
        <v>#DIV/0!</v>
      </c>
      <c r="S47" s="351"/>
      <c r="T47" s="506"/>
      <c r="U47" s="484"/>
    </row>
    <row r="48" spans="2:21" ht="12.75">
      <c r="B48" s="11" t="s">
        <v>119</v>
      </c>
      <c r="C48" s="366">
        <v>0</v>
      </c>
      <c r="D48" s="44"/>
      <c r="E48" s="42" t="e">
        <f>C48/$C$6</f>
        <v>#DIV/0!</v>
      </c>
      <c r="F48" s="95"/>
      <c r="G48" s="366">
        <v>0</v>
      </c>
      <c r="H48" s="44"/>
      <c r="I48" s="42" t="e">
        <f>G48/$C$6</f>
        <v>#DIV/0!</v>
      </c>
      <c r="J48" s="95"/>
      <c r="K48" s="366">
        <v>0</v>
      </c>
      <c r="L48" s="44"/>
      <c r="M48" s="42" t="e">
        <f>K48/$C$6</f>
        <v>#DIV/0!</v>
      </c>
      <c r="O48" s="267" t="e">
        <f>LC</f>
        <v>#DIV/0!</v>
      </c>
      <c r="P48" s="270"/>
      <c r="Q48" s="269" t="e">
        <f>O48/$C$6</f>
        <v>#DIV/0!</v>
      </c>
      <c r="S48" s="352"/>
      <c r="T48" s="507"/>
      <c r="U48" s="485"/>
    </row>
    <row r="49" spans="1:21" ht="12.75">
      <c r="A49" s="12" t="s">
        <v>120</v>
      </c>
      <c r="B49"/>
      <c r="C49" s="480">
        <f>C44-SUM(C46:C48)</f>
        <v>0</v>
      </c>
      <c r="D49" s="126" t="e">
        <f>C49/C23</f>
        <v>#DIV/0!</v>
      </c>
      <c r="E49" s="481" t="e">
        <f>C49/$C$6</f>
        <v>#DIV/0!</v>
      </c>
      <c r="F49" s="472"/>
      <c r="G49" s="480">
        <f>G44-SUM(G46:G48)</f>
        <v>0</v>
      </c>
      <c r="H49" s="126" t="e">
        <f>G49/G23</f>
        <v>#DIV/0!</v>
      </c>
      <c r="I49" s="481" t="e">
        <f>G49/$C$6</f>
        <v>#DIV/0!</v>
      </c>
      <c r="J49" s="472"/>
      <c r="K49" s="480">
        <f>K44-SUM(K46:K48)</f>
        <v>0</v>
      </c>
      <c r="L49" s="126" t="e">
        <f>K49/K23</f>
        <v>#DIV/0!</v>
      </c>
      <c r="M49" s="481" t="e">
        <f>K49/$C$6</f>
        <v>#DIV/0!</v>
      </c>
      <c r="N49" s="473"/>
      <c r="O49" s="482" t="e">
        <f>O44-SUM(O46:O48)</f>
        <v>#DIV/0!</v>
      </c>
      <c r="P49" s="284" t="e">
        <f>O49/O23</f>
        <v>#DIV/0!</v>
      </c>
      <c r="Q49" s="483" t="e">
        <f>O49/$C$6</f>
        <v>#DIV/0!</v>
      </c>
      <c r="S49" s="352"/>
      <c r="T49" s="507"/>
      <c r="U49" s="485"/>
    </row>
    <row r="50" spans="3:11" ht="12.75">
      <c r="C50" s="359"/>
      <c r="G50" s="359"/>
      <c r="K50" s="359"/>
    </row>
    <row r="51" spans="2:15" ht="13.5" thickBot="1">
      <c r="B51" s="11" t="s">
        <v>121</v>
      </c>
      <c r="C51" s="368">
        <v>0</v>
      </c>
      <c r="G51" s="368">
        <v>0</v>
      </c>
      <c r="K51" s="368">
        <v>0</v>
      </c>
      <c r="O51" s="368">
        <v>0</v>
      </c>
    </row>
  </sheetData>
  <printOptions horizontalCentered="1"/>
  <pageMargins left="0.2" right="0.2" top="0.25" bottom="0.25" header="0.5" footer="0.5"/>
  <pageSetup fitToHeight="1" fitToWidth="1" orientation="landscape" scale="8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workbookViewId="0" topLeftCell="A1">
      <selection activeCell="C13" sqref="C13"/>
    </sheetView>
  </sheetViews>
  <sheetFormatPr defaultColWidth="9.33203125" defaultRowHeight="12.75"/>
  <cols>
    <col min="1" max="1" width="2.33203125" style="3" customWidth="1"/>
    <col min="2" max="2" width="24.5" style="3" customWidth="1"/>
    <col min="3" max="3" width="12.33203125" style="3" customWidth="1"/>
    <col min="4" max="4" width="10.66015625" style="3" customWidth="1"/>
    <col min="5" max="5" width="7.33203125" style="3" customWidth="1"/>
    <col min="6" max="6" width="9.16015625" style="3" customWidth="1"/>
    <col min="7" max="7" width="1.5" style="3" customWidth="1"/>
    <col min="8" max="8" width="12.33203125" style="3" customWidth="1"/>
    <col min="9" max="9" width="7.33203125" style="3" customWidth="1"/>
    <col min="10" max="10" width="9.16015625" style="3" customWidth="1"/>
    <col min="11" max="11" width="1.3359375" style="3" customWidth="1"/>
    <col min="12" max="12" width="12.33203125" style="3" customWidth="1"/>
    <col min="13" max="13" width="7.33203125" style="3" customWidth="1"/>
    <col min="14" max="14" width="9.16015625" style="3" customWidth="1"/>
    <col min="15" max="15" width="1.171875" style="3" customWidth="1"/>
    <col min="16" max="16" width="12.33203125" style="3" customWidth="1"/>
    <col min="17" max="17" width="7.33203125" style="3" customWidth="1"/>
    <col min="18" max="18" width="9.16015625" style="3" customWidth="1"/>
    <col min="19" max="19" width="0.82421875" style="3" customWidth="1"/>
    <col min="20" max="20" width="16.83203125" style="3" customWidth="1"/>
    <col min="21" max="21" width="12.83203125" style="3" customWidth="1"/>
    <col min="22" max="22" width="0.82421875" style="3" customWidth="1"/>
    <col min="23" max="23" width="12.33203125" style="3" customWidth="1"/>
    <col min="24" max="24" width="7.33203125" style="3" customWidth="1"/>
    <col min="25" max="25" width="9.16015625" style="3" customWidth="1"/>
    <col min="26" max="26" width="1.0078125" style="3" customWidth="1"/>
    <col min="27" max="27" width="12.33203125" style="3" customWidth="1"/>
    <col min="28" max="28" width="9.5" style="3" customWidth="1"/>
    <col min="29" max="29" width="9.16015625" style="3" customWidth="1"/>
    <col min="30" max="30" width="5.66015625" style="3" customWidth="1"/>
    <col min="31" max="31" width="49.16015625" style="3" customWidth="1"/>
    <col min="32" max="16384" width="9.33203125" style="3" customWidth="1"/>
  </cols>
  <sheetData>
    <row r="1" spans="1:29" ht="18.75">
      <c r="A1" s="116"/>
      <c r="B1"/>
      <c r="C1"/>
      <c r="R1" s="88"/>
      <c r="T1"/>
      <c r="U1" s="88" t="str">
        <f ca="1">CELL("filename")</f>
        <v>\\CLT-NETAPP02\B16771$\Bill\GSB @ LSU\CRE Case Study\Handout's\Rent Roll\[GSB Rent Roll Template.xls]RentRoll</v>
      </c>
      <c r="W1"/>
      <c r="X1"/>
      <c r="Y1"/>
      <c r="AA1"/>
      <c r="AB1"/>
      <c r="AC1"/>
    </row>
    <row r="2" spans="1:29" ht="15.75">
      <c r="A2" s="1" t="s">
        <v>73</v>
      </c>
      <c r="B2"/>
      <c r="C2"/>
      <c r="Q2" s="6"/>
      <c r="R2" s="5"/>
      <c r="T2" s="6" t="s">
        <v>2</v>
      </c>
      <c r="U2" s="5">
        <f ca="1">NOW()</f>
        <v>41043.64981782407</v>
      </c>
      <c r="W2"/>
      <c r="X2"/>
      <c r="Y2"/>
      <c r="AA2"/>
      <c r="AB2"/>
      <c r="AC2"/>
    </row>
    <row r="3" spans="1:29" ht="12.75">
      <c r="A3" s="89" t="s">
        <v>378</v>
      </c>
      <c r="B3" s="89"/>
      <c r="C3" s="419" t="str">
        <f>'Commercial Sizing'!C3</f>
        <v>Loan #</v>
      </c>
      <c r="Q3" s="6"/>
      <c r="R3" s="5"/>
      <c r="T3" s="6" t="s">
        <v>74</v>
      </c>
      <c r="U3" s="5">
        <f>'Commercial Sizing'!L3</f>
        <v>36923</v>
      </c>
      <c r="W3"/>
      <c r="X3"/>
      <c r="Y3"/>
      <c r="AA3"/>
      <c r="AB3"/>
      <c r="AC3"/>
    </row>
    <row r="4" spans="1:28" ht="12.75">
      <c r="A4" s="89" t="s">
        <v>11</v>
      </c>
      <c r="B4" s="89"/>
      <c r="C4" s="420" t="str">
        <f>+Property</f>
        <v>Property Name</v>
      </c>
      <c r="AB4" s="11"/>
    </row>
    <row r="5" spans="1:28" ht="12.75">
      <c r="A5" s="89" t="s">
        <v>15</v>
      </c>
      <c r="B5" s="89"/>
      <c r="C5" s="419" t="str">
        <f>+'Commercial Sizing'!D7</f>
        <v>Property Type</v>
      </c>
      <c r="AB5" s="11"/>
    </row>
    <row r="6" spans="1:31" ht="12.75">
      <c r="A6" s="117" t="s">
        <v>77</v>
      </c>
      <c r="B6" s="89"/>
      <c r="C6" s="421">
        <f>+NRSF</f>
        <v>0</v>
      </c>
      <c r="P6" s="323" t="s">
        <v>122</v>
      </c>
      <c r="T6" s="7"/>
      <c r="W6" s="323" t="s">
        <v>123</v>
      </c>
      <c r="AB6" s="11"/>
      <c r="AE6" s="7"/>
    </row>
    <row r="7" spans="1:31" ht="12.75">
      <c r="A7" s="117"/>
      <c r="B7" s="89"/>
      <c r="C7" s="99"/>
      <c r="P7" s="196" t="s">
        <v>124</v>
      </c>
      <c r="T7" s="7"/>
      <c r="W7" s="196" t="s">
        <v>125</v>
      </c>
      <c r="AB7" s="11"/>
      <c r="AE7" s="7"/>
    </row>
    <row r="8" spans="1:31" ht="12.75">
      <c r="A8" s="117"/>
      <c r="B8" s="89"/>
      <c r="C8" s="99"/>
      <c r="P8" s="323"/>
      <c r="T8" s="7"/>
      <c r="W8" s="323" t="s">
        <v>126</v>
      </c>
      <c r="AB8" s="11"/>
      <c r="AE8" s="7"/>
    </row>
    <row r="9" spans="3:25" ht="12.75">
      <c r="C9" s="375" t="s">
        <v>127</v>
      </c>
      <c r="D9" s="27"/>
      <c r="E9" s="176">
        <f>YEAR('Commercial Sizing'!F17)</f>
        <v>2004</v>
      </c>
      <c r="F9" s="28"/>
      <c r="H9" s="192" t="s">
        <v>128</v>
      </c>
      <c r="I9" s="193"/>
      <c r="J9" s="194"/>
      <c r="L9" s="27"/>
      <c r="M9" s="29" t="s">
        <v>129</v>
      </c>
      <c r="N9" s="28"/>
      <c r="P9" s="27"/>
      <c r="Q9" s="29" t="s">
        <v>130</v>
      </c>
      <c r="R9" s="28"/>
      <c r="T9" s="449" t="s">
        <v>80</v>
      </c>
      <c r="U9" s="450"/>
      <c r="W9" s="27"/>
      <c r="X9" s="29" t="s">
        <v>80</v>
      </c>
      <c r="Y9" s="28"/>
    </row>
    <row r="10" spans="3:25" ht="12.75">
      <c r="C10" s="177">
        <f>E9</f>
        <v>2004</v>
      </c>
      <c r="D10" s="30"/>
      <c r="E10" s="184" t="s">
        <v>131</v>
      </c>
      <c r="F10" s="32"/>
      <c r="H10" s="376" t="s">
        <v>25</v>
      </c>
      <c r="I10" s="84" t="s">
        <v>132</v>
      </c>
      <c r="J10" s="377" t="s">
        <v>25</v>
      </c>
      <c r="L10" s="34"/>
      <c r="M10" s="26" t="s">
        <v>84</v>
      </c>
      <c r="N10" s="35"/>
      <c r="P10" s="34"/>
      <c r="Q10" s="26" t="s">
        <v>84</v>
      </c>
      <c r="R10" s="35"/>
      <c r="T10" s="451" t="s">
        <v>133</v>
      </c>
      <c r="U10" s="452"/>
      <c r="W10" s="34"/>
      <c r="X10" s="26" t="s">
        <v>84</v>
      </c>
      <c r="Y10" s="35"/>
    </row>
    <row r="11" spans="3:25" ht="12.75">
      <c r="C11" s="33" t="s">
        <v>134</v>
      </c>
      <c r="D11" s="33" t="s">
        <v>86</v>
      </c>
      <c r="E11" s="36" t="s">
        <v>87</v>
      </c>
      <c r="F11" s="37" t="s">
        <v>88</v>
      </c>
      <c r="H11" s="33" t="s">
        <v>86</v>
      </c>
      <c r="I11" s="36" t="s">
        <v>87</v>
      </c>
      <c r="J11" s="37" t="s">
        <v>88</v>
      </c>
      <c r="L11" s="38" t="s">
        <v>86</v>
      </c>
      <c r="M11" s="36" t="s">
        <v>87</v>
      </c>
      <c r="N11" s="39" t="s">
        <v>88</v>
      </c>
      <c r="P11" s="38" t="s">
        <v>86</v>
      </c>
      <c r="Q11" s="36" t="s">
        <v>87</v>
      </c>
      <c r="R11" s="39" t="s">
        <v>88</v>
      </c>
      <c r="T11" s="453"/>
      <c r="U11" s="454"/>
      <c r="W11" s="38" t="s">
        <v>86</v>
      </c>
      <c r="X11" s="36" t="s">
        <v>87</v>
      </c>
      <c r="Y11" s="39" t="s">
        <v>88</v>
      </c>
    </row>
    <row r="12" spans="1:25" ht="12.75">
      <c r="A12" s="12" t="s">
        <v>90</v>
      </c>
      <c r="B12"/>
      <c r="C12" s="34"/>
      <c r="D12" s="34"/>
      <c r="E12" s="40"/>
      <c r="F12" s="35"/>
      <c r="H12" s="34"/>
      <c r="I12" s="40"/>
      <c r="J12" s="35"/>
      <c r="L12" s="34"/>
      <c r="M12" s="40"/>
      <c r="N12" s="35"/>
      <c r="P12" s="34"/>
      <c r="Q12" s="40"/>
      <c r="R12" s="35"/>
      <c r="T12" s="337"/>
      <c r="U12" s="290"/>
      <c r="W12" s="34"/>
      <c r="X12" s="40"/>
      <c r="Y12" s="35"/>
    </row>
    <row r="13" spans="2:25" ht="12.75">
      <c r="B13" s="358" t="str">
        <f>'Cash Flow (1)'!B13</f>
        <v>Base Rent</v>
      </c>
      <c r="C13" s="365">
        <v>0</v>
      </c>
      <c r="D13" s="43" t="e">
        <f aca="true" t="shared" si="0" ref="D13:D22">(C13/$C$9)*12</f>
        <v>#VALUE!</v>
      </c>
      <c r="E13" s="41"/>
      <c r="F13" s="42" t="e">
        <f aca="true" t="shared" si="1" ref="F13:F23">D13/$C$6</f>
        <v>#VALUE!</v>
      </c>
      <c r="H13" s="365">
        <v>0</v>
      </c>
      <c r="I13" s="41"/>
      <c r="J13" s="42" t="e">
        <f aca="true" t="shared" si="2" ref="J13:J23">H13/$C$6</f>
        <v>#DIV/0!</v>
      </c>
      <c r="L13" s="378">
        <v>0</v>
      </c>
      <c r="M13" s="41"/>
      <c r="N13" s="42" t="e">
        <f aca="true" t="shared" si="3" ref="N13:N23">L13/$C$6</f>
        <v>#DIV/0!</v>
      </c>
      <c r="P13" s="378">
        <v>0</v>
      </c>
      <c r="Q13" s="41"/>
      <c r="R13" s="42" t="e">
        <f aca="true" t="shared" si="4" ref="R13:R23">P13/$C$6</f>
        <v>#DIV/0!</v>
      </c>
      <c r="T13" s="351"/>
      <c r="U13" s="484"/>
      <c r="W13" s="106">
        <f>'Cash Flow (1)'!O13</f>
        <v>0</v>
      </c>
      <c r="X13" s="41"/>
      <c r="Y13" s="42" t="e">
        <f aca="true" t="shared" si="5" ref="Y13:Y23">W13/$C$6</f>
        <v>#DIV/0!</v>
      </c>
    </row>
    <row r="14" spans="2:25" ht="12.75">
      <c r="B14" s="358" t="str">
        <f>'Cash Flow (1)'!B14</f>
        <v>Percentage Rent</v>
      </c>
      <c r="C14" s="365">
        <v>0</v>
      </c>
      <c r="D14" s="43" t="e">
        <f t="shared" si="0"/>
        <v>#VALUE!</v>
      </c>
      <c r="E14" s="41"/>
      <c r="F14" s="42" t="e">
        <f t="shared" si="1"/>
        <v>#VALUE!</v>
      </c>
      <c r="H14" s="365">
        <v>0</v>
      </c>
      <c r="I14" s="41"/>
      <c r="J14" s="42" t="e">
        <f t="shared" si="2"/>
        <v>#DIV/0!</v>
      </c>
      <c r="L14" s="378">
        <v>0</v>
      </c>
      <c r="M14" s="41"/>
      <c r="N14" s="42" t="e">
        <f t="shared" si="3"/>
        <v>#DIV/0!</v>
      </c>
      <c r="P14" s="378">
        <v>0</v>
      </c>
      <c r="Q14" s="41"/>
      <c r="R14" s="42" t="e">
        <f t="shared" si="4"/>
        <v>#DIV/0!</v>
      </c>
      <c r="T14" s="351"/>
      <c r="U14" s="484"/>
      <c r="W14" s="106">
        <f>'Cash Flow (1)'!O14</f>
        <v>0</v>
      </c>
      <c r="X14" s="41"/>
      <c r="Y14" s="42" t="e">
        <f t="shared" si="5"/>
        <v>#DIV/0!</v>
      </c>
    </row>
    <row r="15" spans="2:25" ht="12.75">
      <c r="B15" s="358" t="str">
        <f>'Cash Flow (1)'!B15</f>
        <v>CAM &amp; Expense Reimb1</v>
      </c>
      <c r="C15" s="365">
        <v>0</v>
      </c>
      <c r="D15" s="43" t="e">
        <f t="shared" si="0"/>
        <v>#VALUE!</v>
      </c>
      <c r="E15" s="41"/>
      <c r="F15" s="42" t="e">
        <f t="shared" si="1"/>
        <v>#VALUE!</v>
      </c>
      <c r="H15" s="365">
        <v>0</v>
      </c>
      <c r="I15" s="41"/>
      <c r="J15" s="42" t="e">
        <f t="shared" si="2"/>
        <v>#DIV/0!</v>
      </c>
      <c r="L15" s="378">
        <v>0</v>
      </c>
      <c r="M15" s="41"/>
      <c r="N15" s="42" t="e">
        <f t="shared" si="3"/>
        <v>#DIV/0!</v>
      </c>
      <c r="P15" s="378">
        <v>0</v>
      </c>
      <c r="Q15" s="41"/>
      <c r="R15" s="42" t="e">
        <f t="shared" si="4"/>
        <v>#DIV/0!</v>
      </c>
      <c r="T15" s="351"/>
      <c r="U15" s="484"/>
      <c r="W15" s="106">
        <f>'Cash Flow (1)'!O15</f>
        <v>0</v>
      </c>
      <c r="X15" s="41"/>
      <c r="Y15" s="42" t="e">
        <f t="shared" si="5"/>
        <v>#DIV/0!</v>
      </c>
    </row>
    <row r="16" spans="2:25" ht="12.75">
      <c r="B16" s="358" t="str">
        <f>'Cash Flow (1)'!B16</f>
        <v>CAM &amp; Expense Reimb2</v>
      </c>
      <c r="C16" s="365">
        <v>0</v>
      </c>
      <c r="D16" s="43" t="e">
        <f t="shared" si="0"/>
        <v>#VALUE!</v>
      </c>
      <c r="E16" s="41"/>
      <c r="F16" s="42" t="e">
        <f t="shared" si="1"/>
        <v>#VALUE!</v>
      </c>
      <c r="H16" s="365">
        <v>0</v>
      </c>
      <c r="I16" s="41"/>
      <c r="J16" s="42" t="e">
        <f t="shared" si="2"/>
        <v>#DIV/0!</v>
      </c>
      <c r="L16" s="378">
        <v>0</v>
      </c>
      <c r="M16" s="41"/>
      <c r="N16" s="42" t="e">
        <f t="shared" si="3"/>
        <v>#DIV/0!</v>
      </c>
      <c r="P16" s="378">
        <v>0</v>
      </c>
      <c r="Q16" s="41"/>
      <c r="R16" s="42" t="e">
        <f t="shared" si="4"/>
        <v>#DIV/0!</v>
      </c>
      <c r="T16" s="351"/>
      <c r="U16" s="484"/>
      <c r="W16" s="106">
        <f>'Cash Flow (1)'!O16</f>
        <v>0</v>
      </c>
      <c r="X16" s="41"/>
      <c r="Y16" s="42" t="e">
        <f t="shared" si="5"/>
        <v>#DIV/0!</v>
      </c>
    </row>
    <row r="17" spans="2:25" ht="12.75">
      <c r="B17" s="358" t="str">
        <f>'Cash Flow (1)'!B17</f>
        <v>CAM &amp; Expense Reimb3</v>
      </c>
      <c r="C17" s="365">
        <v>0</v>
      </c>
      <c r="D17" s="43" t="e">
        <f t="shared" si="0"/>
        <v>#VALUE!</v>
      </c>
      <c r="E17" s="41"/>
      <c r="F17" s="42" t="e">
        <f t="shared" si="1"/>
        <v>#VALUE!</v>
      </c>
      <c r="H17" s="365">
        <v>0</v>
      </c>
      <c r="I17" s="41"/>
      <c r="J17" s="42" t="e">
        <f t="shared" si="2"/>
        <v>#DIV/0!</v>
      </c>
      <c r="L17" s="378">
        <v>0</v>
      </c>
      <c r="M17" s="41"/>
      <c r="N17" s="42" t="e">
        <f t="shared" si="3"/>
        <v>#DIV/0!</v>
      </c>
      <c r="P17" s="378">
        <v>0</v>
      </c>
      <c r="Q17" s="41"/>
      <c r="R17" s="42" t="e">
        <f t="shared" si="4"/>
        <v>#DIV/0!</v>
      </c>
      <c r="T17" s="351"/>
      <c r="U17" s="484"/>
      <c r="W17" s="106">
        <f>'Cash Flow (1)'!O17</f>
        <v>0</v>
      </c>
      <c r="X17" s="41"/>
      <c r="Y17" s="42" t="e">
        <f t="shared" si="5"/>
        <v>#DIV/0!</v>
      </c>
    </row>
    <row r="18" spans="2:25" ht="12.75">
      <c r="B18" s="358" t="str">
        <f>'Cash Flow (1)'!B18</f>
        <v>Other Income1</v>
      </c>
      <c r="C18" s="365">
        <v>0</v>
      </c>
      <c r="D18" s="43" t="e">
        <f t="shared" si="0"/>
        <v>#VALUE!</v>
      </c>
      <c r="E18" s="41"/>
      <c r="F18" s="42" t="e">
        <f t="shared" si="1"/>
        <v>#VALUE!</v>
      </c>
      <c r="H18" s="365">
        <v>0</v>
      </c>
      <c r="I18" s="41"/>
      <c r="J18" s="42" t="e">
        <f t="shared" si="2"/>
        <v>#DIV/0!</v>
      </c>
      <c r="L18" s="378">
        <v>0</v>
      </c>
      <c r="M18" s="41"/>
      <c r="N18" s="42" t="e">
        <f t="shared" si="3"/>
        <v>#DIV/0!</v>
      </c>
      <c r="P18" s="378">
        <v>0</v>
      </c>
      <c r="Q18" s="41"/>
      <c r="R18" s="42" t="e">
        <f t="shared" si="4"/>
        <v>#DIV/0!</v>
      </c>
      <c r="T18" s="351"/>
      <c r="U18" s="484"/>
      <c r="W18" s="106">
        <f>'Cash Flow (1)'!O18</f>
        <v>0</v>
      </c>
      <c r="X18" s="41"/>
      <c r="Y18" s="42" t="e">
        <f t="shared" si="5"/>
        <v>#DIV/0!</v>
      </c>
    </row>
    <row r="19" spans="2:25" ht="12.75">
      <c r="B19" s="358" t="str">
        <f>'Cash Flow (1)'!B19</f>
        <v>Other Income2</v>
      </c>
      <c r="C19" s="365">
        <v>0</v>
      </c>
      <c r="D19" s="43" t="e">
        <f t="shared" si="0"/>
        <v>#VALUE!</v>
      </c>
      <c r="E19" s="41"/>
      <c r="F19" s="42" t="e">
        <f t="shared" si="1"/>
        <v>#VALUE!</v>
      </c>
      <c r="H19" s="365">
        <v>0</v>
      </c>
      <c r="I19" s="41"/>
      <c r="J19" s="42" t="e">
        <f t="shared" si="2"/>
        <v>#DIV/0!</v>
      </c>
      <c r="L19" s="378">
        <v>0</v>
      </c>
      <c r="M19" s="41"/>
      <c r="N19" s="42" t="e">
        <f t="shared" si="3"/>
        <v>#DIV/0!</v>
      </c>
      <c r="P19" s="378">
        <v>0</v>
      </c>
      <c r="Q19" s="41"/>
      <c r="R19" s="42" t="e">
        <f t="shared" si="4"/>
        <v>#DIV/0!</v>
      </c>
      <c r="T19" s="351"/>
      <c r="U19" s="484"/>
      <c r="W19" s="106">
        <f>'Cash Flow (1)'!O19</f>
        <v>0</v>
      </c>
      <c r="X19" s="41"/>
      <c r="Y19" s="42" t="e">
        <f t="shared" si="5"/>
        <v>#DIV/0!</v>
      </c>
    </row>
    <row r="20" spans="2:25" ht="12.75">
      <c r="B20" s="358" t="str">
        <f>'Cash Flow (1)'!B20</f>
        <v>Other Income3</v>
      </c>
      <c r="C20" s="366">
        <v>0</v>
      </c>
      <c r="D20" s="102" t="e">
        <f t="shared" si="0"/>
        <v>#VALUE!</v>
      </c>
      <c r="E20" s="44"/>
      <c r="F20" s="45" t="e">
        <f t="shared" si="1"/>
        <v>#VALUE!</v>
      </c>
      <c r="H20" s="366">
        <v>0</v>
      </c>
      <c r="I20" s="44"/>
      <c r="J20" s="45" t="e">
        <f t="shared" si="2"/>
        <v>#DIV/0!</v>
      </c>
      <c r="L20" s="379">
        <v>0</v>
      </c>
      <c r="M20" s="44"/>
      <c r="N20" s="45" t="e">
        <f t="shared" si="3"/>
        <v>#DIV/0!</v>
      </c>
      <c r="P20" s="379">
        <v>0</v>
      </c>
      <c r="Q20" s="44"/>
      <c r="R20" s="45" t="e">
        <f t="shared" si="4"/>
        <v>#DIV/0!</v>
      </c>
      <c r="T20" s="352"/>
      <c r="U20" s="485"/>
      <c r="W20" s="197">
        <f>'Cash Flow (1)'!O20</f>
        <v>0</v>
      </c>
      <c r="X20" s="44"/>
      <c r="Y20" s="45" t="e">
        <f t="shared" si="5"/>
        <v>#DIV/0!</v>
      </c>
    </row>
    <row r="21" spans="1:25" ht="12.75">
      <c r="A21" s="12" t="s">
        <v>99</v>
      </c>
      <c r="B21" s="364"/>
      <c r="C21" s="103">
        <f>SUM(C13:C20)</f>
        <v>0</v>
      </c>
      <c r="D21" s="43" t="e">
        <f t="shared" si="0"/>
        <v>#VALUE!</v>
      </c>
      <c r="E21" s="41"/>
      <c r="F21" s="42" t="e">
        <f t="shared" si="1"/>
        <v>#VALUE!</v>
      </c>
      <c r="H21" s="103">
        <f>SUM(H13:H20)</f>
        <v>0</v>
      </c>
      <c r="I21" s="41"/>
      <c r="J21" s="42" t="e">
        <f t="shared" si="2"/>
        <v>#DIV/0!</v>
      </c>
      <c r="L21" s="103">
        <f>SUM(L13:L20)</f>
        <v>0</v>
      </c>
      <c r="M21" s="41"/>
      <c r="N21" s="42" t="e">
        <f t="shared" si="3"/>
        <v>#DIV/0!</v>
      </c>
      <c r="P21" s="103">
        <f>SUM(P13:P20)</f>
        <v>0</v>
      </c>
      <c r="Q21" s="41"/>
      <c r="R21" s="42" t="e">
        <f t="shared" si="4"/>
        <v>#DIV/0!</v>
      </c>
      <c r="T21" s="486"/>
      <c r="U21" s="487"/>
      <c r="W21" s="103">
        <f>'Cash Flow (1)'!O21</f>
        <v>0</v>
      </c>
      <c r="X21" s="41"/>
      <c r="Y21" s="42" t="e">
        <f t="shared" si="5"/>
        <v>#DIV/0!</v>
      </c>
    </row>
    <row r="22" spans="2:25" ht="12.75">
      <c r="B22" s="358" t="str">
        <f>'Cash Flow (1)'!B22</f>
        <v>Vacancy/Collection Loss</v>
      </c>
      <c r="C22" s="366"/>
      <c r="D22" s="43" t="e">
        <f t="shared" si="0"/>
        <v>#VALUE!</v>
      </c>
      <c r="E22" s="44" t="e">
        <f>-D22/D21</f>
        <v>#VALUE!</v>
      </c>
      <c r="F22" s="45" t="e">
        <f t="shared" si="1"/>
        <v>#VALUE!</v>
      </c>
      <c r="H22" s="366"/>
      <c r="I22" s="44" t="e">
        <f>-H22/H21</f>
        <v>#DIV/0!</v>
      </c>
      <c r="J22" s="45" t="e">
        <f t="shared" si="2"/>
        <v>#DIV/0!</v>
      </c>
      <c r="L22" s="105">
        <f>L21*M22</f>
        <v>0</v>
      </c>
      <c r="M22" s="382">
        <v>0</v>
      </c>
      <c r="N22" s="45" t="e">
        <f t="shared" si="3"/>
        <v>#DIV/0!</v>
      </c>
      <c r="P22" s="105">
        <f>P21*Q22</f>
        <v>0</v>
      </c>
      <c r="Q22" s="382">
        <v>0</v>
      </c>
      <c r="R22" s="45" t="e">
        <f t="shared" si="4"/>
        <v>#DIV/0!</v>
      </c>
      <c r="T22" s="352"/>
      <c r="U22" s="485"/>
      <c r="W22" s="105">
        <f>'Cash Flow (1)'!O22</f>
        <v>0</v>
      </c>
      <c r="X22" s="324">
        <f>'Cash Flow (1)'!P22</f>
        <v>0.05</v>
      </c>
      <c r="Y22" s="45" t="e">
        <f t="shared" si="5"/>
        <v>#DIV/0!</v>
      </c>
    </row>
    <row r="23" spans="1:25" ht="12.75">
      <c r="A23" s="12" t="s">
        <v>101</v>
      </c>
      <c r="B23" s="364"/>
      <c r="C23" s="121">
        <f>C21-C22</f>
        <v>0</v>
      </c>
      <c r="D23" s="121" t="e">
        <f>SUM(D21:D22)</f>
        <v>#VALUE!</v>
      </c>
      <c r="E23" s="122"/>
      <c r="F23" s="470" t="e">
        <f t="shared" si="1"/>
        <v>#VALUE!</v>
      </c>
      <c r="G23" s="473"/>
      <c r="H23" s="121">
        <f>H21-H22</f>
        <v>0</v>
      </c>
      <c r="I23" s="122"/>
      <c r="J23" s="470" t="e">
        <f t="shared" si="2"/>
        <v>#DIV/0!</v>
      </c>
      <c r="K23" s="473"/>
      <c r="L23" s="121">
        <f>L21-L22</f>
        <v>0</v>
      </c>
      <c r="M23" s="122"/>
      <c r="N23" s="470" t="e">
        <f t="shared" si="3"/>
        <v>#DIV/0!</v>
      </c>
      <c r="O23" s="473"/>
      <c r="P23" s="121">
        <f>P21-P22</f>
        <v>0</v>
      </c>
      <c r="Q23" s="122"/>
      <c r="R23" s="470" t="e">
        <f t="shared" si="4"/>
        <v>#DIV/0!</v>
      </c>
      <c r="T23" s="488"/>
      <c r="U23" s="489"/>
      <c r="W23" s="198">
        <f>'Cash Flow (1)'!O23</f>
        <v>0</v>
      </c>
      <c r="X23" s="127"/>
      <c r="Y23" s="123" t="e">
        <f t="shared" si="5"/>
        <v>#DIV/0!</v>
      </c>
    </row>
    <row r="24" spans="2:25" ht="12.75">
      <c r="B24" s="359"/>
      <c r="C24" s="367"/>
      <c r="D24" s="34"/>
      <c r="E24" s="41"/>
      <c r="F24" s="46"/>
      <c r="H24" s="367"/>
      <c r="I24" s="41"/>
      <c r="J24" s="46"/>
      <c r="L24" s="367"/>
      <c r="M24" s="41"/>
      <c r="N24" s="46"/>
      <c r="P24" s="34"/>
      <c r="Q24" s="41"/>
      <c r="R24" s="455"/>
      <c r="T24" s="486"/>
      <c r="U24" s="487"/>
      <c r="W24" s="199"/>
      <c r="X24" s="41"/>
      <c r="Y24" s="46"/>
    </row>
    <row r="25" spans="1:25" ht="12.75">
      <c r="A25" s="12" t="s">
        <v>102</v>
      </c>
      <c r="B25" s="364"/>
      <c r="C25" s="367"/>
      <c r="D25" s="34"/>
      <c r="E25" s="41"/>
      <c r="F25" s="46"/>
      <c r="H25" s="367"/>
      <c r="I25" s="41"/>
      <c r="J25" s="46"/>
      <c r="L25" s="367"/>
      <c r="M25" s="41"/>
      <c r="N25" s="46"/>
      <c r="P25" s="34"/>
      <c r="Q25" s="41"/>
      <c r="R25" s="46"/>
      <c r="T25" s="351"/>
      <c r="U25" s="484"/>
      <c r="W25" s="199"/>
      <c r="X25" s="41"/>
      <c r="Y25" s="46"/>
    </row>
    <row r="26" spans="2:25" ht="12.75">
      <c r="B26" s="358" t="str">
        <f>'Cash Flow (1)'!B26</f>
        <v>Management Fee</v>
      </c>
      <c r="C26" s="365">
        <v>0</v>
      </c>
      <c r="D26" s="43" t="e">
        <f aca="true" t="shared" si="6" ref="D26:D36">(C26/$C$9)*12</f>
        <v>#VALUE!</v>
      </c>
      <c r="E26" s="47" t="e">
        <f>D26/$D$23</f>
        <v>#VALUE!</v>
      </c>
      <c r="F26" s="42" t="e">
        <f aca="true" t="shared" si="7" ref="F26:F36">D26/$C$6</f>
        <v>#VALUE!</v>
      </c>
      <c r="H26" s="365">
        <v>0</v>
      </c>
      <c r="I26" s="47" t="e">
        <f>H26/H23</f>
        <v>#DIV/0!</v>
      </c>
      <c r="J26" s="42" t="e">
        <f aca="true" t="shared" si="8" ref="J26:J36">H26/$C$6</f>
        <v>#DIV/0!</v>
      </c>
      <c r="L26" s="104">
        <f>L23*M26</f>
        <v>0</v>
      </c>
      <c r="M26" s="383">
        <v>0</v>
      </c>
      <c r="N26" s="97" t="e">
        <f aca="true" t="shared" si="9" ref="N26:N36">L26/$C$6</f>
        <v>#DIV/0!</v>
      </c>
      <c r="P26" s="104">
        <f>P23*Q26</f>
        <v>0</v>
      </c>
      <c r="Q26" s="383">
        <v>0</v>
      </c>
      <c r="R26" s="97" t="e">
        <f aca="true" t="shared" si="10" ref="R26:R36">P26/$C$6</f>
        <v>#DIV/0!</v>
      </c>
      <c r="T26" s="351"/>
      <c r="U26" s="484"/>
      <c r="W26" s="104">
        <f>'Cash Flow (1)'!O26</f>
        <v>0</v>
      </c>
      <c r="X26" s="324">
        <f>'Cash Flow (1)'!P26</f>
        <v>0.05</v>
      </c>
      <c r="Y26" s="97" t="e">
        <f aca="true" t="shared" si="11" ref="Y26:Y36">W26/$C$6</f>
        <v>#DIV/0!</v>
      </c>
    </row>
    <row r="27" spans="2:25" ht="12.75">
      <c r="B27" s="358" t="str">
        <f>'Cash Flow (1)'!B27</f>
        <v>General &amp; Administrative</v>
      </c>
      <c r="C27" s="365">
        <v>0</v>
      </c>
      <c r="D27" s="43" t="e">
        <f t="shared" si="6"/>
        <v>#VALUE!</v>
      </c>
      <c r="E27" s="41"/>
      <c r="F27" s="42" t="e">
        <f t="shared" si="7"/>
        <v>#VALUE!</v>
      </c>
      <c r="H27" s="365">
        <v>0</v>
      </c>
      <c r="I27" s="41"/>
      <c r="J27" s="42" t="e">
        <f t="shared" si="8"/>
        <v>#DIV/0!</v>
      </c>
      <c r="L27" s="378">
        <v>0</v>
      </c>
      <c r="M27" s="41"/>
      <c r="N27" s="42" t="e">
        <f t="shared" si="9"/>
        <v>#DIV/0!</v>
      </c>
      <c r="P27" s="378">
        <v>0</v>
      </c>
      <c r="Q27" s="41"/>
      <c r="R27" s="42" t="e">
        <f t="shared" si="10"/>
        <v>#DIV/0!</v>
      </c>
      <c r="T27" s="351"/>
      <c r="U27" s="484"/>
      <c r="W27" s="106">
        <f>'Cash Flow (1)'!O27</f>
        <v>0</v>
      </c>
      <c r="X27" s="41"/>
      <c r="Y27" s="42" t="e">
        <f t="shared" si="11"/>
        <v>#DIV/0!</v>
      </c>
    </row>
    <row r="28" spans="2:25" ht="12.75">
      <c r="B28" s="358" t="str">
        <f>'Cash Flow (1)'!B28</f>
        <v>Common Area Maintenance </v>
      </c>
      <c r="C28" s="365">
        <v>0</v>
      </c>
      <c r="D28" s="43" t="e">
        <f t="shared" si="6"/>
        <v>#VALUE!</v>
      </c>
      <c r="E28" s="41"/>
      <c r="F28" s="42" t="e">
        <f t="shared" si="7"/>
        <v>#VALUE!</v>
      </c>
      <c r="H28" s="365">
        <v>0</v>
      </c>
      <c r="I28" s="41"/>
      <c r="J28" s="42" t="e">
        <f t="shared" si="8"/>
        <v>#DIV/0!</v>
      </c>
      <c r="L28" s="378">
        <v>0</v>
      </c>
      <c r="M28" s="41"/>
      <c r="N28" s="42" t="e">
        <f t="shared" si="9"/>
        <v>#DIV/0!</v>
      </c>
      <c r="P28" s="378">
        <v>0</v>
      </c>
      <c r="Q28" s="41"/>
      <c r="R28" s="42" t="e">
        <f t="shared" si="10"/>
        <v>#DIV/0!</v>
      </c>
      <c r="T28" s="351"/>
      <c r="U28" s="484"/>
      <c r="W28" s="106">
        <f>'Cash Flow (1)'!O28</f>
        <v>0</v>
      </c>
      <c r="X28" s="41"/>
      <c r="Y28" s="42" t="e">
        <f t="shared" si="11"/>
        <v>#DIV/0!</v>
      </c>
    </row>
    <row r="29" spans="2:25" ht="12.75">
      <c r="B29" s="358" t="str">
        <f>'Cash Flow (1)'!B29</f>
        <v>Utilities</v>
      </c>
      <c r="C29" s="365">
        <v>0</v>
      </c>
      <c r="D29" s="43" t="e">
        <f t="shared" si="6"/>
        <v>#VALUE!</v>
      </c>
      <c r="E29" s="41"/>
      <c r="F29" s="42" t="e">
        <f t="shared" si="7"/>
        <v>#VALUE!</v>
      </c>
      <c r="H29" s="365">
        <v>0</v>
      </c>
      <c r="I29" s="41"/>
      <c r="J29" s="42" t="e">
        <f t="shared" si="8"/>
        <v>#DIV/0!</v>
      </c>
      <c r="L29" s="378">
        <v>0</v>
      </c>
      <c r="M29" s="41"/>
      <c r="N29" s="42" t="e">
        <f t="shared" si="9"/>
        <v>#DIV/0!</v>
      </c>
      <c r="P29" s="378">
        <v>0</v>
      </c>
      <c r="Q29" s="41"/>
      <c r="R29" s="42" t="e">
        <f t="shared" si="10"/>
        <v>#DIV/0!</v>
      </c>
      <c r="T29" s="351"/>
      <c r="U29" s="484"/>
      <c r="W29" s="106">
        <f>'Cash Flow (1)'!O29</f>
        <v>0</v>
      </c>
      <c r="X29" s="41"/>
      <c r="Y29" s="42" t="e">
        <f t="shared" si="11"/>
        <v>#DIV/0!</v>
      </c>
    </row>
    <row r="30" spans="2:25" ht="12.75">
      <c r="B30" s="358" t="str">
        <f>'Cash Flow (1)'!B30</f>
        <v>Repairs &amp; Maintenance</v>
      </c>
      <c r="C30" s="365">
        <v>0</v>
      </c>
      <c r="D30" s="43" t="e">
        <f t="shared" si="6"/>
        <v>#VALUE!</v>
      </c>
      <c r="E30" s="41"/>
      <c r="F30" s="42" t="e">
        <f t="shared" si="7"/>
        <v>#VALUE!</v>
      </c>
      <c r="H30" s="365">
        <v>0</v>
      </c>
      <c r="I30" s="41"/>
      <c r="J30" s="42" t="e">
        <f t="shared" si="8"/>
        <v>#DIV/0!</v>
      </c>
      <c r="L30" s="378">
        <v>0</v>
      </c>
      <c r="M30" s="41"/>
      <c r="N30" s="42" t="e">
        <f t="shared" si="9"/>
        <v>#DIV/0!</v>
      </c>
      <c r="P30" s="378">
        <v>0</v>
      </c>
      <c r="Q30" s="41"/>
      <c r="R30" s="42" t="e">
        <f t="shared" si="10"/>
        <v>#DIV/0!</v>
      </c>
      <c r="T30" s="351"/>
      <c r="U30" s="484"/>
      <c r="W30" s="106">
        <f>'Cash Flow (1)'!O30</f>
        <v>0</v>
      </c>
      <c r="X30" s="41"/>
      <c r="Y30" s="42" t="e">
        <f t="shared" si="11"/>
        <v>#DIV/0!</v>
      </c>
    </row>
    <row r="31" spans="2:25" ht="12.75">
      <c r="B31" s="358" t="str">
        <f>'Cash Flow (1)'!B31</f>
        <v>Miscellaneous1</v>
      </c>
      <c r="C31" s="365">
        <v>0</v>
      </c>
      <c r="D31" s="43" t="e">
        <f t="shared" si="6"/>
        <v>#VALUE!</v>
      </c>
      <c r="E31" s="41"/>
      <c r="F31" s="42" t="e">
        <f t="shared" si="7"/>
        <v>#VALUE!</v>
      </c>
      <c r="H31" s="365">
        <v>0</v>
      </c>
      <c r="I31" s="41"/>
      <c r="J31" s="42" t="e">
        <f t="shared" si="8"/>
        <v>#DIV/0!</v>
      </c>
      <c r="L31" s="378">
        <v>0</v>
      </c>
      <c r="M31" s="41"/>
      <c r="N31" s="42" t="e">
        <f t="shared" si="9"/>
        <v>#DIV/0!</v>
      </c>
      <c r="P31" s="378">
        <v>0</v>
      </c>
      <c r="Q31" s="41"/>
      <c r="R31" s="42" t="e">
        <f t="shared" si="10"/>
        <v>#DIV/0!</v>
      </c>
      <c r="T31" s="351"/>
      <c r="U31" s="484"/>
      <c r="W31" s="106">
        <f>'Cash Flow (1)'!O31</f>
        <v>0</v>
      </c>
      <c r="X31" s="41"/>
      <c r="Y31" s="42" t="e">
        <f t="shared" si="11"/>
        <v>#DIV/0!</v>
      </c>
    </row>
    <row r="32" spans="2:25" ht="12.75">
      <c r="B32" s="358" t="str">
        <f>'Cash Flow (1)'!B32</f>
        <v>Miscellaneous2</v>
      </c>
      <c r="C32" s="365">
        <v>0</v>
      </c>
      <c r="D32" s="43" t="e">
        <f t="shared" si="6"/>
        <v>#VALUE!</v>
      </c>
      <c r="E32" s="41"/>
      <c r="F32" s="42" t="e">
        <f t="shared" si="7"/>
        <v>#VALUE!</v>
      </c>
      <c r="H32" s="365">
        <v>0</v>
      </c>
      <c r="I32" s="41"/>
      <c r="J32" s="42" t="e">
        <f t="shared" si="8"/>
        <v>#DIV/0!</v>
      </c>
      <c r="L32" s="378">
        <v>0</v>
      </c>
      <c r="M32" s="41"/>
      <c r="N32" s="42" t="e">
        <f t="shared" si="9"/>
        <v>#DIV/0!</v>
      </c>
      <c r="P32" s="378">
        <v>0</v>
      </c>
      <c r="Q32" s="41"/>
      <c r="R32" s="42" t="e">
        <f t="shared" si="10"/>
        <v>#DIV/0!</v>
      </c>
      <c r="T32" s="351"/>
      <c r="U32" s="484"/>
      <c r="W32" s="106">
        <f>'Cash Flow (1)'!O32</f>
        <v>0</v>
      </c>
      <c r="X32" s="41"/>
      <c r="Y32" s="42" t="e">
        <f t="shared" si="11"/>
        <v>#DIV/0!</v>
      </c>
    </row>
    <row r="33" spans="2:25" ht="12.75">
      <c r="B33" s="358" t="str">
        <f>'Cash Flow (1)'!B33</f>
        <v>Miscellaneous3</v>
      </c>
      <c r="C33" s="365">
        <v>0</v>
      </c>
      <c r="D33" s="43" t="e">
        <f t="shared" si="6"/>
        <v>#VALUE!</v>
      </c>
      <c r="E33" s="41"/>
      <c r="F33" s="42" t="e">
        <f t="shared" si="7"/>
        <v>#VALUE!</v>
      </c>
      <c r="H33" s="365">
        <v>0</v>
      </c>
      <c r="I33" s="41"/>
      <c r="J33" s="42" t="e">
        <f t="shared" si="8"/>
        <v>#DIV/0!</v>
      </c>
      <c r="L33" s="378">
        <v>0</v>
      </c>
      <c r="M33" s="41"/>
      <c r="N33" s="42" t="e">
        <f t="shared" si="9"/>
        <v>#DIV/0!</v>
      </c>
      <c r="P33" s="378">
        <v>0</v>
      </c>
      <c r="Q33" s="41"/>
      <c r="R33" s="42" t="e">
        <f t="shared" si="10"/>
        <v>#DIV/0!</v>
      </c>
      <c r="T33" s="351"/>
      <c r="U33" s="484"/>
      <c r="W33" s="106">
        <f>'Cash Flow (1)'!O33</f>
        <v>0</v>
      </c>
      <c r="X33" s="41"/>
      <c r="Y33" s="42" t="e">
        <f t="shared" si="11"/>
        <v>#DIV/0!</v>
      </c>
    </row>
    <row r="34" spans="2:25" ht="12.75">
      <c r="B34" s="358" t="str">
        <f>'Cash Flow (1)'!B34</f>
        <v>Miscellaneous4</v>
      </c>
      <c r="C34" s="365">
        <v>0</v>
      </c>
      <c r="D34" s="43" t="e">
        <f t="shared" si="6"/>
        <v>#VALUE!</v>
      </c>
      <c r="E34" s="41"/>
      <c r="F34" s="42" t="e">
        <f t="shared" si="7"/>
        <v>#VALUE!</v>
      </c>
      <c r="H34" s="365">
        <v>0</v>
      </c>
      <c r="I34" s="41"/>
      <c r="J34" s="42" t="e">
        <f t="shared" si="8"/>
        <v>#DIV/0!</v>
      </c>
      <c r="L34" s="378">
        <v>0</v>
      </c>
      <c r="M34" s="41"/>
      <c r="N34" s="42" t="e">
        <f t="shared" si="9"/>
        <v>#DIV/0!</v>
      </c>
      <c r="P34" s="378">
        <v>0</v>
      </c>
      <c r="Q34" s="41"/>
      <c r="R34" s="42" t="e">
        <f t="shared" si="10"/>
        <v>#DIV/0!</v>
      </c>
      <c r="T34" s="351"/>
      <c r="U34" s="484"/>
      <c r="W34" s="106">
        <f>'Cash Flow (1)'!O34</f>
        <v>0</v>
      </c>
      <c r="X34" s="41"/>
      <c r="Y34" s="42" t="e">
        <f t="shared" si="11"/>
        <v>#DIV/0!</v>
      </c>
    </row>
    <row r="35" spans="2:25" ht="12.75">
      <c r="B35" s="358" t="str">
        <f>'Cash Flow (1)'!B35</f>
        <v>Miscellaneous5</v>
      </c>
      <c r="C35" s="366">
        <v>0</v>
      </c>
      <c r="D35" s="102" t="e">
        <f t="shared" si="6"/>
        <v>#VALUE!</v>
      </c>
      <c r="E35" s="44"/>
      <c r="F35" s="45" t="e">
        <f t="shared" si="7"/>
        <v>#VALUE!</v>
      </c>
      <c r="H35" s="366">
        <v>0</v>
      </c>
      <c r="I35" s="44"/>
      <c r="J35" s="45" t="e">
        <f t="shared" si="8"/>
        <v>#DIV/0!</v>
      </c>
      <c r="L35" s="379">
        <v>0</v>
      </c>
      <c r="M35" s="44"/>
      <c r="N35" s="45" t="e">
        <f t="shared" si="9"/>
        <v>#DIV/0!</v>
      </c>
      <c r="P35" s="379">
        <v>0</v>
      </c>
      <c r="Q35" s="44"/>
      <c r="R35" s="45" t="e">
        <f t="shared" si="10"/>
        <v>#DIV/0!</v>
      </c>
      <c r="T35" s="352"/>
      <c r="U35" s="485"/>
      <c r="W35" s="197">
        <f>'Cash Flow (1)'!O35</f>
        <v>0</v>
      </c>
      <c r="X35" s="44"/>
      <c r="Y35" s="45" t="e">
        <f t="shared" si="11"/>
        <v>#DIV/0!</v>
      </c>
    </row>
    <row r="36" spans="1:25" ht="12.75">
      <c r="A36" s="12" t="s">
        <v>112</v>
      </c>
      <c r="B36" s="364"/>
      <c r="C36" s="103">
        <f>SUM(C26:C35)</f>
        <v>0</v>
      </c>
      <c r="D36" s="43" t="e">
        <f t="shared" si="6"/>
        <v>#VALUE!</v>
      </c>
      <c r="E36" s="47" t="e">
        <f>D36/D23</f>
        <v>#VALUE!</v>
      </c>
      <c r="F36" s="42" t="e">
        <f t="shared" si="7"/>
        <v>#VALUE!</v>
      </c>
      <c r="H36" s="103">
        <f>SUM(H26:H35)</f>
        <v>0</v>
      </c>
      <c r="I36" s="47" t="e">
        <f>H36/H23</f>
        <v>#DIV/0!</v>
      </c>
      <c r="J36" s="42" t="e">
        <f t="shared" si="8"/>
        <v>#DIV/0!</v>
      </c>
      <c r="L36" s="103">
        <f>SUM(L26:L35)</f>
        <v>0</v>
      </c>
      <c r="M36" s="47" t="e">
        <f>L36/L23</f>
        <v>#DIV/0!</v>
      </c>
      <c r="N36" s="42" t="e">
        <f t="shared" si="9"/>
        <v>#DIV/0!</v>
      </c>
      <c r="P36" s="103">
        <f>SUM(P26:P35)</f>
        <v>0</v>
      </c>
      <c r="Q36" s="47" t="e">
        <f>P36/P23</f>
        <v>#DIV/0!</v>
      </c>
      <c r="R36" s="42" t="e">
        <f t="shared" si="10"/>
        <v>#DIV/0!</v>
      </c>
      <c r="T36" s="351"/>
      <c r="U36" s="484"/>
      <c r="W36" s="103">
        <f>'Cash Flow (1)'!O36</f>
        <v>0</v>
      </c>
      <c r="X36" s="47" t="e">
        <f>W36/W23</f>
        <v>#DIV/0!</v>
      </c>
      <c r="Y36" s="42" t="e">
        <f t="shared" si="11"/>
        <v>#DIV/0!</v>
      </c>
    </row>
    <row r="37" spans="2:25" ht="12.75">
      <c r="B37" s="359"/>
      <c r="C37" s="367"/>
      <c r="D37" s="34"/>
      <c r="E37" s="41"/>
      <c r="F37" s="46"/>
      <c r="H37" s="367"/>
      <c r="I37" s="41"/>
      <c r="J37" s="46"/>
      <c r="L37" s="367"/>
      <c r="M37" s="41"/>
      <c r="N37" s="46"/>
      <c r="P37" s="34"/>
      <c r="Q37" s="41"/>
      <c r="R37" s="46"/>
      <c r="T37" s="351"/>
      <c r="U37" s="484"/>
      <c r="W37" s="199"/>
      <c r="X37" s="41"/>
      <c r="Y37" s="46"/>
    </row>
    <row r="38" spans="2:25" ht="12.75">
      <c r="B38" s="358" t="str">
        <f>'Cash Flow (1)'!B38</f>
        <v>Insurance</v>
      </c>
      <c r="C38" s="365">
        <v>0</v>
      </c>
      <c r="D38" s="43" t="e">
        <f>(C38/$C$9)*12</f>
        <v>#VALUE!</v>
      </c>
      <c r="E38" s="41"/>
      <c r="F38" s="42" t="e">
        <f>D38/$C$6</f>
        <v>#VALUE!</v>
      </c>
      <c r="H38" s="365">
        <v>0</v>
      </c>
      <c r="I38" s="41"/>
      <c r="J38" s="42" t="e">
        <f>H38/$C$6</f>
        <v>#DIV/0!</v>
      </c>
      <c r="L38" s="378">
        <v>0</v>
      </c>
      <c r="M38" s="41"/>
      <c r="N38" s="42" t="e">
        <f>L38/$C$6</f>
        <v>#DIV/0!</v>
      </c>
      <c r="P38" s="378">
        <v>0</v>
      </c>
      <c r="Q38" s="41"/>
      <c r="R38" s="42" t="e">
        <f>P38/$C$6</f>
        <v>#DIV/0!</v>
      </c>
      <c r="T38" s="351"/>
      <c r="U38" s="484"/>
      <c r="W38" s="106">
        <f>'Cash Flow (1)'!O38</f>
        <v>0</v>
      </c>
      <c r="X38" s="41"/>
      <c r="Y38" s="42" t="e">
        <f>W38/$C$6</f>
        <v>#DIV/0!</v>
      </c>
    </row>
    <row r="39" spans="2:25" ht="12.75">
      <c r="B39" s="358" t="str">
        <f>'Cash Flow (1)'!B39</f>
        <v>Real Estate Taxes</v>
      </c>
      <c r="C39" s="366">
        <v>0</v>
      </c>
      <c r="D39" s="102" t="e">
        <f>(C39/$C$9)*12</f>
        <v>#VALUE!</v>
      </c>
      <c r="E39" s="44"/>
      <c r="F39" s="45" t="e">
        <f>D39/$C$6</f>
        <v>#VALUE!</v>
      </c>
      <c r="H39" s="366">
        <v>0</v>
      </c>
      <c r="I39" s="44"/>
      <c r="J39" s="45" t="e">
        <f>H39/$C$6</f>
        <v>#DIV/0!</v>
      </c>
      <c r="L39" s="380">
        <v>0</v>
      </c>
      <c r="M39" s="44"/>
      <c r="N39" s="45" t="e">
        <f>L39/$C$6</f>
        <v>#DIV/0!</v>
      </c>
      <c r="P39" s="380">
        <v>0</v>
      </c>
      <c r="Q39" s="44"/>
      <c r="R39" s="45" t="e">
        <f>P39/$C$6</f>
        <v>#DIV/0!</v>
      </c>
      <c r="T39" s="351"/>
      <c r="U39" s="484"/>
      <c r="W39" s="200">
        <f>'Cash Flow (1)'!O39</f>
        <v>0</v>
      </c>
      <c r="X39" s="44"/>
      <c r="Y39" s="45" t="e">
        <f>W39/$C$6</f>
        <v>#DIV/0!</v>
      </c>
    </row>
    <row r="40" spans="1:25" ht="12.75">
      <c r="A40" s="12" t="s">
        <v>115</v>
      </c>
      <c r="B40" s="364"/>
      <c r="C40" s="103">
        <f>SUM(C38:C39)</f>
        <v>0</v>
      </c>
      <c r="D40" s="43" t="e">
        <f>(C40/$C$9)*12</f>
        <v>#VALUE!</v>
      </c>
      <c r="E40" s="47" t="e">
        <f>D40/D23</f>
        <v>#VALUE!</v>
      </c>
      <c r="F40" s="42" t="e">
        <f>D40/$C$6</f>
        <v>#VALUE!</v>
      </c>
      <c r="H40" s="103">
        <f>SUM(H38:H39)</f>
        <v>0</v>
      </c>
      <c r="I40" s="47" t="e">
        <f>H40/H23</f>
        <v>#DIV/0!</v>
      </c>
      <c r="J40" s="42" t="e">
        <f>H40/$C$6</f>
        <v>#DIV/0!</v>
      </c>
      <c r="L40" s="103">
        <f>SUM(L38:L39)</f>
        <v>0</v>
      </c>
      <c r="M40" s="47" t="e">
        <f>L40/L23</f>
        <v>#DIV/0!</v>
      </c>
      <c r="N40" s="42" t="e">
        <f>L40/$C$6</f>
        <v>#DIV/0!</v>
      </c>
      <c r="P40" s="103">
        <f>SUM(P38:P39)</f>
        <v>0</v>
      </c>
      <c r="Q40" s="47" t="e">
        <f>P40/P23</f>
        <v>#DIV/0!</v>
      </c>
      <c r="R40" s="42" t="e">
        <f>P40/$C$6</f>
        <v>#DIV/0!</v>
      </c>
      <c r="T40" s="486"/>
      <c r="U40" s="487"/>
      <c r="W40" s="103">
        <f>'Cash Flow (1)'!O40</f>
        <v>0</v>
      </c>
      <c r="X40" s="47" t="e">
        <f>W40/W23</f>
        <v>#DIV/0!</v>
      </c>
      <c r="Y40" s="42" t="e">
        <f>W40/$C$6</f>
        <v>#DIV/0!</v>
      </c>
    </row>
    <row r="41" spans="2:25" ht="12.75">
      <c r="B41" s="364"/>
      <c r="C41" s="367"/>
      <c r="D41" s="34"/>
      <c r="E41" s="41"/>
      <c r="F41" s="46"/>
      <c r="H41" s="367"/>
      <c r="I41" s="41"/>
      <c r="J41" s="46"/>
      <c r="L41" s="367"/>
      <c r="M41" s="41"/>
      <c r="N41" s="46"/>
      <c r="P41" s="34"/>
      <c r="Q41" s="41"/>
      <c r="R41" s="46"/>
      <c r="T41" s="352"/>
      <c r="U41" s="485"/>
      <c r="W41" s="199"/>
      <c r="X41" s="41"/>
      <c r="Y41" s="46"/>
    </row>
    <row r="42" spans="1:25" ht="12.75">
      <c r="A42" s="12" t="s">
        <v>116</v>
      </c>
      <c r="B42" s="364"/>
      <c r="C42" s="121">
        <f>C40+C36</f>
        <v>0</v>
      </c>
      <c r="D42" s="121" t="e">
        <f>D40+D36</f>
        <v>#VALUE!</v>
      </c>
      <c r="E42" s="122" t="e">
        <f>D42/D23</f>
        <v>#VALUE!</v>
      </c>
      <c r="F42" s="470" t="e">
        <f>D42/$C$6</f>
        <v>#VALUE!</v>
      </c>
      <c r="G42" s="473"/>
      <c r="H42" s="121">
        <f>H40+H36</f>
        <v>0</v>
      </c>
      <c r="I42" s="122" t="e">
        <f>H42/H23</f>
        <v>#DIV/0!</v>
      </c>
      <c r="J42" s="470" t="e">
        <f>H42/$C$6</f>
        <v>#DIV/0!</v>
      </c>
      <c r="K42" s="473"/>
      <c r="L42" s="121">
        <f>L40+L36</f>
        <v>0</v>
      </c>
      <c r="M42" s="122" t="e">
        <f>L42/L23</f>
        <v>#DIV/0!</v>
      </c>
      <c r="N42" s="470" t="e">
        <f>L42/$C$6</f>
        <v>#DIV/0!</v>
      </c>
      <c r="O42" s="473"/>
      <c r="P42" s="121">
        <f>P40+P36</f>
        <v>0</v>
      </c>
      <c r="Q42" s="122" t="e">
        <f>P42/P23</f>
        <v>#DIV/0!</v>
      </c>
      <c r="R42" s="470" t="e">
        <f>P42/$C$6</f>
        <v>#DIV/0!</v>
      </c>
      <c r="T42" s="351"/>
      <c r="U42" s="484"/>
      <c r="W42" s="201">
        <f>'Cash Flow (1)'!O42</f>
        <v>0</v>
      </c>
      <c r="X42" s="122" t="e">
        <f>W42/W23</f>
        <v>#DIV/0!</v>
      </c>
      <c r="Y42" s="123" t="e">
        <f>W42/$C$6</f>
        <v>#DIV/0!</v>
      </c>
    </row>
    <row r="43" spans="2:25" ht="12.75">
      <c r="B43" s="364"/>
      <c r="C43" s="474"/>
      <c r="D43" s="474"/>
      <c r="E43" s="47"/>
      <c r="F43" s="475"/>
      <c r="G43" s="477"/>
      <c r="H43" s="474"/>
      <c r="I43" s="47"/>
      <c r="J43" s="475"/>
      <c r="K43" s="477"/>
      <c r="L43" s="490"/>
      <c r="M43" s="47"/>
      <c r="N43" s="475"/>
      <c r="O43" s="477"/>
      <c r="P43" s="490"/>
      <c r="Q43" s="47"/>
      <c r="R43" s="475"/>
      <c r="T43" s="488"/>
      <c r="U43" s="489"/>
      <c r="W43" s="199"/>
      <c r="X43" s="41"/>
      <c r="Y43" s="46"/>
    </row>
    <row r="44" spans="1:25" ht="12.75">
      <c r="A44" s="12" t="s">
        <v>117</v>
      </c>
      <c r="B44" s="364"/>
      <c r="C44" s="121">
        <f>C23-C42</f>
        <v>0</v>
      </c>
      <c r="D44" s="121" t="e">
        <f>D23-D42</f>
        <v>#VALUE!</v>
      </c>
      <c r="E44" s="122" t="e">
        <f>D44/D23</f>
        <v>#VALUE!</v>
      </c>
      <c r="F44" s="470" t="e">
        <f>D44/$C$6</f>
        <v>#VALUE!</v>
      </c>
      <c r="G44" s="473"/>
      <c r="H44" s="121">
        <f>H23-H42</f>
        <v>0</v>
      </c>
      <c r="I44" s="122" t="e">
        <f>H44/H23</f>
        <v>#DIV/0!</v>
      </c>
      <c r="J44" s="470" t="e">
        <f>H44/$C$6</f>
        <v>#DIV/0!</v>
      </c>
      <c r="K44" s="473"/>
      <c r="L44" s="121">
        <f>L23-L42</f>
        <v>0</v>
      </c>
      <c r="M44" s="122" t="e">
        <f>L44/L23</f>
        <v>#DIV/0!</v>
      </c>
      <c r="N44" s="470" t="e">
        <f>L44/$C$6</f>
        <v>#DIV/0!</v>
      </c>
      <c r="O44" s="473"/>
      <c r="P44" s="121">
        <f>P23-P42</f>
        <v>0</v>
      </c>
      <c r="Q44" s="122" t="e">
        <f>P44/P23</f>
        <v>#DIV/0!</v>
      </c>
      <c r="R44" s="470" t="e">
        <f>P44/$C$6</f>
        <v>#DIV/0!</v>
      </c>
      <c r="T44" s="351"/>
      <c r="U44" s="484"/>
      <c r="W44" s="201">
        <f>'Cash Flow (1)'!O44</f>
        <v>0</v>
      </c>
      <c r="X44" s="122" t="e">
        <f>W44/W23</f>
        <v>#DIV/0!</v>
      </c>
      <c r="Y44" s="123" t="e">
        <f>W44/$C$6</f>
        <v>#DIV/0!</v>
      </c>
    </row>
    <row r="45" spans="2:25" ht="12.75">
      <c r="B45" s="359"/>
      <c r="C45" s="367"/>
      <c r="D45" s="34"/>
      <c r="E45" s="41"/>
      <c r="F45" s="46"/>
      <c r="H45" s="367"/>
      <c r="I45" s="41"/>
      <c r="J45" s="46"/>
      <c r="L45" s="381"/>
      <c r="M45" s="41"/>
      <c r="N45" s="46"/>
      <c r="P45" s="100"/>
      <c r="Q45" s="41"/>
      <c r="R45" s="46"/>
      <c r="T45" s="486"/>
      <c r="U45" s="487"/>
      <c r="W45" s="202"/>
      <c r="X45" s="41"/>
      <c r="Y45" s="46"/>
    </row>
    <row r="46" spans="2:25" ht="12.75">
      <c r="B46" s="358" t="str">
        <f>'Cash Flow (1)'!B46</f>
        <v>Replacement Reserve</v>
      </c>
      <c r="C46" s="365">
        <v>0</v>
      </c>
      <c r="D46" s="43" t="e">
        <f>(C46/$C$9)*12</f>
        <v>#VALUE!</v>
      </c>
      <c r="E46" s="41"/>
      <c r="F46" s="42" t="e">
        <f>D46/$C$6</f>
        <v>#VALUE!</v>
      </c>
      <c r="H46" s="365">
        <v>0</v>
      </c>
      <c r="I46" s="41"/>
      <c r="J46" s="42" t="e">
        <f>H46/$C$6</f>
        <v>#DIV/0!</v>
      </c>
      <c r="L46" s="378">
        <v>0</v>
      </c>
      <c r="M46" s="41"/>
      <c r="N46" s="204" t="e">
        <f>L46/NRSF</f>
        <v>#DIV/0!</v>
      </c>
      <c r="P46" s="378">
        <v>0</v>
      </c>
      <c r="Q46" s="41"/>
      <c r="R46" s="204" t="e">
        <f>P46/NRSF</f>
        <v>#DIV/0!</v>
      </c>
      <c r="T46" s="351"/>
      <c r="U46" s="484"/>
      <c r="W46" s="106">
        <f>'Cash Flow (1)'!O46</f>
        <v>0</v>
      </c>
      <c r="X46" s="41"/>
      <c r="Y46" s="204">
        <f>'Cash Flow (1)'!Q46</f>
        <v>0.25</v>
      </c>
    </row>
    <row r="47" spans="2:25" ht="12.75">
      <c r="B47" s="358" t="str">
        <f>'Cash Flow (1)'!B47</f>
        <v>Tenant Improvements</v>
      </c>
      <c r="C47" s="365">
        <v>0</v>
      </c>
      <c r="D47" s="43" t="e">
        <f>(C47/$C$9)*12</f>
        <v>#VALUE!</v>
      </c>
      <c r="E47" s="41"/>
      <c r="F47" s="42" t="e">
        <f>D47/$C$6</f>
        <v>#VALUE!</v>
      </c>
      <c r="H47" s="365">
        <v>0</v>
      </c>
      <c r="I47" s="41"/>
      <c r="J47" s="42" t="e">
        <f>H47/$C$6</f>
        <v>#DIV/0!</v>
      </c>
      <c r="L47" s="378">
        <v>0</v>
      </c>
      <c r="M47" s="41"/>
      <c r="N47" s="42" t="e">
        <f>L47/$C$6</f>
        <v>#DIV/0!</v>
      </c>
      <c r="P47" s="378">
        <v>0</v>
      </c>
      <c r="Q47" s="41"/>
      <c r="R47" s="42" t="e">
        <f>P47/$C$6</f>
        <v>#DIV/0!</v>
      </c>
      <c r="T47" s="351"/>
      <c r="U47" s="484"/>
      <c r="W47" s="106" t="e">
        <f>'Cash Flow (1)'!O47</f>
        <v>#DIV/0!</v>
      </c>
      <c r="X47" s="41"/>
      <c r="Y47" s="42" t="e">
        <f>W47/$C$6</f>
        <v>#DIV/0!</v>
      </c>
    </row>
    <row r="48" spans="2:25" ht="12.75">
      <c r="B48" s="358" t="str">
        <f>'Cash Flow (1)'!B48</f>
        <v>Leasing Commissions</v>
      </c>
      <c r="C48" s="366">
        <v>0</v>
      </c>
      <c r="D48" s="43" t="e">
        <f>(C48/$C$9)*12</f>
        <v>#VALUE!</v>
      </c>
      <c r="E48" s="44"/>
      <c r="F48" s="42" t="e">
        <f>D48/$C$6</f>
        <v>#VALUE!</v>
      </c>
      <c r="H48" s="366">
        <v>0</v>
      </c>
      <c r="I48" s="44"/>
      <c r="J48" s="42" t="e">
        <f>H48/$C$6</f>
        <v>#DIV/0!</v>
      </c>
      <c r="L48" s="378">
        <v>0</v>
      </c>
      <c r="M48" s="44"/>
      <c r="N48" s="42" t="e">
        <f>L48/$C$6</f>
        <v>#DIV/0!</v>
      </c>
      <c r="P48" s="378">
        <v>0</v>
      </c>
      <c r="Q48" s="44"/>
      <c r="R48" s="42" t="e">
        <f>P48/$C$6</f>
        <v>#DIV/0!</v>
      </c>
      <c r="T48" s="352"/>
      <c r="U48" s="485"/>
      <c r="W48" s="106" t="e">
        <f>'Cash Flow (1)'!O48</f>
        <v>#DIV/0!</v>
      </c>
      <c r="X48" s="44"/>
      <c r="Y48" s="42" t="e">
        <f>W48/$C$6</f>
        <v>#DIV/0!</v>
      </c>
    </row>
    <row r="49" spans="1:25" ht="12.75">
      <c r="A49" s="12" t="s">
        <v>120</v>
      </c>
      <c r="B49" s="364"/>
      <c r="C49" s="480">
        <f>C44-SUM(C46:C48)</f>
        <v>0</v>
      </c>
      <c r="D49" s="121" t="e">
        <f>D44-SUM(D46:D48)</f>
        <v>#VALUE!</v>
      </c>
      <c r="E49" s="126" t="e">
        <f>D49/D23</f>
        <v>#VALUE!</v>
      </c>
      <c r="F49" s="481" t="e">
        <f>D49/$C$6</f>
        <v>#VALUE!</v>
      </c>
      <c r="G49" s="473"/>
      <c r="H49" s="480">
        <f>H44-SUM(H46:H48)</f>
        <v>0</v>
      </c>
      <c r="I49" s="126" t="e">
        <f>H49/H23</f>
        <v>#DIV/0!</v>
      </c>
      <c r="J49" s="481" t="e">
        <f>H49/$C$6</f>
        <v>#DIV/0!</v>
      </c>
      <c r="K49" s="473"/>
      <c r="L49" s="121">
        <f>L44-SUM(L46:L48)</f>
        <v>0</v>
      </c>
      <c r="M49" s="126" t="e">
        <f>L49/L23</f>
        <v>#DIV/0!</v>
      </c>
      <c r="N49" s="481" t="e">
        <f>L49/$C$6</f>
        <v>#DIV/0!</v>
      </c>
      <c r="O49" s="473"/>
      <c r="P49" s="121">
        <f>P44-SUM(P46:P48)</f>
        <v>0</v>
      </c>
      <c r="Q49" s="126" t="e">
        <f>P49/P23</f>
        <v>#DIV/0!</v>
      </c>
      <c r="R49" s="481" t="e">
        <f>P49/$C$6</f>
        <v>#DIV/0!</v>
      </c>
      <c r="T49" s="352"/>
      <c r="U49" s="485"/>
      <c r="W49" s="203" t="e">
        <f>'Cash Flow (1)'!O49</f>
        <v>#DIV/0!</v>
      </c>
      <c r="X49" s="126" t="e">
        <f>W49/W23</f>
        <v>#DIV/0!</v>
      </c>
      <c r="Y49" s="128" t="e">
        <f>W49/$C$6</f>
        <v>#DIV/0!</v>
      </c>
    </row>
    <row r="50" spans="2:23" ht="12.75">
      <c r="B50" s="359"/>
      <c r="H50" s="359"/>
      <c r="L50" s="359"/>
      <c r="W50" s="195"/>
    </row>
    <row r="51" spans="2:23" ht="13.5" thickBot="1">
      <c r="B51" s="358" t="s">
        <v>121</v>
      </c>
      <c r="D51" s="368">
        <v>0</v>
      </c>
      <c r="H51" s="368">
        <v>0</v>
      </c>
      <c r="L51" s="368">
        <v>0</v>
      </c>
      <c r="P51" s="368">
        <v>0</v>
      </c>
      <c r="W51" s="456">
        <f>'Cash Flow (1)'!O51</f>
        <v>0</v>
      </c>
    </row>
  </sheetData>
  <printOptions horizontalCentered="1"/>
  <pageMargins left="0.25" right="0.24" top="0.33" bottom="0.29" header="0.23" footer="0.19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workbookViewId="0" topLeftCell="A1">
      <selection activeCell="A1" sqref="A1"/>
    </sheetView>
  </sheetViews>
  <sheetFormatPr defaultColWidth="9.33203125" defaultRowHeight="12.75"/>
  <cols>
    <col min="1" max="1" width="2.33203125" style="3" customWidth="1"/>
    <col min="2" max="2" width="24.16015625" style="3" customWidth="1"/>
    <col min="3" max="3" width="0.1640625" style="3" hidden="1" customWidth="1"/>
    <col min="4" max="18" width="14" style="3" customWidth="1"/>
    <col min="19" max="24" width="11.66015625" style="3" customWidth="1"/>
    <col min="25" max="25" width="12.16015625" style="3" customWidth="1"/>
    <col min="26" max="26" width="9.16015625" style="3" customWidth="1"/>
    <col min="27" max="27" width="9" style="3" customWidth="1"/>
    <col min="28" max="28" width="0.82421875" style="3" customWidth="1"/>
    <col min="29" max="29" width="12.5" style="3" customWidth="1"/>
    <col min="30" max="30" width="8.83203125" style="3" customWidth="1"/>
    <col min="31" max="31" width="9" style="3" customWidth="1"/>
    <col min="32" max="32" width="1.0078125" style="3" customWidth="1"/>
    <col min="33" max="33" width="12.33203125" style="3" customWidth="1"/>
    <col min="34" max="34" width="9.5" style="3" customWidth="1"/>
    <col min="35" max="35" width="9.16015625" style="3" customWidth="1"/>
    <col min="36" max="36" width="5.66015625" style="3" customWidth="1"/>
    <col min="37" max="37" width="49.16015625" style="3" customWidth="1"/>
    <col min="38" max="16384" width="9.33203125" style="3" customWidth="1"/>
  </cols>
  <sheetData>
    <row r="1" spans="1:35" ht="18.75">
      <c r="A1" s="116"/>
      <c r="B1"/>
      <c r="C1"/>
      <c r="D1"/>
      <c r="R1" s="88" t="str">
        <f ca="1">CELL("filename")</f>
        <v>\\CLT-NETAPP02\B16771$\Bill\GSB @ LSU\CRE Case Study\Handout's\Rent Roll\[GSB Rent Roll Template.xls]RentRoll</v>
      </c>
      <c r="U1"/>
      <c r="V1"/>
      <c r="W1"/>
      <c r="Z1" s="26"/>
      <c r="AG1"/>
      <c r="AH1"/>
      <c r="AI1"/>
    </row>
    <row r="2" spans="1:35" ht="15.75">
      <c r="A2" s="1" t="s">
        <v>73</v>
      </c>
      <c r="B2"/>
      <c r="C2"/>
      <c r="D2"/>
      <c r="Q2" s="6" t="s">
        <v>2</v>
      </c>
      <c r="R2" s="5">
        <f ca="1">NOW()</f>
        <v>41043.64981782407</v>
      </c>
      <c r="U2"/>
      <c r="V2"/>
      <c r="W2"/>
      <c r="Z2" s="26"/>
      <c r="AG2"/>
      <c r="AH2"/>
      <c r="AI2"/>
    </row>
    <row r="3" spans="1:35" ht="12.75">
      <c r="A3" s="89" t="s">
        <v>378</v>
      </c>
      <c r="B3" s="89"/>
      <c r="C3" s="89"/>
      <c r="D3" s="419" t="str">
        <f>'Commercial Sizing'!C3</f>
        <v>Loan #</v>
      </c>
      <c r="N3" s="359"/>
      <c r="Q3" s="6" t="s">
        <v>74</v>
      </c>
      <c r="R3" s="5">
        <f>'Commercial Sizing'!L3</f>
        <v>36923</v>
      </c>
      <c r="U3"/>
      <c r="V3"/>
      <c r="W3"/>
      <c r="Z3" s="26"/>
      <c r="AG3"/>
      <c r="AH3"/>
      <c r="AI3"/>
    </row>
    <row r="4" spans="1:34" ht="12.75">
      <c r="A4" s="89" t="s">
        <v>11</v>
      </c>
      <c r="B4" s="89"/>
      <c r="C4" s="89"/>
      <c r="D4" s="420" t="str">
        <f>+Property</f>
        <v>Property Name</v>
      </c>
      <c r="F4" s="89" t="s">
        <v>135</v>
      </c>
      <c r="I4"/>
      <c r="J4" s="89" t="s">
        <v>136</v>
      </c>
      <c r="M4"/>
      <c r="N4" s="89" t="s">
        <v>137</v>
      </c>
      <c r="AH4" s="11"/>
    </row>
    <row r="5" spans="1:34" ht="12.75">
      <c r="A5" s="89" t="s">
        <v>15</v>
      </c>
      <c r="B5" s="89"/>
      <c r="C5" s="89"/>
      <c r="D5" s="419" t="str">
        <f>+'Commercial Sizing'!D7</f>
        <v>Property Type</v>
      </c>
      <c r="F5" s="286" t="s">
        <v>138</v>
      </c>
      <c r="G5" s="287"/>
      <c r="H5" s="384">
        <v>0.015</v>
      </c>
      <c r="I5"/>
      <c r="J5" s="286" t="s">
        <v>139</v>
      </c>
      <c r="K5" s="287"/>
      <c r="L5" s="387">
        <v>1.3</v>
      </c>
      <c r="M5"/>
      <c r="N5" s="286" t="str">
        <f>CONCATENATE("DCR at Year ",'Commercial Sizing'!$L$9)</f>
        <v>DCR at Year 10</v>
      </c>
      <c r="O5" s="287"/>
      <c r="P5" s="325" t="e">
        <f>HLOOKUP('Commercial Sizing'!$L$9,Projection,$C$53)</f>
        <v>#DIV/0!</v>
      </c>
      <c r="AH5" s="11"/>
    </row>
    <row r="6" spans="1:37" ht="12.75">
      <c r="A6" s="117" t="s">
        <v>77</v>
      </c>
      <c r="B6" s="89"/>
      <c r="C6" s="89"/>
      <c r="D6" s="421">
        <f>+NRSF</f>
        <v>0</v>
      </c>
      <c r="F6" s="291" t="s">
        <v>140</v>
      </c>
      <c r="G6" s="292"/>
      <c r="H6" s="385">
        <v>0.03</v>
      </c>
      <c r="I6"/>
      <c r="J6" s="288" t="s">
        <v>141</v>
      </c>
      <c r="K6" s="289"/>
      <c r="L6" s="388">
        <v>25</v>
      </c>
      <c r="M6"/>
      <c r="N6" s="288" t="s">
        <v>142</v>
      </c>
      <c r="O6" s="289"/>
      <c r="P6" s="326" t="e">
        <f>HLOOKUP('Commercial Sizing'!$L$9,Projection,$C$58)</f>
        <v>#DIV/0!</v>
      </c>
      <c r="AH6" s="11"/>
      <c r="AK6" s="7"/>
    </row>
    <row r="7" spans="1:37" ht="12.75">
      <c r="A7" s="117"/>
      <c r="B7" s="89"/>
      <c r="C7" s="89"/>
      <c r="D7" s="99"/>
      <c r="F7" s="288" t="s">
        <v>143</v>
      </c>
      <c r="G7" s="289"/>
      <c r="H7" s="386">
        <v>0.03</v>
      </c>
      <c r="I7"/>
      <c r="J7"/>
      <c r="K7"/>
      <c r="L7"/>
      <c r="AH7" s="11"/>
      <c r="AK7" s="7"/>
    </row>
    <row r="8" spans="1:37" ht="12.75">
      <c r="A8" s="117"/>
      <c r="B8" s="89"/>
      <c r="C8" s="89"/>
      <c r="D8"/>
      <c r="E8"/>
      <c r="I8"/>
      <c r="M8"/>
      <c r="N8"/>
      <c r="O8"/>
      <c r="P8"/>
      <c r="Q8"/>
      <c r="R8"/>
      <c r="S8"/>
      <c r="T8"/>
      <c r="U8"/>
      <c r="V8"/>
      <c r="W8"/>
      <c r="X8"/>
      <c r="AH8" s="11"/>
      <c r="AK8" s="7"/>
    </row>
    <row r="9" spans="4:24" ht="12.75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4:24" ht="12.75">
      <c r="D10" s="224" t="s">
        <v>144</v>
      </c>
      <c r="E10" s="225" t="s">
        <v>144</v>
      </c>
      <c r="F10" s="226" t="s">
        <v>144</v>
      </c>
      <c r="G10" s="225" t="s">
        <v>144</v>
      </c>
      <c r="H10" s="226" t="s">
        <v>144</v>
      </c>
      <c r="I10" s="225" t="s">
        <v>144</v>
      </c>
      <c r="J10" s="226" t="s">
        <v>144</v>
      </c>
      <c r="K10" s="225" t="s">
        <v>144</v>
      </c>
      <c r="L10" s="226" t="s">
        <v>144</v>
      </c>
      <c r="M10" s="225" t="s">
        <v>144</v>
      </c>
      <c r="N10" s="226" t="s">
        <v>144</v>
      </c>
      <c r="O10" s="225" t="s">
        <v>144</v>
      </c>
      <c r="P10" s="226" t="s">
        <v>144</v>
      </c>
      <c r="Q10" s="225" t="s">
        <v>144</v>
      </c>
      <c r="R10" s="227" t="s">
        <v>144</v>
      </c>
      <c r="S10"/>
      <c r="T10"/>
      <c r="U10"/>
      <c r="V10"/>
      <c r="W10"/>
      <c r="X10"/>
    </row>
    <row r="11" spans="3:25" ht="12.75">
      <c r="C11" s="3">
        <v>1</v>
      </c>
      <c r="D11" s="228">
        <v>1</v>
      </c>
      <c r="E11" s="229">
        <v>2</v>
      </c>
      <c r="F11" s="230">
        <v>3</v>
      </c>
      <c r="G11" s="229">
        <v>4</v>
      </c>
      <c r="H11" s="230">
        <v>5</v>
      </c>
      <c r="I11" s="229">
        <v>6</v>
      </c>
      <c r="J11" s="230">
        <v>7</v>
      </c>
      <c r="K11" s="229">
        <v>8</v>
      </c>
      <c r="L11" s="230">
        <v>9</v>
      </c>
      <c r="M11" s="229">
        <v>10</v>
      </c>
      <c r="N11" s="230">
        <v>11</v>
      </c>
      <c r="O11" s="229">
        <v>12</v>
      </c>
      <c r="P11" s="230">
        <v>13</v>
      </c>
      <c r="Q11" s="229">
        <v>14</v>
      </c>
      <c r="R11" s="231">
        <v>15</v>
      </c>
      <c r="S11" s="206"/>
      <c r="T11"/>
      <c r="U11"/>
      <c r="V11"/>
      <c r="W11"/>
      <c r="X11"/>
      <c r="Y11" s="9"/>
    </row>
    <row r="12" spans="1:24" ht="12.75">
      <c r="A12" s="12" t="s">
        <v>90</v>
      </c>
      <c r="B12"/>
      <c r="C12">
        <v>2</v>
      </c>
      <c r="D12" s="145"/>
      <c r="E12" s="232"/>
      <c r="F12" s="92"/>
      <c r="G12" s="232"/>
      <c r="H12" s="92"/>
      <c r="I12" s="232"/>
      <c r="J12" s="92"/>
      <c r="K12" s="232"/>
      <c r="L12" s="92"/>
      <c r="M12" s="232"/>
      <c r="N12" s="92"/>
      <c r="O12" s="232"/>
      <c r="P12" s="92"/>
      <c r="Q12" s="232"/>
      <c r="R12" s="233"/>
      <c r="S12"/>
      <c r="T12"/>
      <c r="U12"/>
      <c r="V12"/>
      <c r="W12"/>
      <c r="X12"/>
    </row>
    <row r="13" spans="2:24" ht="12.75">
      <c r="B13" s="11" t="str">
        <f>'Cash Flow (1)'!B13</f>
        <v>Base Rent</v>
      </c>
      <c r="C13" s="3">
        <v>3</v>
      </c>
      <c r="D13" s="210">
        <f>'Cash Flow (2)'!W13</f>
        <v>0</v>
      </c>
      <c r="E13" s="220">
        <f aca="true" t="shared" si="0" ref="E13:R20">D13*(1+$H$5)</f>
        <v>0</v>
      </c>
      <c r="F13" s="211">
        <f t="shared" si="0"/>
        <v>0</v>
      </c>
      <c r="G13" s="220">
        <f t="shared" si="0"/>
        <v>0</v>
      </c>
      <c r="H13" s="211">
        <f t="shared" si="0"/>
        <v>0</v>
      </c>
      <c r="I13" s="220">
        <f t="shared" si="0"/>
        <v>0</v>
      </c>
      <c r="J13" s="211">
        <f t="shared" si="0"/>
        <v>0</v>
      </c>
      <c r="K13" s="220">
        <f t="shared" si="0"/>
        <v>0</v>
      </c>
      <c r="L13" s="211">
        <f t="shared" si="0"/>
        <v>0</v>
      </c>
      <c r="M13" s="220">
        <f t="shared" si="0"/>
        <v>0</v>
      </c>
      <c r="N13" s="211">
        <f t="shared" si="0"/>
        <v>0</v>
      </c>
      <c r="O13" s="220">
        <f t="shared" si="0"/>
        <v>0</v>
      </c>
      <c r="P13" s="211">
        <f t="shared" si="0"/>
        <v>0</v>
      </c>
      <c r="Q13" s="220">
        <f t="shared" si="0"/>
        <v>0</v>
      </c>
      <c r="R13" s="212">
        <f t="shared" si="0"/>
        <v>0</v>
      </c>
      <c r="S13"/>
      <c r="T13"/>
      <c r="U13"/>
      <c r="V13"/>
      <c r="W13"/>
      <c r="X13"/>
    </row>
    <row r="14" spans="2:24" ht="12.75">
      <c r="B14" s="11" t="str">
        <f>'Cash Flow (1)'!B14</f>
        <v>Percentage Rent</v>
      </c>
      <c r="C14">
        <v>4</v>
      </c>
      <c r="D14" s="210">
        <f>'Cash Flow (2)'!W14</f>
        <v>0</v>
      </c>
      <c r="E14" s="220">
        <f t="shared" si="0"/>
        <v>0</v>
      </c>
      <c r="F14" s="211">
        <f t="shared" si="0"/>
        <v>0</v>
      </c>
      <c r="G14" s="220">
        <f t="shared" si="0"/>
        <v>0</v>
      </c>
      <c r="H14" s="211">
        <f t="shared" si="0"/>
        <v>0</v>
      </c>
      <c r="I14" s="220">
        <f t="shared" si="0"/>
        <v>0</v>
      </c>
      <c r="J14" s="211">
        <f t="shared" si="0"/>
        <v>0</v>
      </c>
      <c r="K14" s="220">
        <f t="shared" si="0"/>
        <v>0</v>
      </c>
      <c r="L14" s="211">
        <f t="shared" si="0"/>
        <v>0</v>
      </c>
      <c r="M14" s="220">
        <f t="shared" si="0"/>
        <v>0</v>
      </c>
      <c r="N14" s="211">
        <f t="shared" si="0"/>
        <v>0</v>
      </c>
      <c r="O14" s="220">
        <f t="shared" si="0"/>
        <v>0</v>
      </c>
      <c r="P14" s="211">
        <f t="shared" si="0"/>
        <v>0</v>
      </c>
      <c r="Q14" s="220">
        <f t="shared" si="0"/>
        <v>0</v>
      </c>
      <c r="R14" s="212">
        <f t="shared" si="0"/>
        <v>0</v>
      </c>
      <c r="S14"/>
      <c r="T14"/>
      <c r="U14"/>
      <c r="V14"/>
      <c r="W14"/>
      <c r="X14"/>
    </row>
    <row r="15" spans="2:24" ht="12.75">
      <c r="B15" s="11" t="str">
        <f>'Cash Flow (1)'!B15</f>
        <v>CAM &amp; Expense Reimb1</v>
      </c>
      <c r="C15" s="3">
        <v>5</v>
      </c>
      <c r="D15" s="210">
        <f>'Cash Flow (2)'!W15</f>
        <v>0</v>
      </c>
      <c r="E15" s="220">
        <f t="shared" si="0"/>
        <v>0</v>
      </c>
      <c r="F15" s="211">
        <f t="shared" si="0"/>
        <v>0</v>
      </c>
      <c r="G15" s="220">
        <f t="shared" si="0"/>
        <v>0</v>
      </c>
      <c r="H15" s="211">
        <f t="shared" si="0"/>
        <v>0</v>
      </c>
      <c r="I15" s="220">
        <f t="shared" si="0"/>
        <v>0</v>
      </c>
      <c r="J15" s="211">
        <f t="shared" si="0"/>
        <v>0</v>
      </c>
      <c r="K15" s="220">
        <f t="shared" si="0"/>
        <v>0</v>
      </c>
      <c r="L15" s="211">
        <f t="shared" si="0"/>
        <v>0</v>
      </c>
      <c r="M15" s="220">
        <f t="shared" si="0"/>
        <v>0</v>
      </c>
      <c r="N15" s="211">
        <f t="shared" si="0"/>
        <v>0</v>
      </c>
      <c r="O15" s="220">
        <f t="shared" si="0"/>
        <v>0</v>
      </c>
      <c r="P15" s="211">
        <f t="shared" si="0"/>
        <v>0</v>
      </c>
      <c r="Q15" s="220">
        <f t="shared" si="0"/>
        <v>0</v>
      </c>
      <c r="R15" s="212">
        <f t="shared" si="0"/>
        <v>0</v>
      </c>
      <c r="S15"/>
      <c r="T15"/>
      <c r="U15"/>
      <c r="V15"/>
      <c r="W15"/>
      <c r="X15"/>
    </row>
    <row r="16" spans="2:24" ht="12.75">
      <c r="B16" s="11" t="str">
        <f>'Cash Flow (1)'!B16</f>
        <v>CAM &amp; Expense Reimb2</v>
      </c>
      <c r="C16">
        <v>6</v>
      </c>
      <c r="D16" s="210">
        <f>'Cash Flow (2)'!W16</f>
        <v>0</v>
      </c>
      <c r="E16" s="220">
        <f t="shared" si="0"/>
        <v>0</v>
      </c>
      <c r="F16" s="211">
        <f t="shared" si="0"/>
        <v>0</v>
      </c>
      <c r="G16" s="220">
        <f t="shared" si="0"/>
        <v>0</v>
      </c>
      <c r="H16" s="211">
        <f t="shared" si="0"/>
        <v>0</v>
      </c>
      <c r="I16" s="220">
        <f t="shared" si="0"/>
        <v>0</v>
      </c>
      <c r="J16" s="211">
        <f t="shared" si="0"/>
        <v>0</v>
      </c>
      <c r="K16" s="220">
        <f t="shared" si="0"/>
        <v>0</v>
      </c>
      <c r="L16" s="211">
        <f t="shared" si="0"/>
        <v>0</v>
      </c>
      <c r="M16" s="220">
        <f t="shared" si="0"/>
        <v>0</v>
      </c>
      <c r="N16" s="211">
        <f t="shared" si="0"/>
        <v>0</v>
      </c>
      <c r="O16" s="220">
        <f t="shared" si="0"/>
        <v>0</v>
      </c>
      <c r="P16" s="211">
        <f t="shared" si="0"/>
        <v>0</v>
      </c>
      <c r="Q16" s="220">
        <f t="shared" si="0"/>
        <v>0</v>
      </c>
      <c r="R16" s="212">
        <f t="shared" si="0"/>
        <v>0</v>
      </c>
      <c r="S16"/>
      <c r="T16"/>
      <c r="U16"/>
      <c r="V16"/>
      <c r="W16"/>
      <c r="X16"/>
    </row>
    <row r="17" spans="2:24" ht="12.75">
      <c r="B17" s="11" t="str">
        <f>'Cash Flow (1)'!B17</f>
        <v>CAM &amp; Expense Reimb3</v>
      </c>
      <c r="C17" s="3">
        <v>7</v>
      </c>
      <c r="D17" s="210">
        <f>'Cash Flow (2)'!W17</f>
        <v>0</v>
      </c>
      <c r="E17" s="220">
        <f t="shared" si="0"/>
        <v>0</v>
      </c>
      <c r="F17" s="211">
        <f t="shared" si="0"/>
        <v>0</v>
      </c>
      <c r="G17" s="220">
        <f t="shared" si="0"/>
        <v>0</v>
      </c>
      <c r="H17" s="211">
        <f t="shared" si="0"/>
        <v>0</v>
      </c>
      <c r="I17" s="220">
        <f t="shared" si="0"/>
        <v>0</v>
      </c>
      <c r="J17" s="211">
        <f t="shared" si="0"/>
        <v>0</v>
      </c>
      <c r="K17" s="220">
        <f t="shared" si="0"/>
        <v>0</v>
      </c>
      <c r="L17" s="211">
        <f t="shared" si="0"/>
        <v>0</v>
      </c>
      <c r="M17" s="220">
        <f t="shared" si="0"/>
        <v>0</v>
      </c>
      <c r="N17" s="211">
        <f t="shared" si="0"/>
        <v>0</v>
      </c>
      <c r="O17" s="220">
        <f t="shared" si="0"/>
        <v>0</v>
      </c>
      <c r="P17" s="211">
        <f t="shared" si="0"/>
        <v>0</v>
      </c>
      <c r="Q17" s="220">
        <f t="shared" si="0"/>
        <v>0</v>
      </c>
      <c r="R17" s="212">
        <f t="shared" si="0"/>
        <v>0</v>
      </c>
      <c r="S17"/>
      <c r="T17"/>
      <c r="U17"/>
      <c r="V17"/>
      <c r="W17"/>
      <c r="X17"/>
    </row>
    <row r="18" spans="2:24" ht="12.75">
      <c r="B18" s="11" t="str">
        <f>'Cash Flow (1)'!B18</f>
        <v>Other Income1</v>
      </c>
      <c r="C18">
        <v>8</v>
      </c>
      <c r="D18" s="210">
        <f>'Cash Flow (2)'!W18</f>
        <v>0</v>
      </c>
      <c r="E18" s="220">
        <f t="shared" si="0"/>
        <v>0</v>
      </c>
      <c r="F18" s="211">
        <f t="shared" si="0"/>
        <v>0</v>
      </c>
      <c r="G18" s="220">
        <f t="shared" si="0"/>
        <v>0</v>
      </c>
      <c r="H18" s="211">
        <f t="shared" si="0"/>
        <v>0</v>
      </c>
      <c r="I18" s="220">
        <f t="shared" si="0"/>
        <v>0</v>
      </c>
      <c r="J18" s="211">
        <f t="shared" si="0"/>
        <v>0</v>
      </c>
      <c r="K18" s="220">
        <f t="shared" si="0"/>
        <v>0</v>
      </c>
      <c r="L18" s="211">
        <f t="shared" si="0"/>
        <v>0</v>
      </c>
      <c r="M18" s="220">
        <f t="shared" si="0"/>
        <v>0</v>
      </c>
      <c r="N18" s="211">
        <f t="shared" si="0"/>
        <v>0</v>
      </c>
      <c r="O18" s="220">
        <f t="shared" si="0"/>
        <v>0</v>
      </c>
      <c r="P18" s="211">
        <f t="shared" si="0"/>
        <v>0</v>
      </c>
      <c r="Q18" s="220">
        <f t="shared" si="0"/>
        <v>0</v>
      </c>
      <c r="R18" s="212">
        <f t="shared" si="0"/>
        <v>0</v>
      </c>
      <c r="S18"/>
      <c r="T18"/>
      <c r="U18"/>
      <c r="V18"/>
      <c r="W18"/>
      <c r="X18"/>
    </row>
    <row r="19" spans="2:24" ht="12.75">
      <c r="B19" s="11" t="str">
        <f>'Cash Flow (1)'!B19</f>
        <v>Other Income2</v>
      </c>
      <c r="C19" s="3">
        <v>9</v>
      </c>
      <c r="D19" s="210">
        <f>'Cash Flow (2)'!W19</f>
        <v>0</v>
      </c>
      <c r="E19" s="220">
        <f t="shared" si="0"/>
        <v>0</v>
      </c>
      <c r="F19" s="211">
        <f t="shared" si="0"/>
        <v>0</v>
      </c>
      <c r="G19" s="220">
        <f t="shared" si="0"/>
        <v>0</v>
      </c>
      <c r="H19" s="211">
        <f t="shared" si="0"/>
        <v>0</v>
      </c>
      <c r="I19" s="220">
        <f t="shared" si="0"/>
        <v>0</v>
      </c>
      <c r="J19" s="211">
        <f t="shared" si="0"/>
        <v>0</v>
      </c>
      <c r="K19" s="220">
        <f t="shared" si="0"/>
        <v>0</v>
      </c>
      <c r="L19" s="211">
        <f t="shared" si="0"/>
        <v>0</v>
      </c>
      <c r="M19" s="220">
        <f t="shared" si="0"/>
        <v>0</v>
      </c>
      <c r="N19" s="211">
        <f t="shared" si="0"/>
        <v>0</v>
      </c>
      <c r="O19" s="220">
        <f t="shared" si="0"/>
        <v>0</v>
      </c>
      <c r="P19" s="211">
        <f t="shared" si="0"/>
        <v>0</v>
      </c>
      <c r="Q19" s="220">
        <f t="shared" si="0"/>
        <v>0</v>
      </c>
      <c r="R19" s="212">
        <f t="shared" si="0"/>
        <v>0</v>
      </c>
      <c r="S19"/>
      <c r="T19"/>
      <c r="U19"/>
      <c r="V19"/>
      <c r="W19"/>
      <c r="X19"/>
    </row>
    <row r="20" spans="2:24" ht="12.75">
      <c r="B20" s="11" t="str">
        <f>'Cash Flow (1)'!B20</f>
        <v>Other Income3</v>
      </c>
      <c r="C20">
        <v>10</v>
      </c>
      <c r="D20" s="234">
        <f>'Cash Flow (2)'!W20</f>
        <v>0</v>
      </c>
      <c r="E20" s="235">
        <f t="shared" si="0"/>
        <v>0</v>
      </c>
      <c r="F20" s="236">
        <f t="shared" si="0"/>
        <v>0</v>
      </c>
      <c r="G20" s="235">
        <f t="shared" si="0"/>
        <v>0</v>
      </c>
      <c r="H20" s="236">
        <f t="shared" si="0"/>
        <v>0</v>
      </c>
      <c r="I20" s="235">
        <f t="shared" si="0"/>
        <v>0</v>
      </c>
      <c r="J20" s="236">
        <f t="shared" si="0"/>
        <v>0</v>
      </c>
      <c r="K20" s="235">
        <f t="shared" si="0"/>
        <v>0</v>
      </c>
      <c r="L20" s="236">
        <f t="shared" si="0"/>
        <v>0</v>
      </c>
      <c r="M20" s="235">
        <f t="shared" si="0"/>
        <v>0</v>
      </c>
      <c r="N20" s="236">
        <f t="shared" si="0"/>
        <v>0</v>
      </c>
      <c r="O20" s="235">
        <f t="shared" si="0"/>
        <v>0</v>
      </c>
      <c r="P20" s="236">
        <f t="shared" si="0"/>
        <v>0</v>
      </c>
      <c r="Q20" s="235">
        <f t="shared" si="0"/>
        <v>0</v>
      </c>
      <c r="R20" s="237">
        <f t="shared" si="0"/>
        <v>0</v>
      </c>
      <c r="S20"/>
      <c r="T20"/>
      <c r="U20"/>
      <c r="V20"/>
      <c r="W20"/>
      <c r="X20"/>
    </row>
    <row r="21" spans="1:24" ht="12.75">
      <c r="A21" s="12" t="s">
        <v>99</v>
      </c>
      <c r="B21"/>
      <c r="C21" s="3">
        <v>11</v>
      </c>
      <c r="D21" s="213">
        <f>SUM(D13:D20)</f>
        <v>0</v>
      </c>
      <c r="E21" s="221">
        <f>SUM(E13:E20)</f>
        <v>0</v>
      </c>
      <c r="F21" s="214">
        <f aca="true" t="shared" si="1" ref="F21:R21">SUM(F13:F20)</f>
        <v>0</v>
      </c>
      <c r="G21" s="221">
        <f t="shared" si="1"/>
        <v>0</v>
      </c>
      <c r="H21" s="214">
        <f t="shared" si="1"/>
        <v>0</v>
      </c>
      <c r="I21" s="221">
        <f t="shared" si="1"/>
        <v>0</v>
      </c>
      <c r="J21" s="214">
        <f t="shared" si="1"/>
        <v>0</v>
      </c>
      <c r="K21" s="221">
        <f t="shared" si="1"/>
        <v>0</v>
      </c>
      <c r="L21" s="214">
        <f t="shared" si="1"/>
        <v>0</v>
      </c>
      <c r="M21" s="221">
        <f t="shared" si="1"/>
        <v>0</v>
      </c>
      <c r="N21" s="214">
        <f t="shared" si="1"/>
        <v>0</v>
      </c>
      <c r="O21" s="221">
        <f t="shared" si="1"/>
        <v>0</v>
      </c>
      <c r="P21" s="214">
        <f t="shared" si="1"/>
        <v>0</v>
      </c>
      <c r="Q21" s="221">
        <f t="shared" si="1"/>
        <v>0</v>
      </c>
      <c r="R21" s="215">
        <f t="shared" si="1"/>
        <v>0</v>
      </c>
      <c r="S21"/>
      <c r="T21"/>
      <c r="U21"/>
      <c r="V21"/>
      <c r="W21"/>
      <c r="X21"/>
    </row>
    <row r="22" spans="2:24" ht="12.75">
      <c r="B22" s="11" t="str">
        <f>'Cash Flow (1)'!B22</f>
        <v>Vacancy/Collection Loss</v>
      </c>
      <c r="C22">
        <v>12</v>
      </c>
      <c r="D22" s="210">
        <f>'Cash Flow (2)'!W22</f>
        <v>0</v>
      </c>
      <c r="E22" s="220">
        <f>E21*'Cash Flow (1)'!$Q$5</f>
        <v>0</v>
      </c>
      <c r="F22" s="211">
        <f>F21*'Cash Flow (1)'!$Q$5</f>
        <v>0</v>
      </c>
      <c r="G22" s="220">
        <f>G21*'Cash Flow (1)'!$Q$5</f>
        <v>0</v>
      </c>
      <c r="H22" s="211">
        <f>H21*'Cash Flow (1)'!$Q$5</f>
        <v>0</v>
      </c>
      <c r="I22" s="220">
        <f>I21*'Cash Flow (1)'!$Q$5</f>
        <v>0</v>
      </c>
      <c r="J22" s="211">
        <f>J21*'Cash Flow (1)'!$Q$5</f>
        <v>0</v>
      </c>
      <c r="K22" s="220">
        <f>K21*'Cash Flow (1)'!$Q$5</f>
        <v>0</v>
      </c>
      <c r="L22" s="211">
        <f>L21*'Cash Flow (1)'!$Q$5</f>
        <v>0</v>
      </c>
      <c r="M22" s="220">
        <f>M21*'Cash Flow (1)'!$Q$5</f>
        <v>0</v>
      </c>
      <c r="N22" s="211">
        <f>N21*'Cash Flow (1)'!$Q$5</f>
        <v>0</v>
      </c>
      <c r="O22" s="220">
        <f>O21*'Cash Flow (1)'!$Q$5</f>
        <v>0</v>
      </c>
      <c r="P22" s="211">
        <f>P21*'Cash Flow (1)'!$Q$5</f>
        <v>0</v>
      </c>
      <c r="Q22" s="220">
        <f>Q21*'Cash Flow (1)'!$Q$5</f>
        <v>0</v>
      </c>
      <c r="R22" s="212">
        <f>R21*'Cash Flow (1)'!$Q$5</f>
        <v>0</v>
      </c>
      <c r="S22"/>
      <c r="T22"/>
      <c r="U22"/>
      <c r="V22"/>
      <c r="W22"/>
      <c r="X22"/>
    </row>
    <row r="23" spans="1:24" ht="12.75">
      <c r="A23" s="12" t="s">
        <v>101</v>
      </c>
      <c r="B23"/>
      <c r="C23" s="3">
        <v>13</v>
      </c>
      <c r="D23" s="238">
        <f>'Cash Flow (2)'!W23</f>
        <v>0</v>
      </c>
      <c r="E23" s="239">
        <f>E21-E22</f>
        <v>0</v>
      </c>
      <c r="F23" s="240">
        <f aca="true" t="shared" si="2" ref="F23:R23">F21-F22</f>
        <v>0</v>
      </c>
      <c r="G23" s="239">
        <f t="shared" si="2"/>
        <v>0</v>
      </c>
      <c r="H23" s="240">
        <f t="shared" si="2"/>
        <v>0</v>
      </c>
      <c r="I23" s="239">
        <f t="shared" si="2"/>
        <v>0</v>
      </c>
      <c r="J23" s="240">
        <f t="shared" si="2"/>
        <v>0</v>
      </c>
      <c r="K23" s="239">
        <f t="shared" si="2"/>
        <v>0</v>
      </c>
      <c r="L23" s="240">
        <f t="shared" si="2"/>
        <v>0</v>
      </c>
      <c r="M23" s="239">
        <f t="shared" si="2"/>
        <v>0</v>
      </c>
      <c r="N23" s="240">
        <f t="shared" si="2"/>
        <v>0</v>
      </c>
      <c r="O23" s="239">
        <f t="shared" si="2"/>
        <v>0</v>
      </c>
      <c r="P23" s="240">
        <f t="shared" si="2"/>
        <v>0</v>
      </c>
      <c r="Q23" s="239">
        <f t="shared" si="2"/>
        <v>0</v>
      </c>
      <c r="R23" s="241">
        <f t="shared" si="2"/>
        <v>0</v>
      </c>
      <c r="S23"/>
      <c r="T23"/>
      <c r="U23"/>
      <c r="V23"/>
      <c r="W23"/>
      <c r="X23"/>
    </row>
    <row r="24" spans="3:24" ht="12.75">
      <c r="C24">
        <v>14</v>
      </c>
      <c r="D24" s="145"/>
      <c r="E24" s="232"/>
      <c r="F24" s="92"/>
      <c r="G24" s="232"/>
      <c r="H24" s="92"/>
      <c r="I24" s="232"/>
      <c r="J24" s="92"/>
      <c r="K24" s="232"/>
      <c r="L24" s="92"/>
      <c r="M24" s="232"/>
      <c r="N24" s="92"/>
      <c r="O24" s="232"/>
      <c r="P24" s="92"/>
      <c r="Q24" s="232"/>
      <c r="R24" s="233"/>
      <c r="S24"/>
      <c r="T24"/>
      <c r="U24"/>
      <c r="V24"/>
      <c r="W24"/>
      <c r="X24"/>
    </row>
    <row r="25" spans="1:24" ht="12.75">
      <c r="A25" s="12" t="s">
        <v>102</v>
      </c>
      <c r="B25"/>
      <c r="C25" s="3">
        <v>15</v>
      </c>
      <c r="D25" s="146"/>
      <c r="E25" s="150"/>
      <c r="F25" s="147"/>
      <c r="G25" s="150"/>
      <c r="H25" s="147"/>
      <c r="I25" s="150"/>
      <c r="J25" s="147"/>
      <c r="K25" s="150"/>
      <c r="L25" s="147"/>
      <c r="M25" s="150"/>
      <c r="N25" s="147"/>
      <c r="O25" s="150"/>
      <c r="P25" s="147"/>
      <c r="Q25" s="150"/>
      <c r="R25" s="148"/>
      <c r="S25"/>
      <c r="T25"/>
      <c r="U25"/>
      <c r="V25"/>
      <c r="W25"/>
      <c r="X25"/>
    </row>
    <row r="26" spans="2:24" ht="12.75">
      <c r="B26" s="11" t="str">
        <f>'Cash Flow (1)'!B26</f>
        <v>Management Fee</v>
      </c>
      <c r="C26">
        <v>16</v>
      </c>
      <c r="D26" s="210">
        <f>'Cash Flow (2)'!W26</f>
        <v>0</v>
      </c>
      <c r="E26" s="220">
        <f>E23*'Cash Flow (1)'!$Q$6</f>
        <v>0</v>
      </c>
      <c r="F26" s="211">
        <f>F23*'Cash Flow (1)'!$Q$6</f>
        <v>0</v>
      </c>
      <c r="G26" s="220">
        <f>G23*'Cash Flow (1)'!$Q$6</f>
        <v>0</v>
      </c>
      <c r="H26" s="211">
        <f>H23*'Cash Flow (1)'!$Q$6</f>
        <v>0</v>
      </c>
      <c r="I26" s="220">
        <f>I23*'Cash Flow (1)'!$Q$6</f>
        <v>0</v>
      </c>
      <c r="J26" s="211">
        <f>J23*'Cash Flow (1)'!$Q$6</f>
        <v>0</v>
      </c>
      <c r="K26" s="220">
        <f>K23*'Cash Flow (1)'!$Q$6</f>
        <v>0</v>
      </c>
      <c r="L26" s="211">
        <f>L23*'Cash Flow (1)'!$Q$6</f>
        <v>0</v>
      </c>
      <c r="M26" s="220">
        <f>M23*'Cash Flow (1)'!$Q$6</f>
        <v>0</v>
      </c>
      <c r="N26" s="211">
        <f>N23*'Cash Flow (1)'!$Q$6</f>
        <v>0</v>
      </c>
      <c r="O26" s="220">
        <f>O23*'Cash Flow (1)'!$Q$6</f>
        <v>0</v>
      </c>
      <c r="P26" s="211">
        <f>P23*'Cash Flow (1)'!$Q$6</f>
        <v>0</v>
      </c>
      <c r="Q26" s="220">
        <f>Q23*'Cash Flow (1)'!$Q$6</f>
        <v>0</v>
      </c>
      <c r="R26" s="212">
        <f>R23*'Cash Flow (1)'!$Q$6</f>
        <v>0</v>
      </c>
      <c r="S26"/>
      <c r="T26"/>
      <c r="U26"/>
      <c r="V26"/>
      <c r="W26"/>
      <c r="X26"/>
    </row>
    <row r="27" spans="2:24" ht="12.75">
      <c r="B27" s="11" t="str">
        <f>'Cash Flow (1)'!B27</f>
        <v>General &amp; Administrative</v>
      </c>
      <c r="C27" s="3">
        <v>17</v>
      </c>
      <c r="D27" s="210">
        <f>'Cash Flow (2)'!W27</f>
        <v>0</v>
      </c>
      <c r="E27" s="220">
        <f>D27*(1+$H$6)</f>
        <v>0</v>
      </c>
      <c r="F27" s="220">
        <f aca="true" t="shared" si="3" ref="F27:R27">E27*(1+$H$6)</f>
        <v>0</v>
      </c>
      <c r="G27" s="220">
        <f t="shared" si="3"/>
        <v>0</v>
      </c>
      <c r="H27" s="220">
        <f t="shared" si="3"/>
        <v>0</v>
      </c>
      <c r="I27" s="220">
        <f t="shared" si="3"/>
        <v>0</v>
      </c>
      <c r="J27" s="220">
        <f t="shared" si="3"/>
        <v>0</v>
      </c>
      <c r="K27" s="220">
        <f t="shared" si="3"/>
        <v>0</v>
      </c>
      <c r="L27" s="220">
        <f t="shared" si="3"/>
        <v>0</v>
      </c>
      <c r="M27" s="220">
        <f t="shared" si="3"/>
        <v>0</v>
      </c>
      <c r="N27" s="220">
        <f t="shared" si="3"/>
        <v>0</v>
      </c>
      <c r="O27" s="220">
        <f t="shared" si="3"/>
        <v>0</v>
      </c>
      <c r="P27" s="220">
        <f t="shared" si="3"/>
        <v>0</v>
      </c>
      <c r="Q27" s="220">
        <f t="shared" si="3"/>
        <v>0</v>
      </c>
      <c r="R27" s="220">
        <f t="shared" si="3"/>
        <v>0</v>
      </c>
      <c r="S27"/>
      <c r="T27"/>
      <c r="U27"/>
      <c r="V27"/>
      <c r="W27"/>
      <c r="X27"/>
    </row>
    <row r="28" spans="2:24" ht="12.75">
      <c r="B28" s="11" t="str">
        <f>'Cash Flow (1)'!B28</f>
        <v>Common Area Maintenance </v>
      </c>
      <c r="C28">
        <v>18</v>
      </c>
      <c r="D28" s="210">
        <f>'Cash Flow (2)'!W28</f>
        <v>0</v>
      </c>
      <c r="E28" s="220">
        <f aca="true" t="shared" si="4" ref="E28:R35">D28*(1+$H$6)</f>
        <v>0</v>
      </c>
      <c r="F28" s="220">
        <f t="shared" si="4"/>
        <v>0</v>
      </c>
      <c r="G28" s="220">
        <f t="shared" si="4"/>
        <v>0</v>
      </c>
      <c r="H28" s="220">
        <f t="shared" si="4"/>
        <v>0</v>
      </c>
      <c r="I28" s="220">
        <f t="shared" si="4"/>
        <v>0</v>
      </c>
      <c r="J28" s="220">
        <f t="shared" si="4"/>
        <v>0</v>
      </c>
      <c r="K28" s="220">
        <f t="shared" si="4"/>
        <v>0</v>
      </c>
      <c r="L28" s="220">
        <f t="shared" si="4"/>
        <v>0</v>
      </c>
      <c r="M28" s="220">
        <f t="shared" si="4"/>
        <v>0</v>
      </c>
      <c r="N28" s="220">
        <f t="shared" si="4"/>
        <v>0</v>
      </c>
      <c r="O28" s="220">
        <f t="shared" si="4"/>
        <v>0</v>
      </c>
      <c r="P28" s="220">
        <f t="shared" si="4"/>
        <v>0</v>
      </c>
      <c r="Q28" s="220">
        <f t="shared" si="4"/>
        <v>0</v>
      </c>
      <c r="R28" s="220">
        <f t="shared" si="4"/>
        <v>0</v>
      </c>
      <c r="S28"/>
      <c r="T28"/>
      <c r="U28"/>
      <c r="V28"/>
      <c r="W28"/>
      <c r="X28"/>
    </row>
    <row r="29" spans="2:24" ht="12.75">
      <c r="B29" s="11" t="str">
        <f>'Cash Flow (1)'!B29</f>
        <v>Utilities</v>
      </c>
      <c r="C29" s="3">
        <v>19</v>
      </c>
      <c r="D29" s="210">
        <f>'Cash Flow (2)'!W29</f>
        <v>0</v>
      </c>
      <c r="E29" s="220">
        <f t="shared" si="4"/>
        <v>0</v>
      </c>
      <c r="F29" s="220">
        <f t="shared" si="4"/>
        <v>0</v>
      </c>
      <c r="G29" s="220">
        <f t="shared" si="4"/>
        <v>0</v>
      </c>
      <c r="H29" s="220">
        <f t="shared" si="4"/>
        <v>0</v>
      </c>
      <c r="I29" s="220">
        <f t="shared" si="4"/>
        <v>0</v>
      </c>
      <c r="J29" s="220">
        <f t="shared" si="4"/>
        <v>0</v>
      </c>
      <c r="K29" s="220">
        <f t="shared" si="4"/>
        <v>0</v>
      </c>
      <c r="L29" s="220">
        <f t="shared" si="4"/>
        <v>0</v>
      </c>
      <c r="M29" s="220">
        <f t="shared" si="4"/>
        <v>0</v>
      </c>
      <c r="N29" s="220">
        <f t="shared" si="4"/>
        <v>0</v>
      </c>
      <c r="O29" s="220">
        <f t="shared" si="4"/>
        <v>0</v>
      </c>
      <c r="P29" s="220">
        <f t="shared" si="4"/>
        <v>0</v>
      </c>
      <c r="Q29" s="220">
        <f t="shared" si="4"/>
        <v>0</v>
      </c>
      <c r="R29" s="220">
        <f t="shared" si="4"/>
        <v>0</v>
      </c>
      <c r="S29"/>
      <c r="T29"/>
      <c r="U29"/>
      <c r="V29"/>
      <c r="W29"/>
      <c r="X29"/>
    </row>
    <row r="30" spans="2:24" ht="12.75">
      <c r="B30" s="11" t="str">
        <f>'Cash Flow (1)'!B30</f>
        <v>Repairs &amp; Maintenance</v>
      </c>
      <c r="C30">
        <v>20</v>
      </c>
      <c r="D30" s="210">
        <f>'Cash Flow (2)'!W30</f>
        <v>0</v>
      </c>
      <c r="E30" s="220">
        <f t="shared" si="4"/>
        <v>0</v>
      </c>
      <c r="F30" s="220">
        <f t="shared" si="4"/>
        <v>0</v>
      </c>
      <c r="G30" s="220">
        <f t="shared" si="4"/>
        <v>0</v>
      </c>
      <c r="H30" s="220">
        <f t="shared" si="4"/>
        <v>0</v>
      </c>
      <c r="I30" s="220">
        <f t="shared" si="4"/>
        <v>0</v>
      </c>
      <c r="J30" s="220">
        <f t="shared" si="4"/>
        <v>0</v>
      </c>
      <c r="K30" s="220">
        <f t="shared" si="4"/>
        <v>0</v>
      </c>
      <c r="L30" s="220">
        <f t="shared" si="4"/>
        <v>0</v>
      </c>
      <c r="M30" s="220">
        <f t="shared" si="4"/>
        <v>0</v>
      </c>
      <c r="N30" s="220">
        <f t="shared" si="4"/>
        <v>0</v>
      </c>
      <c r="O30" s="220">
        <f t="shared" si="4"/>
        <v>0</v>
      </c>
      <c r="P30" s="220">
        <f t="shared" si="4"/>
        <v>0</v>
      </c>
      <c r="Q30" s="220">
        <f t="shared" si="4"/>
        <v>0</v>
      </c>
      <c r="R30" s="220">
        <f t="shared" si="4"/>
        <v>0</v>
      </c>
      <c r="S30"/>
      <c r="T30"/>
      <c r="U30"/>
      <c r="V30"/>
      <c r="W30"/>
      <c r="X30"/>
    </row>
    <row r="31" spans="2:24" ht="12.75">
      <c r="B31" s="11" t="str">
        <f>'Cash Flow (1)'!B31</f>
        <v>Miscellaneous1</v>
      </c>
      <c r="C31" s="3">
        <v>21</v>
      </c>
      <c r="D31" s="210">
        <f>'Cash Flow (2)'!W31</f>
        <v>0</v>
      </c>
      <c r="E31" s="220">
        <f t="shared" si="4"/>
        <v>0</v>
      </c>
      <c r="F31" s="220">
        <f t="shared" si="4"/>
        <v>0</v>
      </c>
      <c r="G31" s="220">
        <f t="shared" si="4"/>
        <v>0</v>
      </c>
      <c r="H31" s="220">
        <f t="shared" si="4"/>
        <v>0</v>
      </c>
      <c r="I31" s="220">
        <f t="shared" si="4"/>
        <v>0</v>
      </c>
      <c r="J31" s="220">
        <f t="shared" si="4"/>
        <v>0</v>
      </c>
      <c r="K31" s="220">
        <f t="shared" si="4"/>
        <v>0</v>
      </c>
      <c r="L31" s="220">
        <f t="shared" si="4"/>
        <v>0</v>
      </c>
      <c r="M31" s="220">
        <f t="shared" si="4"/>
        <v>0</v>
      </c>
      <c r="N31" s="220">
        <f t="shared" si="4"/>
        <v>0</v>
      </c>
      <c r="O31" s="220">
        <f t="shared" si="4"/>
        <v>0</v>
      </c>
      <c r="P31" s="220">
        <f t="shared" si="4"/>
        <v>0</v>
      </c>
      <c r="Q31" s="220">
        <f t="shared" si="4"/>
        <v>0</v>
      </c>
      <c r="R31" s="220">
        <f t="shared" si="4"/>
        <v>0</v>
      </c>
      <c r="S31"/>
      <c r="T31"/>
      <c r="U31"/>
      <c r="V31"/>
      <c r="W31"/>
      <c r="X31"/>
    </row>
    <row r="32" spans="2:24" ht="12.75">
      <c r="B32" s="11" t="str">
        <f>'Cash Flow (1)'!B32</f>
        <v>Miscellaneous2</v>
      </c>
      <c r="C32">
        <v>22</v>
      </c>
      <c r="D32" s="210">
        <f>'Cash Flow (2)'!W32</f>
        <v>0</v>
      </c>
      <c r="E32" s="220">
        <f t="shared" si="4"/>
        <v>0</v>
      </c>
      <c r="F32" s="220">
        <f t="shared" si="4"/>
        <v>0</v>
      </c>
      <c r="G32" s="220">
        <f t="shared" si="4"/>
        <v>0</v>
      </c>
      <c r="H32" s="220">
        <f t="shared" si="4"/>
        <v>0</v>
      </c>
      <c r="I32" s="220">
        <f t="shared" si="4"/>
        <v>0</v>
      </c>
      <c r="J32" s="220">
        <f t="shared" si="4"/>
        <v>0</v>
      </c>
      <c r="K32" s="220">
        <f t="shared" si="4"/>
        <v>0</v>
      </c>
      <c r="L32" s="220">
        <f t="shared" si="4"/>
        <v>0</v>
      </c>
      <c r="M32" s="220">
        <f t="shared" si="4"/>
        <v>0</v>
      </c>
      <c r="N32" s="220">
        <f t="shared" si="4"/>
        <v>0</v>
      </c>
      <c r="O32" s="220">
        <f t="shared" si="4"/>
        <v>0</v>
      </c>
      <c r="P32" s="220">
        <f t="shared" si="4"/>
        <v>0</v>
      </c>
      <c r="Q32" s="220">
        <f t="shared" si="4"/>
        <v>0</v>
      </c>
      <c r="R32" s="220">
        <f t="shared" si="4"/>
        <v>0</v>
      </c>
      <c r="S32"/>
      <c r="T32"/>
      <c r="U32"/>
      <c r="V32"/>
      <c r="W32"/>
      <c r="X32"/>
    </row>
    <row r="33" spans="2:24" ht="12.75">
      <c r="B33" s="11" t="str">
        <f>'Cash Flow (1)'!B33</f>
        <v>Miscellaneous3</v>
      </c>
      <c r="C33" s="3">
        <v>23</v>
      </c>
      <c r="D33" s="210">
        <f>'Cash Flow (2)'!W33</f>
        <v>0</v>
      </c>
      <c r="E33" s="220">
        <f t="shared" si="4"/>
        <v>0</v>
      </c>
      <c r="F33" s="220">
        <f t="shared" si="4"/>
        <v>0</v>
      </c>
      <c r="G33" s="220">
        <f t="shared" si="4"/>
        <v>0</v>
      </c>
      <c r="H33" s="220">
        <f t="shared" si="4"/>
        <v>0</v>
      </c>
      <c r="I33" s="220">
        <f t="shared" si="4"/>
        <v>0</v>
      </c>
      <c r="J33" s="220">
        <f t="shared" si="4"/>
        <v>0</v>
      </c>
      <c r="K33" s="220">
        <f t="shared" si="4"/>
        <v>0</v>
      </c>
      <c r="L33" s="220">
        <f t="shared" si="4"/>
        <v>0</v>
      </c>
      <c r="M33" s="220">
        <f t="shared" si="4"/>
        <v>0</v>
      </c>
      <c r="N33" s="220">
        <f t="shared" si="4"/>
        <v>0</v>
      </c>
      <c r="O33" s="220">
        <f t="shared" si="4"/>
        <v>0</v>
      </c>
      <c r="P33" s="220">
        <f t="shared" si="4"/>
        <v>0</v>
      </c>
      <c r="Q33" s="220">
        <f t="shared" si="4"/>
        <v>0</v>
      </c>
      <c r="R33" s="220">
        <f t="shared" si="4"/>
        <v>0</v>
      </c>
      <c r="S33"/>
      <c r="T33"/>
      <c r="U33"/>
      <c r="V33"/>
      <c r="W33"/>
      <c r="X33"/>
    </row>
    <row r="34" spans="2:24" ht="12.75">
      <c r="B34" s="11" t="str">
        <f>'Cash Flow (1)'!B34</f>
        <v>Miscellaneous4</v>
      </c>
      <c r="C34">
        <v>24</v>
      </c>
      <c r="D34" s="210">
        <f>'Cash Flow (2)'!W34</f>
        <v>0</v>
      </c>
      <c r="E34" s="220">
        <f t="shared" si="4"/>
        <v>0</v>
      </c>
      <c r="F34" s="220">
        <f t="shared" si="4"/>
        <v>0</v>
      </c>
      <c r="G34" s="220">
        <f t="shared" si="4"/>
        <v>0</v>
      </c>
      <c r="H34" s="220">
        <f t="shared" si="4"/>
        <v>0</v>
      </c>
      <c r="I34" s="220">
        <f t="shared" si="4"/>
        <v>0</v>
      </c>
      <c r="J34" s="220">
        <f t="shared" si="4"/>
        <v>0</v>
      </c>
      <c r="K34" s="220">
        <f t="shared" si="4"/>
        <v>0</v>
      </c>
      <c r="L34" s="220">
        <f t="shared" si="4"/>
        <v>0</v>
      </c>
      <c r="M34" s="220">
        <f t="shared" si="4"/>
        <v>0</v>
      </c>
      <c r="N34" s="220">
        <f t="shared" si="4"/>
        <v>0</v>
      </c>
      <c r="O34" s="220">
        <f t="shared" si="4"/>
        <v>0</v>
      </c>
      <c r="P34" s="220">
        <f t="shared" si="4"/>
        <v>0</v>
      </c>
      <c r="Q34" s="220">
        <f t="shared" si="4"/>
        <v>0</v>
      </c>
      <c r="R34" s="220">
        <f t="shared" si="4"/>
        <v>0</v>
      </c>
      <c r="S34"/>
      <c r="T34"/>
      <c r="U34"/>
      <c r="V34"/>
      <c r="W34"/>
      <c r="X34"/>
    </row>
    <row r="35" spans="2:24" ht="12.75">
      <c r="B35" s="11" t="str">
        <f>'Cash Flow (1)'!B35</f>
        <v>Miscellaneous5</v>
      </c>
      <c r="C35" s="3">
        <v>25</v>
      </c>
      <c r="D35" s="234">
        <f>'Cash Flow (2)'!W35</f>
        <v>0</v>
      </c>
      <c r="E35" s="220">
        <f t="shared" si="4"/>
        <v>0</v>
      </c>
      <c r="F35" s="220">
        <f t="shared" si="4"/>
        <v>0</v>
      </c>
      <c r="G35" s="220">
        <f t="shared" si="4"/>
        <v>0</v>
      </c>
      <c r="H35" s="220">
        <f t="shared" si="4"/>
        <v>0</v>
      </c>
      <c r="I35" s="220">
        <f t="shared" si="4"/>
        <v>0</v>
      </c>
      <c r="J35" s="220">
        <f t="shared" si="4"/>
        <v>0</v>
      </c>
      <c r="K35" s="220">
        <f t="shared" si="4"/>
        <v>0</v>
      </c>
      <c r="L35" s="220">
        <f t="shared" si="4"/>
        <v>0</v>
      </c>
      <c r="M35" s="220">
        <f t="shared" si="4"/>
        <v>0</v>
      </c>
      <c r="N35" s="220">
        <f t="shared" si="4"/>
        <v>0</v>
      </c>
      <c r="O35" s="220">
        <f t="shared" si="4"/>
        <v>0</v>
      </c>
      <c r="P35" s="220">
        <f t="shared" si="4"/>
        <v>0</v>
      </c>
      <c r="Q35" s="220">
        <f t="shared" si="4"/>
        <v>0</v>
      </c>
      <c r="R35" s="220">
        <f t="shared" si="4"/>
        <v>0</v>
      </c>
      <c r="S35"/>
      <c r="T35"/>
      <c r="U35"/>
      <c r="V35"/>
      <c r="W35"/>
      <c r="X35"/>
    </row>
    <row r="36" spans="1:24" ht="12.75">
      <c r="A36" s="12" t="s">
        <v>112</v>
      </c>
      <c r="B36"/>
      <c r="C36">
        <v>26</v>
      </c>
      <c r="D36" s="242">
        <f>'Cash Flow (2)'!W36</f>
        <v>0</v>
      </c>
      <c r="E36" s="243">
        <f>SUM(E26:E35)</f>
        <v>0</v>
      </c>
      <c r="F36" s="244">
        <f aca="true" t="shared" si="5" ref="F36:R36">SUM(F26:F35)</f>
        <v>0</v>
      </c>
      <c r="G36" s="243">
        <f t="shared" si="5"/>
        <v>0</v>
      </c>
      <c r="H36" s="244">
        <f t="shared" si="5"/>
        <v>0</v>
      </c>
      <c r="I36" s="243">
        <f t="shared" si="5"/>
        <v>0</v>
      </c>
      <c r="J36" s="244">
        <f t="shared" si="5"/>
        <v>0</v>
      </c>
      <c r="K36" s="243">
        <f t="shared" si="5"/>
        <v>0</v>
      </c>
      <c r="L36" s="244">
        <f t="shared" si="5"/>
        <v>0</v>
      </c>
      <c r="M36" s="243">
        <f t="shared" si="5"/>
        <v>0</v>
      </c>
      <c r="N36" s="244">
        <f t="shared" si="5"/>
        <v>0</v>
      </c>
      <c r="O36" s="243">
        <f t="shared" si="5"/>
        <v>0</v>
      </c>
      <c r="P36" s="244">
        <f t="shared" si="5"/>
        <v>0</v>
      </c>
      <c r="Q36" s="243">
        <f t="shared" si="5"/>
        <v>0</v>
      </c>
      <c r="R36" s="245">
        <f t="shared" si="5"/>
        <v>0</v>
      </c>
      <c r="S36"/>
      <c r="T36"/>
      <c r="U36"/>
      <c r="V36"/>
      <c r="W36"/>
      <c r="X36"/>
    </row>
    <row r="37" spans="3:24" ht="12.75">
      <c r="C37" s="3">
        <v>27</v>
      </c>
      <c r="D37" s="146"/>
      <c r="E37" s="150"/>
      <c r="F37" s="147"/>
      <c r="G37" s="150"/>
      <c r="H37" s="147"/>
      <c r="I37" s="150"/>
      <c r="J37" s="147"/>
      <c r="K37" s="150"/>
      <c r="L37" s="147"/>
      <c r="M37" s="150"/>
      <c r="N37" s="147"/>
      <c r="O37" s="150"/>
      <c r="P37" s="147"/>
      <c r="Q37" s="150"/>
      <c r="R37" s="148"/>
      <c r="S37"/>
      <c r="T37"/>
      <c r="U37"/>
      <c r="V37"/>
      <c r="W37"/>
      <c r="X37"/>
    </row>
    <row r="38" spans="2:24" ht="12.75">
      <c r="B38" s="11" t="str">
        <f>'Cash Flow (1)'!B38</f>
        <v>Insurance</v>
      </c>
      <c r="C38">
        <v>28</v>
      </c>
      <c r="D38" s="210">
        <f>'Cash Flow (2)'!W38</f>
        <v>0</v>
      </c>
      <c r="E38" s="220">
        <f>D38*(1+$H$6)</f>
        <v>0</v>
      </c>
      <c r="F38" s="220">
        <f aca="true" t="shared" si="6" ref="F38:R38">E38*(1+$H$6)</f>
        <v>0</v>
      </c>
      <c r="G38" s="220">
        <f t="shared" si="6"/>
        <v>0</v>
      </c>
      <c r="H38" s="220">
        <f t="shared" si="6"/>
        <v>0</v>
      </c>
      <c r="I38" s="220">
        <f t="shared" si="6"/>
        <v>0</v>
      </c>
      <c r="J38" s="220">
        <f t="shared" si="6"/>
        <v>0</v>
      </c>
      <c r="K38" s="220">
        <f t="shared" si="6"/>
        <v>0</v>
      </c>
      <c r="L38" s="220">
        <f t="shared" si="6"/>
        <v>0</v>
      </c>
      <c r="M38" s="220">
        <f t="shared" si="6"/>
        <v>0</v>
      </c>
      <c r="N38" s="220">
        <f t="shared" si="6"/>
        <v>0</v>
      </c>
      <c r="O38" s="220">
        <f t="shared" si="6"/>
        <v>0</v>
      </c>
      <c r="P38" s="220">
        <f t="shared" si="6"/>
        <v>0</v>
      </c>
      <c r="Q38" s="220">
        <f t="shared" si="6"/>
        <v>0</v>
      </c>
      <c r="R38" s="220">
        <f t="shared" si="6"/>
        <v>0</v>
      </c>
      <c r="S38"/>
      <c r="T38"/>
      <c r="U38"/>
      <c r="V38"/>
      <c r="W38"/>
      <c r="X38"/>
    </row>
    <row r="39" spans="2:24" ht="12.75">
      <c r="B39" s="11" t="str">
        <f>'Cash Flow (1)'!B39</f>
        <v>Real Estate Taxes</v>
      </c>
      <c r="C39" s="3">
        <v>29</v>
      </c>
      <c r="D39" s="234">
        <f>'Cash Flow (2)'!W39</f>
        <v>0</v>
      </c>
      <c r="E39" s="235">
        <f aca="true" t="shared" si="7" ref="E39:R39">D39*(1+$H$7)</f>
        <v>0</v>
      </c>
      <c r="F39" s="236">
        <f t="shared" si="7"/>
        <v>0</v>
      </c>
      <c r="G39" s="235">
        <f t="shared" si="7"/>
        <v>0</v>
      </c>
      <c r="H39" s="236">
        <f t="shared" si="7"/>
        <v>0</v>
      </c>
      <c r="I39" s="235">
        <f t="shared" si="7"/>
        <v>0</v>
      </c>
      <c r="J39" s="236">
        <f t="shared" si="7"/>
        <v>0</v>
      </c>
      <c r="K39" s="235">
        <f t="shared" si="7"/>
        <v>0</v>
      </c>
      <c r="L39" s="236">
        <f t="shared" si="7"/>
        <v>0</v>
      </c>
      <c r="M39" s="235">
        <f t="shared" si="7"/>
        <v>0</v>
      </c>
      <c r="N39" s="236">
        <f t="shared" si="7"/>
        <v>0</v>
      </c>
      <c r="O39" s="235">
        <f t="shared" si="7"/>
        <v>0</v>
      </c>
      <c r="P39" s="236">
        <f t="shared" si="7"/>
        <v>0</v>
      </c>
      <c r="Q39" s="235">
        <f t="shared" si="7"/>
        <v>0</v>
      </c>
      <c r="R39" s="237">
        <f t="shared" si="7"/>
        <v>0</v>
      </c>
      <c r="S39"/>
      <c r="T39"/>
      <c r="U39"/>
      <c r="V39"/>
      <c r="W39"/>
      <c r="X39"/>
    </row>
    <row r="40" spans="1:24" ht="12.75">
      <c r="A40" s="12" t="s">
        <v>115</v>
      </c>
      <c r="B40"/>
      <c r="C40">
        <v>30</v>
      </c>
      <c r="D40" s="242">
        <f>'Cash Flow (2)'!W40</f>
        <v>0</v>
      </c>
      <c r="E40" s="243">
        <f>SUM(E38:E39)</f>
        <v>0</v>
      </c>
      <c r="F40" s="244">
        <f aca="true" t="shared" si="8" ref="F40:R40">SUM(F38:F39)</f>
        <v>0</v>
      </c>
      <c r="G40" s="243">
        <f t="shared" si="8"/>
        <v>0</v>
      </c>
      <c r="H40" s="244">
        <f t="shared" si="8"/>
        <v>0</v>
      </c>
      <c r="I40" s="243">
        <f t="shared" si="8"/>
        <v>0</v>
      </c>
      <c r="J40" s="244">
        <f t="shared" si="8"/>
        <v>0</v>
      </c>
      <c r="K40" s="243">
        <f t="shared" si="8"/>
        <v>0</v>
      </c>
      <c r="L40" s="244">
        <f t="shared" si="8"/>
        <v>0</v>
      </c>
      <c r="M40" s="243">
        <f t="shared" si="8"/>
        <v>0</v>
      </c>
      <c r="N40" s="244">
        <f t="shared" si="8"/>
        <v>0</v>
      </c>
      <c r="O40" s="243">
        <f t="shared" si="8"/>
        <v>0</v>
      </c>
      <c r="P40" s="244">
        <f t="shared" si="8"/>
        <v>0</v>
      </c>
      <c r="Q40" s="243">
        <f t="shared" si="8"/>
        <v>0</v>
      </c>
      <c r="R40" s="245">
        <f t="shared" si="8"/>
        <v>0</v>
      </c>
      <c r="S40"/>
      <c r="T40"/>
      <c r="U40"/>
      <c r="V40"/>
      <c r="W40"/>
      <c r="X40"/>
    </row>
    <row r="41" spans="2:24" ht="12.75">
      <c r="B41"/>
      <c r="C41" s="3">
        <v>31</v>
      </c>
      <c r="D41" s="146"/>
      <c r="E41" s="150"/>
      <c r="F41" s="147"/>
      <c r="G41" s="150"/>
      <c r="H41" s="147"/>
      <c r="I41" s="150"/>
      <c r="J41" s="147"/>
      <c r="K41" s="150"/>
      <c r="L41" s="147"/>
      <c r="M41" s="150"/>
      <c r="N41" s="147"/>
      <c r="O41" s="150"/>
      <c r="P41" s="147"/>
      <c r="Q41" s="150"/>
      <c r="R41" s="148"/>
      <c r="S41"/>
      <c r="T41"/>
      <c r="U41"/>
      <c r="V41"/>
      <c r="W41"/>
      <c r="X41"/>
    </row>
    <row r="42" spans="1:24" ht="12.75">
      <c r="A42" s="12" t="s">
        <v>116</v>
      </c>
      <c r="B42"/>
      <c r="C42">
        <v>32</v>
      </c>
      <c r="D42" s="238">
        <f>'Cash Flow (2)'!W42</f>
        <v>0</v>
      </c>
      <c r="E42" s="239">
        <f>E36+E40</f>
        <v>0</v>
      </c>
      <c r="F42" s="240">
        <f aca="true" t="shared" si="9" ref="F42:R42">F36+F40</f>
        <v>0</v>
      </c>
      <c r="G42" s="239">
        <f t="shared" si="9"/>
        <v>0</v>
      </c>
      <c r="H42" s="240">
        <f t="shared" si="9"/>
        <v>0</v>
      </c>
      <c r="I42" s="239">
        <f t="shared" si="9"/>
        <v>0</v>
      </c>
      <c r="J42" s="240">
        <f t="shared" si="9"/>
        <v>0</v>
      </c>
      <c r="K42" s="239">
        <f t="shared" si="9"/>
        <v>0</v>
      </c>
      <c r="L42" s="240">
        <f t="shared" si="9"/>
        <v>0</v>
      </c>
      <c r="M42" s="239">
        <f t="shared" si="9"/>
        <v>0</v>
      </c>
      <c r="N42" s="240">
        <f t="shared" si="9"/>
        <v>0</v>
      </c>
      <c r="O42" s="239">
        <f t="shared" si="9"/>
        <v>0</v>
      </c>
      <c r="P42" s="240">
        <f t="shared" si="9"/>
        <v>0</v>
      </c>
      <c r="Q42" s="239">
        <f t="shared" si="9"/>
        <v>0</v>
      </c>
      <c r="R42" s="241">
        <f t="shared" si="9"/>
        <v>0</v>
      </c>
      <c r="S42"/>
      <c r="T42"/>
      <c r="U42"/>
      <c r="V42"/>
      <c r="W42"/>
      <c r="X42"/>
    </row>
    <row r="43" spans="2:24" ht="12.75">
      <c r="B43"/>
      <c r="C43" s="3">
        <v>33</v>
      </c>
      <c r="D43" s="146"/>
      <c r="E43" s="150"/>
      <c r="F43" s="147"/>
      <c r="G43" s="150"/>
      <c r="H43" s="147"/>
      <c r="I43" s="150"/>
      <c r="J43" s="147"/>
      <c r="K43" s="150"/>
      <c r="L43" s="147"/>
      <c r="M43" s="150"/>
      <c r="N43" s="147"/>
      <c r="O43" s="150"/>
      <c r="P43" s="147"/>
      <c r="Q43" s="150"/>
      <c r="R43" s="148"/>
      <c r="S43"/>
      <c r="T43"/>
      <c r="U43"/>
      <c r="V43"/>
      <c r="W43"/>
      <c r="X43"/>
    </row>
    <row r="44" spans="1:24" ht="12.75">
      <c r="A44" s="12" t="s">
        <v>117</v>
      </c>
      <c r="B44"/>
      <c r="C44">
        <v>34</v>
      </c>
      <c r="D44" s="238">
        <f>'Cash Flow (2)'!W44</f>
        <v>0</v>
      </c>
      <c r="E44" s="239">
        <f>E23-E42</f>
        <v>0</v>
      </c>
      <c r="F44" s="240">
        <f aca="true" t="shared" si="10" ref="F44:R44">F23-F42</f>
        <v>0</v>
      </c>
      <c r="G44" s="239">
        <f t="shared" si="10"/>
        <v>0</v>
      </c>
      <c r="H44" s="240">
        <f t="shared" si="10"/>
        <v>0</v>
      </c>
      <c r="I44" s="239">
        <f t="shared" si="10"/>
        <v>0</v>
      </c>
      <c r="J44" s="240">
        <f t="shared" si="10"/>
        <v>0</v>
      </c>
      <c r="K44" s="239">
        <f t="shared" si="10"/>
        <v>0</v>
      </c>
      <c r="L44" s="240">
        <f t="shared" si="10"/>
        <v>0</v>
      </c>
      <c r="M44" s="239">
        <f t="shared" si="10"/>
        <v>0</v>
      </c>
      <c r="N44" s="240">
        <f t="shared" si="10"/>
        <v>0</v>
      </c>
      <c r="O44" s="239">
        <f t="shared" si="10"/>
        <v>0</v>
      </c>
      <c r="P44" s="240">
        <f t="shared" si="10"/>
        <v>0</v>
      </c>
      <c r="Q44" s="239">
        <f t="shared" si="10"/>
        <v>0</v>
      </c>
      <c r="R44" s="241">
        <f t="shared" si="10"/>
        <v>0</v>
      </c>
      <c r="S44"/>
      <c r="T44"/>
      <c r="U44"/>
      <c r="V44"/>
      <c r="W44"/>
      <c r="X44"/>
    </row>
    <row r="45" spans="3:24" ht="12.75">
      <c r="C45" s="3">
        <v>35</v>
      </c>
      <c r="D45" s="146"/>
      <c r="E45" s="150"/>
      <c r="F45" s="147"/>
      <c r="G45" s="150"/>
      <c r="H45" s="147"/>
      <c r="I45" s="150"/>
      <c r="J45" s="147"/>
      <c r="K45" s="150"/>
      <c r="L45" s="147"/>
      <c r="M45" s="150"/>
      <c r="N45" s="147"/>
      <c r="O45" s="150"/>
      <c r="P45" s="147"/>
      <c r="Q45" s="150"/>
      <c r="R45" s="148"/>
      <c r="S45"/>
      <c r="T45"/>
      <c r="U45"/>
      <c r="V45"/>
      <c r="W45"/>
      <c r="X45"/>
    </row>
    <row r="46" spans="2:24" ht="12.75">
      <c r="B46" s="11" t="str">
        <f>'Cash Flow (1)'!B46</f>
        <v>Replacement Reserve</v>
      </c>
      <c r="C46">
        <v>36</v>
      </c>
      <c r="D46" s="216">
        <f>'Cash Flow (2)'!W46</f>
        <v>0</v>
      </c>
      <c r="E46" s="222">
        <f aca="true" t="shared" si="11" ref="E46:R48">D46*(1+$H$6)</f>
        <v>0</v>
      </c>
      <c r="F46" s="217">
        <f t="shared" si="11"/>
        <v>0</v>
      </c>
      <c r="G46" s="222">
        <f t="shared" si="11"/>
        <v>0</v>
      </c>
      <c r="H46" s="217">
        <f t="shared" si="11"/>
        <v>0</v>
      </c>
      <c r="I46" s="222">
        <f t="shared" si="11"/>
        <v>0</v>
      </c>
      <c r="J46" s="217">
        <f t="shared" si="11"/>
        <v>0</v>
      </c>
      <c r="K46" s="222">
        <f t="shared" si="11"/>
        <v>0</v>
      </c>
      <c r="L46" s="217">
        <f t="shared" si="11"/>
        <v>0</v>
      </c>
      <c r="M46" s="222">
        <f t="shared" si="11"/>
        <v>0</v>
      </c>
      <c r="N46" s="217">
        <f t="shared" si="11"/>
        <v>0</v>
      </c>
      <c r="O46" s="222">
        <f t="shared" si="11"/>
        <v>0</v>
      </c>
      <c r="P46" s="217">
        <f t="shared" si="11"/>
        <v>0</v>
      </c>
      <c r="Q46" s="222">
        <f t="shared" si="11"/>
        <v>0</v>
      </c>
      <c r="R46" s="218">
        <f t="shared" si="11"/>
        <v>0</v>
      </c>
      <c r="S46"/>
      <c r="T46"/>
      <c r="U46"/>
      <c r="V46"/>
      <c r="W46"/>
      <c r="X46"/>
    </row>
    <row r="47" spans="2:24" ht="12.75">
      <c r="B47" s="11" t="str">
        <f>'Cash Flow (1)'!B47</f>
        <v>Tenant Improvements</v>
      </c>
      <c r="C47" s="3">
        <v>37</v>
      </c>
      <c r="D47" s="216" t="e">
        <f>'Cash Flow (2)'!W47</f>
        <v>#DIV/0!</v>
      </c>
      <c r="E47" s="222" t="e">
        <f t="shared" si="11"/>
        <v>#DIV/0!</v>
      </c>
      <c r="F47" s="217" t="e">
        <f t="shared" si="11"/>
        <v>#DIV/0!</v>
      </c>
      <c r="G47" s="222" t="e">
        <f t="shared" si="11"/>
        <v>#DIV/0!</v>
      </c>
      <c r="H47" s="217" t="e">
        <f t="shared" si="11"/>
        <v>#DIV/0!</v>
      </c>
      <c r="I47" s="222" t="e">
        <f t="shared" si="11"/>
        <v>#DIV/0!</v>
      </c>
      <c r="J47" s="217" t="e">
        <f t="shared" si="11"/>
        <v>#DIV/0!</v>
      </c>
      <c r="K47" s="222" t="e">
        <f t="shared" si="11"/>
        <v>#DIV/0!</v>
      </c>
      <c r="L47" s="217" t="e">
        <f t="shared" si="11"/>
        <v>#DIV/0!</v>
      </c>
      <c r="M47" s="222" t="e">
        <f t="shared" si="11"/>
        <v>#DIV/0!</v>
      </c>
      <c r="N47" s="217" t="e">
        <f t="shared" si="11"/>
        <v>#DIV/0!</v>
      </c>
      <c r="O47" s="222" t="e">
        <f t="shared" si="11"/>
        <v>#DIV/0!</v>
      </c>
      <c r="P47" s="217" t="e">
        <f t="shared" si="11"/>
        <v>#DIV/0!</v>
      </c>
      <c r="Q47" s="222" t="e">
        <f t="shared" si="11"/>
        <v>#DIV/0!</v>
      </c>
      <c r="R47" s="218" t="e">
        <f t="shared" si="11"/>
        <v>#DIV/0!</v>
      </c>
      <c r="S47"/>
      <c r="T47"/>
      <c r="U47"/>
      <c r="V47"/>
      <c r="W47"/>
      <c r="X47"/>
    </row>
    <row r="48" spans="2:24" ht="12.75">
      <c r="B48" s="11" t="str">
        <f>'Cash Flow (1)'!B48</f>
        <v>Leasing Commissions</v>
      </c>
      <c r="C48">
        <v>38</v>
      </c>
      <c r="D48" s="246" t="e">
        <f>'Cash Flow (2)'!W48</f>
        <v>#DIV/0!</v>
      </c>
      <c r="E48" s="247" t="e">
        <f t="shared" si="11"/>
        <v>#DIV/0!</v>
      </c>
      <c r="F48" s="248" t="e">
        <f t="shared" si="11"/>
        <v>#DIV/0!</v>
      </c>
      <c r="G48" s="247" t="e">
        <f t="shared" si="11"/>
        <v>#DIV/0!</v>
      </c>
      <c r="H48" s="248" t="e">
        <f t="shared" si="11"/>
        <v>#DIV/0!</v>
      </c>
      <c r="I48" s="247" t="e">
        <f t="shared" si="11"/>
        <v>#DIV/0!</v>
      </c>
      <c r="J48" s="248" t="e">
        <f t="shared" si="11"/>
        <v>#DIV/0!</v>
      </c>
      <c r="K48" s="247" t="e">
        <f t="shared" si="11"/>
        <v>#DIV/0!</v>
      </c>
      <c r="L48" s="248" t="e">
        <f t="shared" si="11"/>
        <v>#DIV/0!</v>
      </c>
      <c r="M48" s="247" t="e">
        <f t="shared" si="11"/>
        <v>#DIV/0!</v>
      </c>
      <c r="N48" s="248" t="e">
        <f t="shared" si="11"/>
        <v>#DIV/0!</v>
      </c>
      <c r="O48" s="247" t="e">
        <f t="shared" si="11"/>
        <v>#DIV/0!</v>
      </c>
      <c r="P48" s="248" t="e">
        <f t="shared" si="11"/>
        <v>#DIV/0!</v>
      </c>
      <c r="Q48" s="247" t="e">
        <f t="shared" si="11"/>
        <v>#DIV/0!</v>
      </c>
      <c r="R48" s="249" t="e">
        <f t="shared" si="11"/>
        <v>#DIV/0!</v>
      </c>
      <c r="S48"/>
      <c r="T48"/>
      <c r="U48"/>
      <c r="V48"/>
      <c r="W48"/>
      <c r="X48"/>
    </row>
    <row r="49" spans="1:24" ht="12.75">
      <c r="A49" s="12" t="s">
        <v>120</v>
      </c>
      <c r="B49"/>
      <c r="C49" s="3">
        <v>39</v>
      </c>
      <c r="D49" s="219" t="e">
        <f>'Cash Flow (2)'!W49</f>
        <v>#DIV/0!</v>
      </c>
      <c r="E49" s="223" t="e">
        <f>E44-SUM(E46:E48)</f>
        <v>#DIV/0!</v>
      </c>
      <c r="F49" s="223" t="e">
        <f aca="true" t="shared" si="12" ref="F49:R49">F44-SUM(F46:F48)</f>
        <v>#DIV/0!</v>
      </c>
      <c r="G49" s="223" t="e">
        <f t="shared" si="12"/>
        <v>#DIV/0!</v>
      </c>
      <c r="H49" s="223" t="e">
        <f t="shared" si="12"/>
        <v>#DIV/0!</v>
      </c>
      <c r="I49" s="223" t="e">
        <f t="shared" si="12"/>
        <v>#DIV/0!</v>
      </c>
      <c r="J49" s="223" t="e">
        <f t="shared" si="12"/>
        <v>#DIV/0!</v>
      </c>
      <c r="K49" s="223" t="e">
        <f t="shared" si="12"/>
        <v>#DIV/0!</v>
      </c>
      <c r="L49" s="223" t="e">
        <f t="shared" si="12"/>
        <v>#DIV/0!</v>
      </c>
      <c r="M49" s="223" t="e">
        <f t="shared" si="12"/>
        <v>#DIV/0!</v>
      </c>
      <c r="N49" s="223" t="e">
        <f t="shared" si="12"/>
        <v>#DIV/0!</v>
      </c>
      <c r="O49" s="223" t="e">
        <f t="shared" si="12"/>
        <v>#DIV/0!</v>
      </c>
      <c r="P49" s="223" t="e">
        <f t="shared" si="12"/>
        <v>#DIV/0!</v>
      </c>
      <c r="Q49" s="223" t="e">
        <f t="shared" si="12"/>
        <v>#DIV/0!</v>
      </c>
      <c r="R49" s="223" t="e">
        <f t="shared" si="12"/>
        <v>#DIV/0!</v>
      </c>
      <c r="S49"/>
      <c r="T49"/>
      <c r="U49"/>
      <c r="V49"/>
      <c r="W49"/>
      <c r="X49"/>
    </row>
    <row r="50" spans="3:24" ht="12.75">
      <c r="C50">
        <v>40</v>
      </c>
      <c r="D50" s="146"/>
      <c r="E50" s="150"/>
      <c r="F50" s="147"/>
      <c r="G50" s="150"/>
      <c r="H50" s="147"/>
      <c r="I50" s="150"/>
      <c r="J50" s="147"/>
      <c r="K50" s="150"/>
      <c r="L50" s="147"/>
      <c r="M50" s="150"/>
      <c r="N50" s="147"/>
      <c r="O50" s="150"/>
      <c r="P50" s="147"/>
      <c r="Q50" s="150"/>
      <c r="R50" s="148"/>
      <c r="S50"/>
      <c r="T50"/>
      <c r="U50"/>
      <c r="V50"/>
      <c r="W50"/>
      <c r="X50"/>
    </row>
    <row r="51" spans="1:24" ht="12.75">
      <c r="A51" s="89" t="s">
        <v>145</v>
      </c>
      <c r="B51" s="11"/>
      <c r="C51" s="3">
        <v>41</v>
      </c>
      <c r="D51" s="238" t="e">
        <f>'Commercial Sizing'!J12</f>
        <v>#DIV/0!</v>
      </c>
      <c r="E51" s="239" t="e">
        <f aca="true" t="shared" si="13" ref="E51:R51">D51</f>
        <v>#DIV/0!</v>
      </c>
      <c r="F51" s="240" t="e">
        <f t="shared" si="13"/>
        <v>#DIV/0!</v>
      </c>
      <c r="G51" s="239" t="e">
        <f t="shared" si="13"/>
        <v>#DIV/0!</v>
      </c>
      <c r="H51" s="240" t="e">
        <f t="shared" si="13"/>
        <v>#DIV/0!</v>
      </c>
      <c r="I51" s="239" t="e">
        <f t="shared" si="13"/>
        <v>#DIV/0!</v>
      </c>
      <c r="J51" s="240" t="e">
        <f t="shared" si="13"/>
        <v>#DIV/0!</v>
      </c>
      <c r="K51" s="239" t="e">
        <f t="shared" si="13"/>
        <v>#DIV/0!</v>
      </c>
      <c r="L51" s="240" t="e">
        <f t="shared" si="13"/>
        <v>#DIV/0!</v>
      </c>
      <c r="M51" s="239" t="e">
        <f t="shared" si="13"/>
        <v>#DIV/0!</v>
      </c>
      <c r="N51" s="240" t="e">
        <f t="shared" si="13"/>
        <v>#DIV/0!</v>
      </c>
      <c r="O51" s="239" t="e">
        <f t="shared" si="13"/>
        <v>#DIV/0!</v>
      </c>
      <c r="P51" s="240" t="e">
        <f t="shared" si="13"/>
        <v>#DIV/0!</v>
      </c>
      <c r="Q51" s="239" t="e">
        <f t="shared" si="13"/>
        <v>#DIV/0!</v>
      </c>
      <c r="R51" s="241" t="e">
        <f t="shared" si="13"/>
        <v>#DIV/0!</v>
      </c>
      <c r="S51"/>
      <c r="T51"/>
      <c r="U51"/>
      <c r="V51"/>
      <c r="W51"/>
      <c r="X51"/>
    </row>
    <row r="52" spans="3:24" ht="12.75">
      <c r="C52">
        <v>42</v>
      </c>
      <c r="D52" s="254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233"/>
      <c r="S52"/>
      <c r="T52"/>
      <c r="U52"/>
      <c r="V52"/>
      <c r="W52"/>
      <c r="X52"/>
    </row>
    <row r="53" spans="1:24" ht="12.75">
      <c r="A53" s="89" t="s">
        <v>146</v>
      </c>
      <c r="C53" s="3">
        <v>43</v>
      </c>
      <c r="D53" s="250" t="e">
        <f>D49/D51</f>
        <v>#DIV/0!</v>
      </c>
      <c r="E53" s="251" t="e">
        <f>E49/E51</f>
        <v>#DIV/0!</v>
      </c>
      <c r="F53" s="251" t="e">
        <f>F49/F51</f>
        <v>#DIV/0!</v>
      </c>
      <c r="G53" s="251" t="e">
        <f>G49/G51</f>
        <v>#DIV/0!</v>
      </c>
      <c r="H53" s="251" t="e">
        <f>H49/H51</f>
        <v>#DIV/0!</v>
      </c>
      <c r="I53" s="251" t="e">
        <f aca="true" t="shared" si="14" ref="I53:R53">I49/I51</f>
        <v>#DIV/0!</v>
      </c>
      <c r="J53" s="251" t="e">
        <f t="shared" si="14"/>
        <v>#DIV/0!</v>
      </c>
      <c r="K53" s="251" t="e">
        <f t="shared" si="14"/>
        <v>#DIV/0!</v>
      </c>
      <c r="L53" s="251" t="e">
        <f t="shared" si="14"/>
        <v>#DIV/0!</v>
      </c>
      <c r="M53" s="251" t="e">
        <f t="shared" si="14"/>
        <v>#DIV/0!</v>
      </c>
      <c r="N53" s="251" t="e">
        <f t="shared" si="14"/>
        <v>#DIV/0!</v>
      </c>
      <c r="O53" s="251" t="e">
        <f t="shared" si="14"/>
        <v>#DIV/0!</v>
      </c>
      <c r="P53" s="251" t="e">
        <f t="shared" si="14"/>
        <v>#DIV/0!</v>
      </c>
      <c r="Q53" s="251" t="e">
        <f t="shared" si="14"/>
        <v>#DIV/0!</v>
      </c>
      <c r="R53" s="252" t="e">
        <f t="shared" si="14"/>
        <v>#DIV/0!</v>
      </c>
      <c r="S53"/>
      <c r="T53"/>
      <c r="U53"/>
      <c r="V53"/>
      <c r="W53"/>
      <c r="X53"/>
    </row>
    <row r="54" spans="3:24" ht="12.75">
      <c r="C54">
        <v>44</v>
      </c>
      <c r="D54" s="255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256"/>
      <c r="S54"/>
      <c r="T54"/>
      <c r="U54"/>
      <c r="V54"/>
      <c r="W54"/>
      <c r="X54"/>
    </row>
    <row r="55" spans="1:24" ht="12.75">
      <c r="A55" s="89" t="s">
        <v>147</v>
      </c>
      <c r="B55"/>
      <c r="C55" s="3">
        <v>45</v>
      </c>
      <c r="D55" s="238"/>
      <c r="E55" s="240"/>
      <c r="F55" s="240"/>
      <c r="G55" s="240"/>
      <c r="H55" s="240"/>
      <c r="I55" s="240"/>
      <c r="J55" s="240" t="e">
        <f>IF(Calculations!$J$21=1,'Amortization Schedule'!M4,-PV('Commercial Sizing'!$J$11/12,('Commercial Sizing'!$L$10-'Refinance Test'!J11)*12,'Commercial Sizing'!$J$12/12))</f>
        <v>#DIV/0!</v>
      </c>
      <c r="K55" s="240" t="e">
        <f>IF(Calculations!$J$21=1,'Amortization Schedule'!M5,-PV('Commercial Sizing'!$J$11/12,('Commercial Sizing'!$L$10-'Refinance Test'!K11)*12,'Commercial Sizing'!$J$12/12))</f>
        <v>#DIV/0!</v>
      </c>
      <c r="L55" s="240" t="e">
        <f>IF(Calculations!$J$21=1,'Amortization Schedule'!M6,-PV('Commercial Sizing'!$J$11/12,('Commercial Sizing'!$L$10-'Refinance Test'!L11)*12,'Commercial Sizing'!$J$12/12))</f>
        <v>#DIV/0!</v>
      </c>
      <c r="M55" s="240" t="e">
        <f>IF(Calculations!$J$21=1,'Amortization Schedule'!M7,-PV('Commercial Sizing'!$J$11/12,('Commercial Sizing'!$L$10-'Refinance Test'!M11)*12,'Commercial Sizing'!$J$12/12))</f>
        <v>#DIV/0!</v>
      </c>
      <c r="N55" s="240" t="e">
        <f>IF(Calculations!$J$21=1,'Amortization Schedule'!M8,-PV('Commercial Sizing'!$J$11/12,('Commercial Sizing'!$L$10-'Refinance Test'!N11)*12,'Commercial Sizing'!$J$12/12))</f>
        <v>#DIV/0!</v>
      </c>
      <c r="O55" s="240" t="e">
        <f>IF(Calculations!$J$21=1,'Amortization Schedule'!M9,-PV('Commercial Sizing'!$J$11/12,('Commercial Sizing'!$L$10-'Refinance Test'!O11)*12,'Commercial Sizing'!$J$12/12))</f>
        <v>#DIV/0!</v>
      </c>
      <c r="P55" s="240" t="e">
        <f>IF(Calculations!$J$21=1,'Amortization Schedule'!M10,-PV('Commercial Sizing'!$J$11/12,('Commercial Sizing'!$L$10-'Refinance Test'!P11)*12,'Commercial Sizing'!$J$12/12))</f>
        <v>#DIV/0!</v>
      </c>
      <c r="Q55" s="240" t="e">
        <f>IF(Calculations!$J$21=1,'Amortization Schedule'!M11,-PV('Commercial Sizing'!$J$11/12,('Commercial Sizing'!$L$10-'Refinance Test'!Q11)*12,'Commercial Sizing'!$J$12/12))</f>
        <v>#DIV/0!</v>
      </c>
      <c r="R55" s="240" t="e">
        <f>IF(Calculations!$J$21=1,'Amortization Schedule'!M12,-PV('Commercial Sizing'!$J$11/12,('Commercial Sizing'!$L$10-'Refinance Test'!R11)*12,'Commercial Sizing'!$J$12/12))</f>
        <v>#DIV/0!</v>
      </c>
      <c r="S55"/>
      <c r="T55"/>
      <c r="U55"/>
      <c r="V55"/>
      <c r="W55"/>
      <c r="X55"/>
    </row>
    <row r="56" spans="3:24" ht="12.75">
      <c r="C56">
        <v>46</v>
      </c>
      <c r="D56" s="146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8"/>
      <c r="S56"/>
      <c r="T56"/>
      <c r="U56"/>
      <c r="V56"/>
      <c r="W56"/>
      <c r="X56"/>
    </row>
    <row r="57" spans="1:18" ht="12.75">
      <c r="A57" s="89" t="s">
        <v>148</v>
      </c>
      <c r="B57" s="89"/>
      <c r="C57" s="3">
        <v>47</v>
      </c>
      <c r="D57" s="242" t="e">
        <f aca="true" t="shared" si="15" ref="D57:I57">D49/$L$5</f>
        <v>#DIV/0!</v>
      </c>
      <c r="E57" s="244" t="e">
        <f t="shared" si="15"/>
        <v>#DIV/0!</v>
      </c>
      <c r="F57" s="244" t="e">
        <f t="shared" si="15"/>
        <v>#DIV/0!</v>
      </c>
      <c r="G57" s="244" t="e">
        <f t="shared" si="15"/>
        <v>#DIV/0!</v>
      </c>
      <c r="H57" s="244" t="e">
        <f t="shared" si="15"/>
        <v>#DIV/0!</v>
      </c>
      <c r="I57" s="244" t="e">
        <f t="shared" si="15"/>
        <v>#DIV/0!</v>
      </c>
      <c r="J57" s="244" t="e">
        <f aca="true" t="shared" si="16" ref="J57:R57">J49/$L$5</f>
        <v>#DIV/0!</v>
      </c>
      <c r="K57" s="244" t="e">
        <f t="shared" si="16"/>
        <v>#DIV/0!</v>
      </c>
      <c r="L57" s="244" t="e">
        <f t="shared" si="16"/>
        <v>#DIV/0!</v>
      </c>
      <c r="M57" s="244" t="e">
        <f t="shared" si="16"/>
        <v>#DIV/0!</v>
      </c>
      <c r="N57" s="244" t="e">
        <f t="shared" si="16"/>
        <v>#DIV/0!</v>
      </c>
      <c r="O57" s="244" t="e">
        <f t="shared" si="16"/>
        <v>#DIV/0!</v>
      </c>
      <c r="P57" s="244" t="e">
        <f t="shared" si="16"/>
        <v>#DIV/0!</v>
      </c>
      <c r="Q57" s="244" t="e">
        <f t="shared" si="16"/>
        <v>#DIV/0!</v>
      </c>
      <c r="R57" s="245" t="e">
        <f t="shared" si="16"/>
        <v>#DIV/0!</v>
      </c>
    </row>
    <row r="58" spans="1:18" ht="12.75">
      <c r="A58" s="89" t="s">
        <v>142</v>
      </c>
      <c r="C58">
        <v>48</v>
      </c>
      <c r="D58" s="253" t="e">
        <f aca="true" t="shared" si="17" ref="D58:I58">RATE($L$6*12,D57/12,-D55)*12</f>
        <v>#DIV/0!</v>
      </c>
      <c r="E58" s="138" t="e">
        <f t="shared" si="17"/>
        <v>#DIV/0!</v>
      </c>
      <c r="F58" s="138" t="e">
        <f t="shared" si="17"/>
        <v>#DIV/0!</v>
      </c>
      <c r="G58" s="138" t="e">
        <f t="shared" si="17"/>
        <v>#DIV/0!</v>
      </c>
      <c r="H58" s="138" t="e">
        <f t="shared" si="17"/>
        <v>#DIV/0!</v>
      </c>
      <c r="I58" s="138" t="e">
        <f t="shared" si="17"/>
        <v>#DIV/0!</v>
      </c>
      <c r="J58" s="138" t="e">
        <f aca="true" t="shared" si="18" ref="J58:R58">RATE($L$6*12,J57/12,-J55)*12</f>
        <v>#DIV/0!</v>
      </c>
      <c r="K58" s="138" t="e">
        <f t="shared" si="18"/>
        <v>#DIV/0!</v>
      </c>
      <c r="L58" s="138" t="e">
        <f t="shared" si="18"/>
        <v>#DIV/0!</v>
      </c>
      <c r="M58" s="138" t="e">
        <f t="shared" si="18"/>
        <v>#DIV/0!</v>
      </c>
      <c r="N58" s="138" t="e">
        <f t="shared" si="18"/>
        <v>#DIV/0!</v>
      </c>
      <c r="O58" s="138" t="e">
        <f t="shared" si="18"/>
        <v>#DIV/0!</v>
      </c>
      <c r="P58" s="138" t="e">
        <f t="shared" si="18"/>
        <v>#DIV/0!</v>
      </c>
      <c r="Q58" s="138" t="e">
        <f t="shared" si="18"/>
        <v>#DIV/0!</v>
      </c>
      <c r="R58" s="207" t="e">
        <f t="shared" si="18"/>
        <v>#DIV/0!</v>
      </c>
    </row>
    <row r="60" ht="12.75">
      <c r="R60" s="208"/>
    </row>
  </sheetData>
  <printOptions horizontalCentered="1"/>
  <pageMargins left="0.23" right="0.25" top="0.39" bottom="0.36" header="0.25" footer="0.23"/>
  <pageSetup fitToHeight="1" fitToWidth="1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workbookViewId="0" topLeftCell="A1">
      <selection activeCell="E43" sqref="E43"/>
    </sheetView>
  </sheetViews>
  <sheetFormatPr defaultColWidth="19.16015625" defaultRowHeight="12.75"/>
  <cols>
    <col min="1" max="1" width="28.5" style="3" customWidth="1"/>
    <col min="2" max="2" width="10.66015625" style="3" customWidth="1"/>
    <col min="3" max="3" width="13.5" style="3" customWidth="1"/>
    <col min="4" max="4" width="11.33203125" style="3" customWidth="1"/>
    <col min="5" max="5" width="11.66015625" style="3" customWidth="1"/>
    <col min="6" max="6" width="11.16015625" style="3" customWidth="1"/>
    <col min="7" max="7" width="10.83203125" style="3" customWidth="1"/>
    <col min="8" max="8" width="14" style="3" customWidth="1"/>
    <col min="9" max="9" width="16.5" style="3" customWidth="1"/>
    <col min="10" max="10" width="12.66015625" style="3" customWidth="1"/>
    <col min="11" max="11" width="11.83203125" style="3" customWidth="1"/>
    <col min="12" max="12" width="12" style="3" customWidth="1"/>
    <col min="13" max="13" width="8.66015625" style="3" hidden="1" customWidth="1"/>
    <col min="14" max="14" width="9.83203125" style="3" hidden="1" customWidth="1"/>
    <col min="15" max="15" width="6.16015625" style="3" hidden="1" customWidth="1"/>
    <col min="16" max="16" width="33.33203125" style="3" customWidth="1"/>
    <col min="17" max="17" width="14.5" style="3" hidden="1" customWidth="1"/>
    <col min="18" max="18" width="14.33203125" style="3" hidden="1" customWidth="1"/>
    <col min="19" max="19" width="15.33203125" style="158" hidden="1" customWidth="1"/>
    <col min="20" max="22" width="16.66015625" style="3" customWidth="1"/>
    <col min="23" max="16384" width="19.16015625" style="3" customWidth="1"/>
  </cols>
  <sheetData>
    <row r="1" spans="1:16" ht="18.75">
      <c r="A1" s="116"/>
      <c r="B1" s="4"/>
      <c r="P1" s="88" t="str">
        <f ca="1">CELL("filename")</f>
        <v>\\CLT-NETAPP02\B16771$\Bill\GSB @ LSU\CRE Case Study\Handout's\Rent Roll\[GSB Rent Roll Template.xls]RentRoll</v>
      </c>
    </row>
    <row r="2" spans="1:16" ht="15.75">
      <c r="A2" s="2" t="s">
        <v>149</v>
      </c>
      <c r="B2" s="4"/>
      <c r="L2" s="6" t="s">
        <v>2</v>
      </c>
      <c r="M2" s="6"/>
      <c r="N2" s="6"/>
      <c r="O2" s="6"/>
      <c r="P2" s="5">
        <f ca="1">NOW()</f>
        <v>41043.64981782407</v>
      </c>
    </row>
    <row r="3" spans="1:16" ht="12.75">
      <c r="A3" s="89" t="s">
        <v>378</v>
      </c>
      <c r="B3" s="98" t="str">
        <f>'Commercial Sizing'!C3</f>
        <v>Loan #</v>
      </c>
      <c r="C3"/>
      <c r="L3" s="6" t="s">
        <v>74</v>
      </c>
      <c r="M3" s="6"/>
      <c r="N3" s="6"/>
      <c r="O3" s="6"/>
      <c r="P3" s="5">
        <f>'Commercial Sizing'!L3</f>
        <v>36923</v>
      </c>
    </row>
    <row r="4" spans="1:16" ht="12.75">
      <c r="A4" s="89"/>
      <c r="B4"/>
      <c r="P4"/>
    </row>
    <row r="5" spans="1:15" ht="12.75">
      <c r="A5" s="89" t="s">
        <v>150</v>
      </c>
      <c r="B5" s="107" t="str">
        <f>+Property</f>
        <v>Property Name</v>
      </c>
      <c r="E5" s="510"/>
      <c r="I5"/>
      <c r="J5"/>
      <c r="K5"/>
      <c r="L5"/>
      <c r="M5"/>
      <c r="N5"/>
      <c r="O5"/>
    </row>
    <row r="6" spans="1:15" ht="12.75">
      <c r="A6" s="117" t="s">
        <v>151</v>
      </c>
      <c r="B6" s="171" t="e">
        <f>1-$C$27</f>
        <v>#DIV/0!</v>
      </c>
      <c r="D6" s="117" t="s">
        <v>152</v>
      </c>
      <c r="E6"/>
      <c r="F6" s="173" t="e">
        <f>$K$26/$B$26</f>
        <v>#DIV/0!</v>
      </c>
      <c r="G6"/>
      <c r="I6" s="117" t="s">
        <v>153</v>
      </c>
      <c r="L6" s="390">
        <v>0</v>
      </c>
      <c r="M6"/>
      <c r="N6"/>
      <c r="O6"/>
    </row>
    <row r="7" spans="1:15" ht="12.75">
      <c r="A7" s="117" t="s">
        <v>154</v>
      </c>
      <c r="B7" s="171">
        <f>'Cash Flow (1)'!K51</f>
        <v>0</v>
      </c>
      <c r="D7" s="117" t="s">
        <v>155</v>
      </c>
      <c r="E7"/>
      <c r="F7" s="205" t="e">
        <f>S25</f>
        <v>#NAME?</v>
      </c>
      <c r="G7"/>
      <c r="I7" s="117" t="s">
        <v>156</v>
      </c>
      <c r="L7" s="390">
        <v>0</v>
      </c>
      <c r="M7" s="137"/>
      <c r="N7" s="137"/>
      <c r="O7" s="137"/>
    </row>
    <row r="8" spans="1:15" ht="12.75">
      <c r="A8" s="117" t="s">
        <v>157</v>
      </c>
      <c r="B8" s="172">
        <f>COUNT(B16:B18,B23:B24)</f>
        <v>0</v>
      </c>
      <c r="I8" s="117" t="s">
        <v>158</v>
      </c>
      <c r="L8" s="390">
        <v>0</v>
      </c>
      <c r="M8" s="137"/>
      <c r="N8" s="137"/>
      <c r="O8" s="137"/>
    </row>
    <row r="9" spans="1:15" ht="12.75">
      <c r="A9" s="117" t="s">
        <v>77</v>
      </c>
      <c r="B9" s="118">
        <f>+NRSF</f>
        <v>0</v>
      </c>
      <c r="I9"/>
      <c r="J9"/>
      <c r="K9"/>
      <c r="L9"/>
      <c r="M9" s="137"/>
      <c r="N9" s="137"/>
      <c r="O9" s="137"/>
    </row>
    <row r="10" ht="12.75">
      <c r="Q10" s="191"/>
    </row>
    <row r="11" spans="1:16" ht="12.75">
      <c r="A11" s="50"/>
      <c r="B11" s="50"/>
      <c r="C11" s="50"/>
      <c r="D11" s="51" t="s">
        <v>159</v>
      </c>
      <c r="E11" s="51" t="s">
        <v>160</v>
      </c>
      <c r="F11" s="51" t="s">
        <v>161</v>
      </c>
      <c r="G11" s="51" t="s">
        <v>162</v>
      </c>
      <c r="H11" s="50"/>
      <c r="I11" s="50" t="s">
        <v>379</v>
      </c>
      <c r="J11" s="51" t="s">
        <v>163</v>
      </c>
      <c r="K11" s="51" t="s">
        <v>164</v>
      </c>
      <c r="L11" s="51" t="s">
        <v>165</v>
      </c>
      <c r="M11" s="51" t="s">
        <v>166</v>
      </c>
      <c r="N11" s="51" t="s">
        <v>162</v>
      </c>
      <c r="O11" s="51"/>
      <c r="P11" s="51"/>
    </row>
    <row r="12" spans="1:16" ht="12.75">
      <c r="A12" s="40"/>
      <c r="B12" s="52" t="s">
        <v>167</v>
      </c>
      <c r="C12" s="52" t="s">
        <v>165</v>
      </c>
      <c r="D12" s="52" t="s">
        <v>168</v>
      </c>
      <c r="E12" s="52" t="s">
        <v>25</v>
      </c>
      <c r="F12" s="52" t="s">
        <v>25</v>
      </c>
      <c r="G12" s="52" t="s">
        <v>169</v>
      </c>
      <c r="H12" s="52" t="s">
        <v>170</v>
      </c>
      <c r="I12" s="52" t="s">
        <v>171</v>
      </c>
      <c r="J12" s="52" t="s">
        <v>172</v>
      </c>
      <c r="K12" s="52" t="s">
        <v>173</v>
      </c>
      <c r="L12" s="52" t="s">
        <v>86</v>
      </c>
      <c r="M12" s="52" t="s">
        <v>172</v>
      </c>
      <c r="N12" s="52" t="s">
        <v>172</v>
      </c>
      <c r="O12" s="52" t="s">
        <v>162</v>
      </c>
      <c r="P12" s="52"/>
    </row>
    <row r="13" spans="1:19" ht="12.75">
      <c r="A13" s="53" t="s">
        <v>174</v>
      </c>
      <c r="B13" s="53" t="s">
        <v>175</v>
      </c>
      <c r="C13" s="53" t="s">
        <v>176</v>
      </c>
      <c r="D13" s="53" t="s">
        <v>177</v>
      </c>
      <c r="E13" s="53" t="s">
        <v>178</v>
      </c>
      <c r="F13" s="53" t="s">
        <v>178</v>
      </c>
      <c r="G13" s="53" t="s">
        <v>179</v>
      </c>
      <c r="H13" s="53" t="s">
        <v>180</v>
      </c>
      <c r="I13" s="53" t="s">
        <v>181</v>
      </c>
      <c r="J13" s="53" t="s">
        <v>180</v>
      </c>
      <c r="K13" s="53" t="s">
        <v>182</v>
      </c>
      <c r="L13" s="53" t="s">
        <v>182</v>
      </c>
      <c r="M13" s="53" t="s">
        <v>183</v>
      </c>
      <c r="N13" s="53" t="s">
        <v>183</v>
      </c>
      <c r="O13" s="53" t="s">
        <v>184</v>
      </c>
      <c r="P13" s="53" t="s">
        <v>185</v>
      </c>
      <c r="Q13" s="3" t="s">
        <v>186</v>
      </c>
      <c r="R13" s="3" t="s">
        <v>187</v>
      </c>
      <c r="S13" s="158" t="s">
        <v>188</v>
      </c>
    </row>
    <row r="14" spans="1:19" ht="12.75" customHeight="1" hidden="1">
      <c r="A14" s="130" t="s">
        <v>174</v>
      </c>
      <c r="B14" s="52" t="s">
        <v>189</v>
      </c>
      <c r="C14" s="9" t="s">
        <v>190</v>
      </c>
      <c r="D14" s="52" t="s">
        <v>168</v>
      </c>
      <c r="E14" s="9" t="s">
        <v>191</v>
      </c>
      <c r="F14" s="52" t="s">
        <v>192</v>
      </c>
      <c r="G14" s="9" t="s">
        <v>169</v>
      </c>
      <c r="H14" s="52" t="s">
        <v>193</v>
      </c>
      <c r="I14" s="9" t="s">
        <v>194</v>
      </c>
      <c r="J14" s="52" t="s">
        <v>195</v>
      </c>
      <c r="K14" s="9" t="s">
        <v>196</v>
      </c>
      <c r="L14" s="52" t="s">
        <v>197</v>
      </c>
      <c r="M14" s="133" t="s">
        <v>198</v>
      </c>
      <c r="N14" s="133" t="s">
        <v>199</v>
      </c>
      <c r="O14" s="133" t="s">
        <v>200</v>
      </c>
      <c r="P14" s="131" t="s">
        <v>185</v>
      </c>
      <c r="Q14" s="132" t="s">
        <v>186</v>
      </c>
      <c r="R14" s="132" t="s">
        <v>187</v>
      </c>
      <c r="S14" s="159" t="s">
        <v>188</v>
      </c>
    </row>
    <row r="15" spans="1:19" ht="13.5">
      <c r="A15" s="54" t="s">
        <v>201</v>
      </c>
      <c r="B15" s="55"/>
      <c r="C15" s="56"/>
      <c r="D15" s="50"/>
      <c r="E15" s="56"/>
      <c r="F15" s="190"/>
      <c r="G15" s="56"/>
      <c r="H15" s="50"/>
      <c r="I15" s="56"/>
      <c r="J15" s="50"/>
      <c r="K15" s="56"/>
      <c r="L15" s="50"/>
      <c r="M15" s="40"/>
      <c r="N15" s="40"/>
      <c r="O15" s="40"/>
      <c r="P15" s="40"/>
      <c r="Q15" s="3" t="e">
        <f>IF(AND(F15&gt;=TI_LC!$H$8,F15&lt;[1]!Edate(TI_LC!$C$57,12))=TRUE,VLOOKUP(F15,RollYear,2),"")</f>
        <v>#NAME?</v>
      </c>
      <c r="R15" s="129" t="e">
        <f>IF(AND(F15&gt;=TI_LC!$H$8,F15&lt;[1]!Edate(TI_LC!$C$57,12))=TRUE,B15,"")</f>
        <v>#NAME?</v>
      </c>
      <c r="S15" s="158" t="e">
        <f>IF(AND(F15&gt;=TI_LC!$H$8,F15&lt;[1]!Edate(TI_LC!$C$57,12))=TRUE,D15*B15/$B$9,"")</f>
        <v>#NAME?</v>
      </c>
    </row>
    <row r="16" spans="1:19" ht="12.75">
      <c r="A16" s="391" t="s">
        <v>202</v>
      </c>
      <c r="B16" s="397"/>
      <c r="C16" s="57" t="e">
        <f>B16/$B$28</f>
        <v>#DIV/0!</v>
      </c>
      <c r="D16" s="392"/>
      <c r="E16" s="393" t="s">
        <v>25</v>
      </c>
      <c r="F16" s="394" t="s">
        <v>25</v>
      </c>
      <c r="G16" s="395" t="s">
        <v>203</v>
      </c>
      <c r="H16" s="58" t="e">
        <f>+K16/B16</f>
        <v>#DIV/0!</v>
      </c>
      <c r="I16" s="404">
        <v>0</v>
      </c>
      <c r="J16" s="527">
        <v>0</v>
      </c>
      <c r="K16" s="528">
        <v>0</v>
      </c>
      <c r="L16" s="59" t="e">
        <f>K16/$K$28</f>
        <v>#DIV/0!</v>
      </c>
      <c r="M16" s="59"/>
      <c r="N16" s="59"/>
      <c r="O16" s="59"/>
      <c r="P16" s="414"/>
      <c r="Q16" s="3" t="e">
        <f>IF(AND(F16&gt;=TI_LC!$H$8,F16&lt;[1]!Edate(TI_LC!$C$57,12))=TRUE,VLOOKUP(F16,RollYear,2),"")</f>
        <v>#NAME?</v>
      </c>
      <c r="R16" s="129" t="e">
        <f>IF(AND(F16&gt;=TI_LC!$H$8,F16&lt;[1]!Edate(TI_LC!$C$57,12))=TRUE,B16,"")</f>
        <v>#NAME?</v>
      </c>
      <c r="S16" s="158" t="e">
        <f>IF(AND(F16&gt;=TI_LC!$H$8,F16&lt;[1]!Edate(TI_LC!$C$57,12))=TRUE,D16*B16/$B$9,"")</f>
        <v>#NAME?</v>
      </c>
    </row>
    <row r="17" spans="1:19" ht="12.75" customHeight="1">
      <c r="A17" s="511" t="s">
        <v>204</v>
      </c>
      <c r="B17" s="398"/>
      <c r="C17" s="57" t="e">
        <f>B17/$B$28</f>
        <v>#DIV/0!</v>
      </c>
      <c r="D17" s="392"/>
      <c r="E17" s="393"/>
      <c r="F17" s="394"/>
      <c r="G17" s="395"/>
      <c r="H17" s="58" t="e">
        <f>+K17/B17</f>
        <v>#DIV/0!</v>
      </c>
      <c r="I17" s="404"/>
      <c r="J17" s="527"/>
      <c r="K17" s="528">
        <v>0</v>
      </c>
      <c r="L17" s="59" t="e">
        <f>K17/$K$28</f>
        <v>#DIV/0!</v>
      </c>
      <c r="M17" s="59"/>
      <c r="N17" s="59"/>
      <c r="O17" s="59"/>
      <c r="P17" s="415"/>
      <c r="Q17" s="10" t="e">
        <f>IF(AND(F17&gt;=TI_LC!$H$8,F17&lt;[1]!Edate(TI_LC!$C$57,12))=TRUE,VLOOKUP(F17,RollYear,2),"")</f>
        <v>#NAME?</v>
      </c>
      <c r="R17" s="129" t="e">
        <f>IF(AND(F17&gt;=TI_LC!$H$8,F17&lt;[1]!Edate(TI_LC!$C$57,12))=TRUE,B17,"")</f>
        <v>#NAME?</v>
      </c>
      <c r="S17" s="158" t="e">
        <f>IF(AND(F17&gt;=TI_LC!$H$8,F17&lt;[1]!Edate(TI_LC!$C$57,12))=TRUE,D17*B17/$B$9,"")</f>
        <v>#NAME?</v>
      </c>
    </row>
    <row r="18" spans="1:19" ht="12.75" customHeight="1">
      <c r="A18" s="511" t="s">
        <v>204</v>
      </c>
      <c r="B18" s="398"/>
      <c r="C18" s="57" t="e">
        <f>B18/$B$28</f>
        <v>#DIV/0!</v>
      </c>
      <c r="D18" s="392"/>
      <c r="E18" s="393"/>
      <c r="F18" s="394"/>
      <c r="G18" s="395"/>
      <c r="H18" s="58" t="e">
        <f>+K18/B18</f>
        <v>#DIV/0!</v>
      </c>
      <c r="I18" s="404"/>
      <c r="J18" s="527"/>
      <c r="K18" s="528">
        <v>0</v>
      </c>
      <c r="L18" s="59" t="e">
        <f>K18/$K$28</f>
        <v>#DIV/0!</v>
      </c>
      <c r="M18" s="59"/>
      <c r="N18" s="59"/>
      <c r="O18" s="59"/>
      <c r="P18" s="415"/>
      <c r="Q18" s="10" t="e">
        <f>IF(AND(F18&gt;=TI_LC!$H$8,F18&lt;[1]!Edate(TI_LC!$C$57,12))=TRUE,VLOOKUP(F18,RollYear,2),"")</f>
        <v>#NAME?</v>
      </c>
      <c r="R18" s="129" t="e">
        <f>IF(AND(F18&gt;=TI_LC!$H$8,F18&lt;[1]!Edate(TI_LC!$C$57,12))=TRUE,B18,"")</f>
        <v>#NAME?</v>
      </c>
      <c r="S18" s="158" t="e">
        <f>IF(AND(F18&gt;=TI_LC!$H$8,F18&lt;[1]!Edate(TI_LC!$C$57,12))=TRUE,D18*B18/$B$9,"")</f>
        <v>#NAME?</v>
      </c>
    </row>
    <row r="19" spans="1:19" ht="12.75">
      <c r="A19" s="63" t="s">
        <v>205</v>
      </c>
      <c r="B19" s="110">
        <f>SUM(B16:B18)</f>
        <v>0</v>
      </c>
      <c r="C19" s="65" t="e">
        <f>B19/$B$28</f>
        <v>#DIV/0!</v>
      </c>
      <c r="D19" s="40"/>
      <c r="F19" s="40"/>
      <c r="G19" s="94"/>
      <c r="H19" s="66"/>
      <c r="I19" s="67"/>
      <c r="J19" s="529"/>
      <c r="K19" s="530">
        <f>SUM(K16:K18)</f>
        <v>0</v>
      </c>
      <c r="L19" s="47" t="e">
        <f>K19/$K$28</f>
        <v>#DIV/0!</v>
      </c>
      <c r="M19" s="47"/>
      <c r="N19" s="47"/>
      <c r="O19" s="47"/>
      <c r="P19" s="417"/>
      <c r="Q19" s="3" t="e">
        <f>IF(AND(F19&gt;=TI_LC!$H$8,F19&lt;[1]!Edate(TI_LC!$C$57,12))=TRUE,VLOOKUP(F19,RollYear,2),"")</f>
        <v>#NAME?</v>
      </c>
      <c r="R19" s="129" t="e">
        <f>IF(AND(F19&gt;=TI_LC!$H$8,F19&lt;[1]!Edate(TI_LC!$C$57,12))=TRUE,B19,"")</f>
        <v>#NAME?</v>
      </c>
      <c r="S19" s="158" t="e">
        <f>IF(AND(F19&gt;=TI_LC!$H$8,F19&lt;[1]!Edate(TI_LC!$C$57,12))=TRUE,D19*B19/$B$9,"")</f>
        <v>#NAME?</v>
      </c>
    </row>
    <row r="20" spans="1:19" ht="26.25" customHeight="1">
      <c r="A20" s="34"/>
      <c r="B20" s="64"/>
      <c r="D20" s="40"/>
      <c r="F20" s="40"/>
      <c r="G20" s="94"/>
      <c r="H20" s="66"/>
      <c r="I20" s="67"/>
      <c r="J20" s="529"/>
      <c r="K20" s="531"/>
      <c r="L20" s="40"/>
      <c r="M20" s="40"/>
      <c r="N20" s="40"/>
      <c r="O20" s="40"/>
      <c r="P20" s="417"/>
      <c r="Q20" s="3" t="e">
        <f>IF(AND(F20&gt;=TI_LC!$H$8,F20&lt;[1]!Edate(TI_LC!$C$57,12))=TRUE,VLOOKUP(F20,RollYear,2),"")</f>
        <v>#NAME?</v>
      </c>
      <c r="R20" s="129" t="e">
        <f>IF(AND(F20&gt;=TI_LC!$H$8,F20&lt;[1]!Edate(TI_LC!$C$57,12))=TRUE,B20,"")</f>
        <v>#NAME?</v>
      </c>
      <c r="S20" s="158" t="e">
        <f>IF(AND(F20&gt;=TI_LC!$H$8,F20&lt;[1]!Edate(TI_LC!$C$57,12))=TRUE,D20*B20/$B$9,"")</f>
        <v>#NAME?</v>
      </c>
    </row>
    <row r="21" spans="1:19" ht="12.75" customHeight="1">
      <c r="A21" s="68" t="s">
        <v>206</v>
      </c>
      <c r="B21" s="64"/>
      <c r="D21" s="40"/>
      <c r="F21" s="40"/>
      <c r="G21" s="94"/>
      <c r="H21" s="66"/>
      <c r="I21" s="67"/>
      <c r="J21" s="529"/>
      <c r="K21" s="531"/>
      <c r="L21" s="40"/>
      <c r="M21" s="40"/>
      <c r="N21" s="40"/>
      <c r="O21" s="40"/>
      <c r="P21" s="417"/>
      <c r="Q21" s="3" t="e">
        <f>IF(AND(F21&gt;=TI_LC!$H$8,F21&lt;[1]!Edate(TI_LC!$C$57,12))=TRUE,VLOOKUP(F21,RollYear,2),"")</f>
        <v>#NAME?</v>
      </c>
      <c r="R21" s="129" t="e">
        <f>IF(AND(F21&gt;=TI_LC!$H$8,F21&lt;[1]!Edate(TI_LC!$C$57,12))=TRUE,B21,"")</f>
        <v>#NAME?</v>
      </c>
      <c r="S21" s="158" t="e">
        <f>IF(AND(F21&gt;=TI_LC!$H$8,F21&lt;[1]!Edate(TI_LC!$C$57,12))=TRUE,D21*B21/$B$9,"")</f>
        <v>#NAME?</v>
      </c>
    </row>
    <row r="22" spans="1:19" ht="12" customHeight="1">
      <c r="A22" s="133" t="s">
        <v>174</v>
      </c>
      <c r="B22" s="133" t="s">
        <v>189</v>
      </c>
      <c r="C22" s="133" t="s">
        <v>190</v>
      </c>
      <c r="D22" s="133"/>
      <c r="E22" s="133" t="s">
        <v>191</v>
      </c>
      <c r="F22" s="133" t="s">
        <v>192</v>
      </c>
      <c r="G22" s="133" t="s">
        <v>169</v>
      </c>
      <c r="H22" s="133" t="s">
        <v>193</v>
      </c>
      <c r="I22" s="133" t="s">
        <v>194</v>
      </c>
      <c r="J22" s="532" t="s">
        <v>195</v>
      </c>
      <c r="K22" s="532" t="s">
        <v>196</v>
      </c>
      <c r="L22" s="133" t="s">
        <v>197</v>
      </c>
      <c r="M22" s="133" t="s">
        <v>198</v>
      </c>
      <c r="N22" s="133" t="s">
        <v>199</v>
      </c>
      <c r="O22" s="133" t="s">
        <v>200</v>
      </c>
      <c r="P22" s="418"/>
      <c r="Q22" s="132" t="s">
        <v>186</v>
      </c>
      <c r="R22" s="129" t="s">
        <v>187</v>
      </c>
      <c r="S22" s="158" t="s">
        <v>188</v>
      </c>
    </row>
    <row r="23" spans="1:19" ht="12.75" customHeight="1">
      <c r="A23" s="391" t="s">
        <v>202</v>
      </c>
      <c r="B23" s="397"/>
      <c r="C23" s="48" t="e">
        <f aca="true" t="shared" si="0" ref="C23:C28">B23/$B$28</f>
        <v>#DIV/0!</v>
      </c>
      <c r="D23" s="392"/>
      <c r="E23" s="393" t="s">
        <v>25</v>
      </c>
      <c r="F23" s="394" t="s">
        <v>25</v>
      </c>
      <c r="G23" s="395" t="s">
        <v>203</v>
      </c>
      <c r="H23" s="62" t="e">
        <f>+K23/B23</f>
        <v>#DIV/0!</v>
      </c>
      <c r="I23" s="404">
        <v>0</v>
      </c>
      <c r="J23" s="527">
        <v>0</v>
      </c>
      <c r="K23" s="528">
        <v>0</v>
      </c>
      <c r="L23" s="69" t="e">
        <f aca="true" t="shared" si="1" ref="L23:L28">K23/$K$28</f>
        <v>#DIV/0!</v>
      </c>
      <c r="M23" s="69"/>
      <c r="N23" s="69"/>
      <c r="O23" s="69"/>
      <c r="P23" s="414"/>
      <c r="Q23" s="3" t="e">
        <f>IF(AND(F23&gt;=TI_LC!$H$8,F23&lt;[1]!Edate(TI_LC!$C$57,12))=TRUE,VLOOKUP(F23,RollYear,2),"")</f>
        <v>#NAME?</v>
      </c>
      <c r="R23" s="129" t="e">
        <f>IF(AND(F23&gt;=TI_LC!$H$8,F23&lt;[1]!Edate(TI_LC!$C$57,12))=TRUE,B23,"")</f>
        <v>#NAME?</v>
      </c>
      <c r="S23" s="158" t="e">
        <f>IF(AND(F23&gt;=TI_LC!$H$8,F23&lt;[1]!Edate(TI_LC!$C$57,12))=TRUE,D23*B23/$B$9,"")</f>
        <v>#NAME?</v>
      </c>
    </row>
    <row r="24" spans="1:19" ht="13.5" customHeight="1" thickBot="1">
      <c r="A24" s="167" t="s">
        <v>207</v>
      </c>
      <c r="B24" s="399"/>
      <c r="C24" s="168" t="e">
        <f t="shared" si="0"/>
        <v>#DIV/0!</v>
      </c>
      <c r="D24" s="400"/>
      <c r="E24" s="401"/>
      <c r="F24" s="396"/>
      <c r="G24" s="402"/>
      <c r="H24" s="169" t="e">
        <f>+K24/B24</f>
        <v>#DIV/0!</v>
      </c>
      <c r="I24" s="405"/>
      <c r="J24" s="533"/>
      <c r="K24" s="534">
        <v>0</v>
      </c>
      <c r="L24" s="170" t="e">
        <f t="shared" si="1"/>
        <v>#DIV/0!</v>
      </c>
      <c r="M24" s="170"/>
      <c r="N24" s="170"/>
      <c r="O24" s="170"/>
      <c r="P24" s="416"/>
      <c r="Q24" s="3" t="e">
        <f>IF(AND(F24&gt;=TI_LC!$H$8,F24&lt;[1]!Edate(TI_LC!$C$57,12))=TRUE,VLOOKUP(F24,RollYear,2),"")</f>
        <v>#NAME?</v>
      </c>
      <c r="R24" s="129" t="e">
        <f>IF(AND(F24&gt;=TI_LC!$H$8,F24&lt;[1]!Edate(TI_LC!$C$57,12))=TRUE,B24,"")</f>
        <v>#NAME?</v>
      </c>
      <c r="S24" s="158" t="e">
        <f>IF(AND(F24&gt;=TI_LC!$H$8,F24&lt;[1]!Edate(TI_LC!$C$57,12))=TRUE,D24*B24/$B$9,"")</f>
        <v>#NAME?</v>
      </c>
    </row>
    <row r="25" spans="1:19" ht="12.75">
      <c r="A25" s="76" t="s">
        <v>208</v>
      </c>
      <c r="B25" s="111">
        <f>SUM(B23:B24)</f>
        <v>0</v>
      </c>
      <c r="C25" s="182" t="e">
        <f t="shared" si="0"/>
        <v>#DIV/0!</v>
      </c>
      <c r="D25" s="60"/>
      <c r="E25" s="49"/>
      <c r="F25" s="135"/>
      <c r="G25" s="112"/>
      <c r="H25" s="62"/>
      <c r="I25" s="61"/>
      <c r="J25" s="535"/>
      <c r="K25" s="536">
        <f>SUM(K23:K24)</f>
        <v>0</v>
      </c>
      <c r="L25" s="69" t="e">
        <f t="shared" si="1"/>
        <v>#DIV/0!</v>
      </c>
      <c r="M25" s="69"/>
      <c r="N25" s="69"/>
      <c r="O25" s="69"/>
      <c r="P25" s="62"/>
      <c r="R25" s="129"/>
      <c r="S25" s="158" t="e">
        <f>SUM(S14:S24)</f>
        <v>#NAME?</v>
      </c>
    </row>
    <row r="26" spans="1:18" ht="12.75">
      <c r="A26" s="77" t="s">
        <v>209</v>
      </c>
      <c r="B26" s="110">
        <f>+B25+B19</f>
        <v>0</v>
      </c>
      <c r="C26" s="65" t="e">
        <f t="shared" si="0"/>
        <v>#DIV/0!</v>
      </c>
      <c r="D26" s="40"/>
      <c r="F26" s="142"/>
      <c r="G26" s="94"/>
      <c r="H26" s="66"/>
      <c r="I26" s="67"/>
      <c r="J26" s="529"/>
      <c r="K26" s="537">
        <f>+K25+K19</f>
        <v>0</v>
      </c>
      <c r="L26" s="47" t="e">
        <f t="shared" si="1"/>
        <v>#DIV/0!</v>
      </c>
      <c r="M26" s="47"/>
      <c r="N26" s="47"/>
      <c r="O26" s="47"/>
      <c r="P26" s="66"/>
      <c r="R26" s="129"/>
    </row>
    <row r="27" spans="1:18" ht="13.5" thickBot="1">
      <c r="A27" s="78" t="s">
        <v>210</v>
      </c>
      <c r="B27" s="389">
        <f>B9-B26</f>
        <v>0</v>
      </c>
      <c r="C27" s="70" t="e">
        <f t="shared" si="0"/>
        <v>#DIV/0!</v>
      </c>
      <c r="D27" s="71"/>
      <c r="E27" s="72"/>
      <c r="F27" s="143"/>
      <c r="G27" s="113"/>
      <c r="H27" s="403">
        <v>0</v>
      </c>
      <c r="I27" s="73"/>
      <c r="J27" s="538"/>
      <c r="K27" s="539">
        <f>+B27*H27</f>
        <v>0</v>
      </c>
      <c r="L27" s="75" t="e">
        <f t="shared" si="1"/>
        <v>#DIV/0!</v>
      </c>
      <c r="M27" s="75"/>
      <c r="N27" s="75"/>
      <c r="O27" s="75"/>
      <c r="P27" s="74"/>
      <c r="R27" s="129"/>
    </row>
    <row r="28" spans="1:18" ht="13.5" thickTop="1">
      <c r="A28" s="79" t="s">
        <v>211</v>
      </c>
      <c r="B28" s="111">
        <f>B26+B27</f>
        <v>0</v>
      </c>
      <c r="C28" s="48" t="e">
        <f t="shared" si="0"/>
        <v>#DIV/0!</v>
      </c>
      <c r="D28" s="60"/>
      <c r="E28" s="49"/>
      <c r="F28" s="135"/>
      <c r="G28" s="112"/>
      <c r="H28" s="62"/>
      <c r="I28" s="61"/>
      <c r="J28" s="535"/>
      <c r="K28" s="540">
        <f>K26+K27</f>
        <v>0</v>
      </c>
      <c r="L28" s="69" t="e">
        <f t="shared" si="1"/>
        <v>#DIV/0!</v>
      </c>
      <c r="M28" s="69"/>
      <c r="N28" s="69"/>
      <c r="O28" s="69"/>
      <c r="P28" s="62"/>
      <c r="R28" s="129"/>
    </row>
    <row r="30" spans="1:16" ht="12.75">
      <c r="A30" s="11" t="s">
        <v>212</v>
      </c>
      <c r="D30" s="541">
        <f>TI_LC!N12</f>
        <v>5</v>
      </c>
      <c r="H30" s="11" t="s">
        <v>213</v>
      </c>
      <c r="P30" s="109">
        <f>TI_LC!N16</f>
        <v>0.05</v>
      </c>
    </row>
    <row r="31" spans="1:16" ht="12.75">
      <c r="A31" s="11" t="s">
        <v>214</v>
      </c>
      <c r="D31" s="541">
        <f>TI_LC!N13</f>
        <v>2.5</v>
      </c>
      <c r="H31" s="11" t="s">
        <v>215</v>
      </c>
      <c r="P31" s="109">
        <f>TI_LC!N17</f>
        <v>0.02</v>
      </c>
    </row>
    <row r="33" ht="12.75">
      <c r="A33" s="571" t="s">
        <v>380</v>
      </c>
    </row>
  </sheetData>
  <printOptions horizontalCentered="1"/>
  <pageMargins left="0.25" right="0.25" top="0.25" bottom="0.25" header="0.35" footer="0.36"/>
  <pageSetup fitToHeight="1" fitToWidth="1" horizontalDpi="600" verticalDpi="600" orientation="landscape" scale="7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 topLeftCell="A1">
      <selection activeCell="A1" sqref="A1"/>
    </sheetView>
  </sheetViews>
  <sheetFormatPr defaultColWidth="9.33203125" defaultRowHeight="12.75"/>
  <cols>
    <col min="1" max="1" width="2.5" style="3" customWidth="1"/>
    <col min="2" max="2" width="16.33203125" style="3" customWidth="1"/>
    <col min="3" max="3" width="13" style="3" customWidth="1"/>
    <col min="4" max="4" width="3.5" style="3" hidden="1" customWidth="1"/>
    <col min="5" max="14" width="15" style="3" customWidth="1"/>
    <col min="15" max="16384" width="9.33203125" style="3" customWidth="1"/>
  </cols>
  <sheetData>
    <row r="1" spans="1:14" ht="18.75">
      <c r="A1" s="116"/>
      <c r="N1" s="88" t="str">
        <f ca="1">CELL("filename")</f>
        <v>\\CLT-NETAPP02\B16771$\Bill\GSB @ LSU\CRE Case Study\Handout's\Rent Roll\[GSB Rent Roll Template.xls]RentRoll</v>
      </c>
    </row>
    <row r="2" spans="1:14" ht="15.75">
      <c r="A2" s="1" t="s">
        <v>216</v>
      </c>
      <c r="M2" s="6" t="s">
        <v>2</v>
      </c>
      <c r="N2" s="5">
        <f ca="1">NOW()</f>
        <v>41043.64981782407</v>
      </c>
    </row>
    <row r="3" spans="1:14" ht="12.75">
      <c r="A3" s="89" t="s">
        <v>378</v>
      </c>
      <c r="B3"/>
      <c r="C3"/>
      <c r="D3"/>
      <c r="E3" s="98" t="str">
        <f>'Commercial Sizing'!C3</f>
        <v>Loan #</v>
      </c>
      <c r="F3" s="98"/>
      <c r="M3" s="6" t="s">
        <v>74</v>
      </c>
      <c r="N3" s="5">
        <f>'Commercial Sizing'!L3</f>
        <v>36923</v>
      </c>
    </row>
    <row r="4" spans="1:14" ht="12.75">
      <c r="A4" s="89" t="s">
        <v>11</v>
      </c>
      <c r="B4"/>
      <c r="C4"/>
      <c r="D4"/>
      <c r="E4" s="107" t="str">
        <f>+Property</f>
        <v>Property Name</v>
      </c>
      <c r="N4"/>
    </row>
    <row r="5" spans="1:14" ht="12.75">
      <c r="A5" s="91" t="s">
        <v>77</v>
      </c>
      <c r="B5"/>
      <c r="C5"/>
      <c r="D5"/>
      <c r="E5" s="108">
        <f>+NRSF</f>
        <v>0</v>
      </c>
      <c r="F5" s="107"/>
      <c r="N5"/>
    </row>
    <row r="6" spans="4:9" ht="7.5" customHeight="1">
      <c r="D6"/>
      <c r="E6"/>
      <c r="I6" s="164"/>
    </row>
    <row r="7" spans="2:14" ht="12.75">
      <c r="B7" s="89" t="s">
        <v>217</v>
      </c>
      <c r="C7" s="89"/>
      <c r="D7" s="89"/>
      <c r="E7"/>
      <c r="F7"/>
      <c r="G7"/>
      <c r="H7"/>
      <c r="J7" s="89" t="s">
        <v>218</v>
      </c>
      <c r="K7"/>
      <c r="L7"/>
      <c r="M7"/>
      <c r="N7"/>
    </row>
    <row r="8" spans="2:14" ht="12.75">
      <c r="B8" s="327" t="s">
        <v>219</v>
      </c>
      <c r="C8" s="328"/>
      <c r="D8" s="328"/>
      <c r="E8" s="329"/>
      <c r="F8" s="329"/>
      <c r="G8" s="329"/>
      <c r="H8" s="465">
        <f>'Commercial Sizing'!F17</f>
        <v>38352</v>
      </c>
      <c r="J8" s="337" t="s">
        <v>220</v>
      </c>
      <c r="K8" s="287"/>
      <c r="L8" s="287"/>
      <c r="M8" s="287"/>
      <c r="N8" s="542">
        <v>10</v>
      </c>
    </row>
    <row r="9" spans="2:14" ht="12.75">
      <c r="B9" s="316" t="s">
        <v>221</v>
      </c>
      <c r="C9" s="289"/>
      <c r="D9" s="289"/>
      <c r="E9" s="289"/>
      <c r="F9" s="289"/>
      <c r="G9" s="289"/>
      <c r="H9" s="406">
        <v>10</v>
      </c>
      <c r="J9" s="334" t="s">
        <v>222</v>
      </c>
      <c r="K9" s="335"/>
      <c r="L9" s="335"/>
      <c r="M9" s="335"/>
      <c r="N9" s="543">
        <v>5</v>
      </c>
    </row>
    <row r="10" spans="2:14" ht="12.75">
      <c r="B10" s="183" t="str">
        <f>IF(H8&gt;MIN(RentRoll!F14:F24),CONCATENATE("Warning:  There are leases expiring before "&amp;MONTH(TI_LC!H8)&amp;"/"&amp;YEAR(TI_LC!H8)&amp;"."),"")</f>
        <v>Warning:  There are leases expiring before 12/2004.</v>
      </c>
      <c r="C10" s="183"/>
      <c r="D10" s="183"/>
      <c r="J10" s="183" t="str">
        <f>IF(N8=RentRoll!H27,"","Warning:  Market Rent for Vacant Space is different than above.")</f>
        <v>Warning:  Market Rent for Vacant Space is different than above.</v>
      </c>
      <c r="K10"/>
      <c r="L10"/>
      <c r="M10"/>
      <c r="N10"/>
    </row>
    <row r="11" spans="2:13" ht="12.75">
      <c r="B11" s="183">
        <f>IF(H9&lt;'Commercial Sizing'!L9,CONCATENATE("Warning:  Analysis Period is shorter than loan term of "&amp;'Commercial Sizing'!$L$9&amp;" Years."),"")</f>
      </c>
      <c r="C11" s="183"/>
      <c r="D11" s="183"/>
      <c r="E11"/>
      <c r="F11"/>
      <c r="G11"/>
      <c r="H11"/>
      <c r="J11" s="91" t="s">
        <v>223</v>
      </c>
      <c r="K11" s="7"/>
      <c r="L11" s="7"/>
      <c r="M11" s="90"/>
    </row>
    <row r="12" spans="2:14" ht="12.75">
      <c r="B12" s="12" t="s">
        <v>224</v>
      </c>
      <c r="C12" s="12"/>
      <c r="D12" s="12"/>
      <c r="J12" s="337" t="s">
        <v>225</v>
      </c>
      <c r="K12" s="287"/>
      <c r="L12" s="287"/>
      <c r="M12" s="329"/>
      <c r="N12" s="542">
        <v>5</v>
      </c>
    </row>
    <row r="13" spans="2:14" ht="12.75">
      <c r="B13" s="330" t="s">
        <v>226</v>
      </c>
      <c r="C13" s="331"/>
      <c r="D13" s="331"/>
      <c r="E13" s="287"/>
      <c r="F13" s="287"/>
      <c r="G13" s="287"/>
      <c r="H13" s="547">
        <f>DSUM(Anchors,"exp sf",AnchorRoll)</f>
        <v>0</v>
      </c>
      <c r="J13" s="334" t="s">
        <v>227</v>
      </c>
      <c r="K13" s="335"/>
      <c r="L13" s="335"/>
      <c r="M13" s="298"/>
      <c r="N13" s="544">
        <v>2.5</v>
      </c>
    </row>
    <row r="14" spans="2:13" ht="12.75">
      <c r="B14" s="315" t="s">
        <v>228</v>
      </c>
      <c r="C14" s="292"/>
      <c r="D14" s="292"/>
      <c r="E14" s="292"/>
      <c r="F14" s="292"/>
      <c r="G14" s="292"/>
      <c r="H14" s="407">
        <v>0.6</v>
      </c>
      <c r="M14"/>
    </row>
    <row r="15" spans="2:13" ht="12.75">
      <c r="B15" s="332" t="s">
        <v>229</v>
      </c>
      <c r="C15" s="333"/>
      <c r="D15" s="333"/>
      <c r="E15" s="292"/>
      <c r="F15" s="292"/>
      <c r="G15" s="292"/>
      <c r="H15" s="546">
        <f>DSUM(NonAnchors,"exp sf",NonAnchorRoll)</f>
        <v>0</v>
      </c>
      <c r="J15" s="89" t="s">
        <v>230</v>
      </c>
      <c r="M15"/>
    </row>
    <row r="16" spans="2:14" ht="12.75">
      <c r="B16" s="315" t="s">
        <v>231</v>
      </c>
      <c r="C16" s="292"/>
      <c r="D16" s="292"/>
      <c r="E16" s="292"/>
      <c r="F16" s="292"/>
      <c r="G16" s="292"/>
      <c r="H16" s="407">
        <v>0.6</v>
      </c>
      <c r="J16" s="337" t="s">
        <v>232</v>
      </c>
      <c r="K16" s="287"/>
      <c r="L16" s="287"/>
      <c r="M16" s="329"/>
      <c r="N16" s="408">
        <v>0.05</v>
      </c>
    </row>
    <row r="17" spans="2:14" ht="12.75">
      <c r="B17" s="334" t="s">
        <v>233</v>
      </c>
      <c r="C17" s="335"/>
      <c r="D17" s="335"/>
      <c r="E17" s="289"/>
      <c r="F17" s="289"/>
      <c r="G17" s="289"/>
      <c r="H17" s="336" t="e">
        <f>+H13/(+H13+H15)*H14+H15/(+H13+H15)*H16</f>
        <v>#DIV/0!</v>
      </c>
      <c r="J17" s="316" t="s">
        <v>234</v>
      </c>
      <c r="K17" s="289"/>
      <c r="L17" s="289"/>
      <c r="M17" s="298"/>
      <c r="N17" s="409">
        <v>0.02</v>
      </c>
    </row>
    <row r="18" spans="2:14" ht="12.75">
      <c r="B18"/>
      <c r="C18"/>
      <c r="D18"/>
      <c r="E18"/>
      <c r="F18"/>
      <c r="G18"/>
      <c r="H18"/>
      <c r="J18"/>
      <c r="K18"/>
      <c r="L18"/>
      <c r="M18"/>
      <c r="N18"/>
    </row>
    <row r="19" spans="2:9" ht="12.75">
      <c r="B19" s="160" t="str">
        <f>CONCATENATE("Expected TI's and LC's over Analysis Period of "&amp;H9&amp;" Years Beginning "&amp;MONTH(H8)&amp;"/"&amp;YEAR(H8))</f>
        <v>Expected TI's and LC's over Analysis Period of 10 Years Beginning 12/2004</v>
      </c>
      <c r="C19" s="160"/>
      <c r="D19" s="160"/>
      <c r="E19" s="7"/>
      <c r="F19" s="7"/>
      <c r="G19"/>
      <c r="H19" s="178"/>
      <c r="I19" s="89"/>
    </row>
    <row r="20" spans="2:14" ht="12.75">
      <c r="B20" s="422"/>
      <c r="C20" s="423"/>
      <c r="D20" s="423"/>
      <c r="E20" s="423" t="s">
        <v>235</v>
      </c>
      <c r="F20" s="423" t="s">
        <v>236</v>
      </c>
      <c r="G20" s="423" t="s">
        <v>237</v>
      </c>
      <c r="H20" s="423" t="s">
        <v>237</v>
      </c>
      <c r="I20" s="423" t="s">
        <v>166</v>
      </c>
      <c r="J20" s="423" t="s">
        <v>162</v>
      </c>
      <c r="K20" s="423" t="s">
        <v>86</v>
      </c>
      <c r="L20" s="423" t="s">
        <v>166</v>
      </c>
      <c r="M20" s="423" t="s">
        <v>162</v>
      </c>
      <c r="N20" s="424" t="s">
        <v>86</v>
      </c>
    </row>
    <row r="21" spans="2:14" ht="12.75">
      <c r="B21" s="425"/>
      <c r="C21" s="426"/>
      <c r="D21" s="426"/>
      <c r="E21" s="426" t="s">
        <v>238</v>
      </c>
      <c r="F21" s="426" t="s">
        <v>239</v>
      </c>
      <c r="G21" s="426" t="s">
        <v>240</v>
      </c>
      <c r="H21" s="426" t="s">
        <v>241</v>
      </c>
      <c r="I21" s="426" t="s">
        <v>242</v>
      </c>
      <c r="J21" s="426" t="s">
        <v>242</v>
      </c>
      <c r="K21" s="426" t="s">
        <v>243</v>
      </c>
      <c r="L21" s="426" t="s">
        <v>242</v>
      </c>
      <c r="M21" s="426" t="s">
        <v>242</v>
      </c>
      <c r="N21" s="427" t="s">
        <v>243</v>
      </c>
    </row>
    <row r="22" spans="2:14" ht="12.75">
      <c r="B22" s="428"/>
      <c r="C22" s="429"/>
      <c r="D22" s="429"/>
      <c r="E22" s="429" t="s">
        <v>244</v>
      </c>
      <c r="F22" s="429" t="s">
        <v>245</v>
      </c>
      <c r="G22" s="429" t="s">
        <v>244</v>
      </c>
      <c r="H22" s="429" t="s">
        <v>246</v>
      </c>
      <c r="I22" s="429" t="s">
        <v>183</v>
      </c>
      <c r="J22" s="429" t="s">
        <v>183</v>
      </c>
      <c r="K22" s="430" t="s">
        <v>183</v>
      </c>
      <c r="L22" s="430" t="s">
        <v>247</v>
      </c>
      <c r="M22" s="430" t="s">
        <v>247</v>
      </c>
      <c r="N22" s="431" t="s">
        <v>247</v>
      </c>
    </row>
    <row r="23" spans="2:14" ht="12.75">
      <c r="B23" s="432" t="s">
        <v>248</v>
      </c>
      <c r="C23" s="433"/>
      <c r="D23" s="434"/>
      <c r="E23" s="548">
        <f>DSUM(ExpSchedule,"Exp SF",TICalc)</f>
        <v>0</v>
      </c>
      <c r="F23" s="438" t="e">
        <f>DSUM(ExpSchedule,"Exp Pct",TICalc)</f>
        <v>#DIV/0!</v>
      </c>
      <c r="G23" s="548">
        <f>DSUM(ExpSchedule,"Total SF",TICalc)</f>
        <v>0</v>
      </c>
      <c r="H23" s="438" t="e">
        <f>DSUM(ExpSchedule,"Roll Pct",TICalc)</f>
        <v>#DIV/0!</v>
      </c>
      <c r="I23" s="550" t="e">
        <f>DSUM(ExpSchedule,"New TI",TICalc)</f>
        <v>#DIV/0!</v>
      </c>
      <c r="J23" s="550" t="e">
        <f>DSUM(ExpSchedule,"Renew TI",TICalc)</f>
        <v>#DIV/0!</v>
      </c>
      <c r="K23" s="550" t="e">
        <f>DSUM(ExpSchedule,"Expect TI",TICalc)</f>
        <v>#DIV/0!</v>
      </c>
      <c r="L23" s="550" t="e">
        <f>DSUM(ExpSchedule,"New LC",TICalc)</f>
        <v>#DIV/0!</v>
      </c>
      <c r="M23" s="550" t="e">
        <f>DSUM(ExpSchedule,"ReNew LC",TICalc)</f>
        <v>#DIV/0!</v>
      </c>
      <c r="N23" s="550" t="e">
        <f>DSUM(ExpSchedule,"Expect LC",TICalc)</f>
        <v>#DIV/0!</v>
      </c>
    </row>
    <row r="24" spans="2:14" ht="12.75">
      <c r="B24" s="435" t="s">
        <v>249</v>
      </c>
      <c r="C24" s="436"/>
      <c r="D24" s="437"/>
      <c r="E24" s="549">
        <f>DAVERAGE(ExpSchedule,"Exp SF",TICalc)</f>
        <v>0</v>
      </c>
      <c r="F24" s="439" t="e">
        <f>DAVERAGE(ExpSchedule,"Exp Pct",TICalc)</f>
        <v>#DIV/0!</v>
      </c>
      <c r="G24" s="549">
        <f>DAVERAGE(ExpSchedule,"Total SF",TICalc)</f>
        <v>0</v>
      </c>
      <c r="H24" s="439" t="e">
        <f>DAVERAGE(ExpSchedule,"Roll Pct",TICalc)</f>
        <v>#DIV/0!</v>
      </c>
      <c r="I24" s="551" t="e">
        <f>DAVERAGE(ExpSchedule,"New TI",TICalc)</f>
        <v>#DIV/0!</v>
      </c>
      <c r="J24" s="551" t="e">
        <f>DAVERAGE(ExpSchedule,"Renew TI",TICalc)</f>
        <v>#DIV/0!</v>
      </c>
      <c r="K24" s="551" t="e">
        <f>DAVERAGE(ExpSchedule,"Expect TI",TICalc)</f>
        <v>#DIV/0!</v>
      </c>
      <c r="L24" s="551" t="e">
        <f>DAVERAGE(ExpSchedule,"New LC",TICalc)</f>
        <v>#DIV/0!</v>
      </c>
      <c r="M24" s="551" t="e">
        <f>DAVERAGE(ExpSchedule,"ReNew LC",TICalc)</f>
        <v>#DIV/0!</v>
      </c>
      <c r="N24" s="551" t="e">
        <f>DAVERAGE(ExpSchedule,"Expect LC",TICalc)</f>
        <v>#DIV/0!</v>
      </c>
    </row>
    <row r="25" spans="2:14" ht="12.75">
      <c r="B25" s="432" t="s">
        <v>250</v>
      </c>
      <c r="C25" s="433"/>
      <c r="D25" s="434"/>
      <c r="E25" s="548">
        <f>DMAX(ExpSchedule,"Exp SF",TICalc)</f>
        <v>0</v>
      </c>
      <c r="F25" s="438" t="e">
        <f>DMAX(ExpSchedule,"Exp Pct",TICalc)</f>
        <v>#DIV/0!</v>
      </c>
      <c r="G25" s="548">
        <f>DMAX(ExpSchedule,"Total SF",TICalc)</f>
        <v>0</v>
      </c>
      <c r="H25" s="438" t="e">
        <f>DMAX(ExpSchedule,"Roll Pct",TICalc)</f>
        <v>#DIV/0!</v>
      </c>
      <c r="I25" s="550" t="e">
        <f>DMAX(ExpSchedule,"New TI",TICalc)</f>
        <v>#DIV/0!</v>
      </c>
      <c r="J25" s="550" t="e">
        <f>DMAX(ExpSchedule,"Renew TI",TICalc)</f>
        <v>#DIV/0!</v>
      </c>
      <c r="K25" s="550" t="e">
        <f>DMAX(ExpSchedule,"Expect TI",TICalc)</f>
        <v>#DIV/0!</v>
      </c>
      <c r="L25" s="550" t="e">
        <f>DMAX(ExpSchedule,"New LC",TICalc)</f>
        <v>#DIV/0!</v>
      </c>
      <c r="M25" s="550" t="e">
        <f>DMAX(ExpSchedule,"ReNew LC",TICalc)</f>
        <v>#DIV/0!</v>
      </c>
      <c r="N25" s="550" t="e">
        <f>DMAX(ExpSchedule,"Expect LC",TICalc)</f>
        <v>#DIV/0!</v>
      </c>
    </row>
    <row r="26" spans="2:14" ht="12.75">
      <c r="B26" s="162" t="s">
        <v>251</v>
      </c>
      <c r="C26" s="162"/>
      <c r="D26" s="162"/>
      <c r="E26" s="7"/>
      <c r="F26" s="7"/>
      <c r="G26" s="7"/>
      <c r="H26" s="161"/>
      <c r="I26" s="7"/>
      <c r="J26" s="7"/>
      <c r="K26" s="7"/>
      <c r="L26" s="7"/>
      <c r="M26" s="7"/>
      <c r="N26" s="7"/>
    </row>
    <row r="27" spans="2:14" ht="5.25" customHeight="1">
      <c r="B27" s="162"/>
      <c r="C27" s="162"/>
      <c r="D27" s="162"/>
      <c r="E27" s="7"/>
      <c r="F27" s="7"/>
      <c r="G27" s="7"/>
      <c r="H27" s="161"/>
      <c r="I27" s="7"/>
      <c r="J27" s="7"/>
      <c r="K27" s="7"/>
      <c r="L27" s="7"/>
      <c r="M27" s="7"/>
      <c r="N27" s="7"/>
    </row>
    <row r="28" spans="2:8" ht="12.75">
      <c r="B28" s="89" t="s">
        <v>252</v>
      </c>
      <c r="C28" s="89"/>
      <c r="D28" s="89"/>
      <c r="E28"/>
      <c r="F28"/>
      <c r="G28"/>
      <c r="H28"/>
    </row>
    <row r="29" spans="2:14" ht="12.75">
      <c r="B29" s="13"/>
      <c r="C29" s="80"/>
      <c r="D29" s="80"/>
      <c r="E29" s="80" t="s">
        <v>235</v>
      </c>
      <c r="F29" s="80" t="s">
        <v>236</v>
      </c>
      <c r="G29" s="80" t="s">
        <v>237</v>
      </c>
      <c r="H29" s="80" t="s">
        <v>237</v>
      </c>
      <c r="I29" s="80" t="s">
        <v>166</v>
      </c>
      <c r="J29" s="80" t="s">
        <v>162</v>
      </c>
      <c r="K29" s="80" t="s">
        <v>86</v>
      </c>
      <c r="L29" s="80" t="s">
        <v>166</v>
      </c>
      <c r="M29" s="80" t="s">
        <v>162</v>
      </c>
      <c r="N29" s="14" t="s">
        <v>86</v>
      </c>
    </row>
    <row r="30" spans="2:14" ht="14.25" customHeight="1">
      <c r="B30" s="187" t="s">
        <v>217</v>
      </c>
      <c r="C30" s="188"/>
      <c r="D30" s="188"/>
      <c r="E30" s="81" t="s">
        <v>238</v>
      </c>
      <c r="F30" s="81" t="s">
        <v>239</v>
      </c>
      <c r="G30" s="81" t="s">
        <v>240</v>
      </c>
      <c r="H30" s="81" t="s">
        <v>241</v>
      </c>
      <c r="I30" s="81" t="s">
        <v>242</v>
      </c>
      <c r="J30" s="81" t="s">
        <v>242</v>
      </c>
      <c r="K30" s="81" t="s">
        <v>243</v>
      </c>
      <c r="L30" s="81" t="s">
        <v>242</v>
      </c>
      <c r="M30" s="81" t="s">
        <v>242</v>
      </c>
      <c r="N30" s="82" t="s">
        <v>243</v>
      </c>
    </row>
    <row r="31" spans="2:14" ht="12.75" customHeight="1">
      <c r="B31" s="83" t="s">
        <v>144</v>
      </c>
      <c r="C31" s="84" t="s">
        <v>253</v>
      </c>
      <c r="D31" s="84"/>
      <c r="E31" s="84" t="s">
        <v>244</v>
      </c>
      <c r="F31" s="84" t="s">
        <v>245</v>
      </c>
      <c r="G31" s="84" t="s">
        <v>244</v>
      </c>
      <c r="H31" s="84" t="s">
        <v>246</v>
      </c>
      <c r="I31" s="84" t="s">
        <v>183</v>
      </c>
      <c r="J31" s="84" t="s">
        <v>183</v>
      </c>
      <c r="K31" s="85" t="s">
        <v>183</v>
      </c>
      <c r="L31" s="85" t="s">
        <v>247</v>
      </c>
      <c r="M31" s="85" t="s">
        <v>247</v>
      </c>
      <c r="N31" s="86" t="s">
        <v>247</v>
      </c>
    </row>
    <row r="32" spans="2:14" ht="15" customHeight="1" hidden="1">
      <c r="B32" s="179" t="s">
        <v>144</v>
      </c>
      <c r="C32" s="180" t="s">
        <v>253</v>
      </c>
      <c r="D32" s="180" t="s">
        <v>254</v>
      </c>
      <c r="E32" s="180" t="s">
        <v>187</v>
      </c>
      <c r="F32" s="180" t="s">
        <v>255</v>
      </c>
      <c r="G32" s="180" t="s">
        <v>256</v>
      </c>
      <c r="H32" s="180" t="s">
        <v>257</v>
      </c>
      <c r="I32" s="180" t="s">
        <v>198</v>
      </c>
      <c r="J32" s="180" t="s">
        <v>199</v>
      </c>
      <c r="K32" s="180" t="s">
        <v>258</v>
      </c>
      <c r="L32" s="180" t="s">
        <v>259</v>
      </c>
      <c r="M32" s="180" t="s">
        <v>260</v>
      </c>
      <c r="N32" s="181" t="s">
        <v>261</v>
      </c>
    </row>
    <row r="33" spans="2:16" ht="12.75">
      <c r="B33" s="491">
        <v>1</v>
      </c>
      <c r="C33" s="492">
        <f>(H8)</f>
        <v>38352</v>
      </c>
      <c r="D33" s="493">
        <f aca="true" t="shared" si="0" ref="D33:D57">B33</f>
        <v>1</v>
      </c>
      <c r="E33" s="552">
        <f>Calculations!B8</f>
        <v>0</v>
      </c>
      <c r="F33" s="494" t="e">
        <f aca="true" t="shared" si="1" ref="F33:F59">E33/$E$5</f>
        <v>#DIV/0!</v>
      </c>
      <c r="G33" s="552">
        <f>+E33+IF(B33&gt;$N$9,VLOOKUP(+B33-$N$9,Rollover,6),0)</f>
        <v>0</v>
      </c>
      <c r="H33" s="495" t="e">
        <f aca="true" t="shared" si="2" ref="H33:H57">+G33/$E$5</f>
        <v>#DIV/0!</v>
      </c>
      <c r="I33" s="552" t="e">
        <f>+$G33*$N$12*(1-$H$17)</f>
        <v>#DIV/0!</v>
      </c>
      <c r="J33" s="552" t="e">
        <f>+$G33*$N$13*$H$17</f>
        <v>#DIV/0!</v>
      </c>
      <c r="K33" s="552" t="e">
        <f>+J33+I33</f>
        <v>#DIV/0!</v>
      </c>
      <c r="L33" s="552" t="e">
        <f aca="true" t="shared" si="3" ref="L33:L57">+$G33*$N$8*$N$16*$N$9*(1-$H$17)</f>
        <v>#DIV/0!</v>
      </c>
      <c r="M33" s="552" t="e">
        <f aca="true" t="shared" si="4" ref="M33:M57">+$G33*$N$8*$N$17*$N$9*$H$17</f>
        <v>#DIV/0!</v>
      </c>
      <c r="N33" s="553" t="e">
        <f>+M33+L33</f>
        <v>#DIV/0!</v>
      </c>
      <c r="P33" s="209"/>
    </row>
    <row r="34" spans="2:16" ht="12.75">
      <c r="B34" s="491">
        <v>2</v>
      </c>
      <c r="C34" s="492" t="e">
        <f>[1]!Edate(C33,12)</f>
        <v>#NAME?</v>
      </c>
      <c r="D34" s="493">
        <f t="shared" si="0"/>
        <v>2</v>
      </c>
      <c r="E34" s="552">
        <f>Calculations!B11</f>
        <v>0</v>
      </c>
      <c r="F34" s="496" t="e">
        <f t="shared" si="1"/>
        <v>#DIV/0!</v>
      </c>
      <c r="G34" s="552">
        <f>+E34+IF(B34&gt;$N$9,VLOOKUP(+B34-$N$9,Rollover,6),0)</f>
        <v>0</v>
      </c>
      <c r="H34" s="495" t="e">
        <f t="shared" si="2"/>
        <v>#DIV/0!</v>
      </c>
      <c r="I34" s="552" t="e">
        <f>+$G34*$N$12*(1-$H$17)</f>
        <v>#DIV/0!</v>
      </c>
      <c r="J34" s="552" t="e">
        <f>+$G34*$N$13*$H$17</f>
        <v>#DIV/0!</v>
      </c>
      <c r="K34" s="552" t="e">
        <f>+J34+I34</f>
        <v>#DIV/0!</v>
      </c>
      <c r="L34" s="552" t="e">
        <f t="shared" si="3"/>
        <v>#DIV/0!</v>
      </c>
      <c r="M34" s="552" t="e">
        <f t="shared" si="4"/>
        <v>#DIV/0!</v>
      </c>
      <c r="N34" s="553" t="e">
        <f>+M34+L34</f>
        <v>#DIV/0!</v>
      </c>
      <c r="P34" s="209"/>
    </row>
    <row r="35" spans="2:16" ht="12.75">
      <c r="B35" s="491">
        <v>3</v>
      </c>
      <c r="C35" s="492" t="e">
        <f>[1]!Edate(C34,12)</f>
        <v>#NAME?</v>
      </c>
      <c r="D35" s="493">
        <f t="shared" si="0"/>
        <v>3</v>
      </c>
      <c r="E35" s="552">
        <f>Calculations!B14</f>
        <v>0</v>
      </c>
      <c r="F35" s="496" t="e">
        <f t="shared" si="1"/>
        <v>#DIV/0!</v>
      </c>
      <c r="G35" s="552">
        <f>+E35+IF(B35&gt;$N$9,VLOOKUP(+B35-$N$9,Rollover,6),0)</f>
        <v>0</v>
      </c>
      <c r="H35" s="495" t="e">
        <f t="shared" si="2"/>
        <v>#DIV/0!</v>
      </c>
      <c r="I35" s="552" t="e">
        <f aca="true" t="shared" si="5" ref="I35:I57">+G35*$N$12*(1-$H$17)</f>
        <v>#DIV/0!</v>
      </c>
      <c r="J35" s="552" t="e">
        <f aca="true" t="shared" si="6" ref="J35:J57">+G35*$N$13*$H$17</f>
        <v>#DIV/0!</v>
      </c>
      <c r="K35" s="552" t="e">
        <f aca="true" t="shared" si="7" ref="K35:K50">+J35+I35</f>
        <v>#DIV/0!</v>
      </c>
      <c r="L35" s="552" t="e">
        <f t="shared" si="3"/>
        <v>#DIV/0!</v>
      </c>
      <c r="M35" s="552" t="e">
        <f t="shared" si="4"/>
        <v>#DIV/0!</v>
      </c>
      <c r="N35" s="553" t="e">
        <f aca="true" t="shared" si="8" ref="N35:N50">+M35+L35</f>
        <v>#DIV/0!</v>
      </c>
      <c r="P35" s="209"/>
    </row>
    <row r="36" spans="2:16" ht="12.75">
      <c r="B36" s="491">
        <v>4</v>
      </c>
      <c r="C36" s="492" t="e">
        <f>[1]!Edate(C35,12)</f>
        <v>#NAME?</v>
      </c>
      <c r="D36" s="493">
        <f t="shared" si="0"/>
        <v>4</v>
      </c>
      <c r="E36" s="552">
        <f>Calculations!B17</f>
        <v>0</v>
      </c>
      <c r="F36" s="496" t="e">
        <f t="shared" si="1"/>
        <v>#DIV/0!</v>
      </c>
      <c r="G36" s="552">
        <f>+E36+IF(B36&gt;$N$9,VLOOKUP(+B36-$N$9,Rollover,6),0)</f>
        <v>0</v>
      </c>
      <c r="H36" s="495" t="e">
        <f t="shared" si="2"/>
        <v>#DIV/0!</v>
      </c>
      <c r="I36" s="552" t="e">
        <f t="shared" si="5"/>
        <v>#DIV/0!</v>
      </c>
      <c r="J36" s="552" t="e">
        <f t="shared" si="6"/>
        <v>#DIV/0!</v>
      </c>
      <c r="K36" s="552" t="e">
        <f t="shared" si="7"/>
        <v>#DIV/0!</v>
      </c>
      <c r="L36" s="552" t="e">
        <f t="shared" si="3"/>
        <v>#DIV/0!</v>
      </c>
      <c r="M36" s="552" t="e">
        <f t="shared" si="4"/>
        <v>#DIV/0!</v>
      </c>
      <c r="N36" s="553" t="e">
        <f t="shared" si="8"/>
        <v>#DIV/0!</v>
      </c>
      <c r="P36" s="209"/>
    </row>
    <row r="37" spans="2:16" ht="12.75">
      <c r="B37" s="491">
        <v>5</v>
      </c>
      <c r="C37" s="492" t="e">
        <f>[1]!Edate(C36,12)</f>
        <v>#NAME?</v>
      </c>
      <c r="D37" s="493">
        <f t="shared" si="0"/>
        <v>5</v>
      </c>
      <c r="E37" s="552">
        <f>Calculations!B20</f>
        <v>0</v>
      </c>
      <c r="F37" s="496" t="e">
        <f t="shared" si="1"/>
        <v>#DIV/0!</v>
      </c>
      <c r="G37" s="552">
        <f>+E37+IF(B37&gt;$N$9,VLOOKUP(+B37-$N$9,Rollover,6),0)</f>
        <v>0</v>
      </c>
      <c r="H37" s="495" t="e">
        <f t="shared" si="2"/>
        <v>#DIV/0!</v>
      </c>
      <c r="I37" s="552" t="e">
        <f t="shared" si="5"/>
        <v>#DIV/0!</v>
      </c>
      <c r="J37" s="552" t="e">
        <f t="shared" si="6"/>
        <v>#DIV/0!</v>
      </c>
      <c r="K37" s="552" t="e">
        <f t="shared" si="7"/>
        <v>#DIV/0!</v>
      </c>
      <c r="L37" s="552" t="e">
        <f t="shared" si="3"/>
        <v>#DIV/0!</v>
      </c>
      <c r="M37" s="552" t="e">
        <f t="shared" si="4"/>
        <v>#DIV/0!</v>
      </c>
      <c r="N37" s="553" t="e">
        <f t="shared" si="8"/>
        <v>#DIV/0!</v>
      </c>
      <c r="P37" s="209"/>
    </row>
    <row r="38" spans="2:16" ht="12.75">
      <c r="B38" s="491">
        <v>6</v>
      </c>
      <c r="C38" s="492" t="e">
        <f>[1]!Edate(C37,12)</f>
        <v>#NAME?</v>
      </c>
      <c r="D38" s="493">
        <f t="shared" si="0"/>
        <v>6</v>
      </c>
      <c r="E38" s="552">
        <f>Calculations!B23</f>
        <v>0</v>
      </c>
      <c r="F38" s="496" t="e">
        <f t="shared" si="1"/>
        <v>#DIV/0!</v>
      </c>
      <c r="G38" s="552">
        <f aca="true" t="shared" si="9" ref="G38:G53">+E38+IF(B38&gt;$N$9,VLOOKUP(+B38-$N$9,Rollover,6),0)</f>
        <v>0</v>
      </c>
      <c r="H38" s="495" t="e">
        <f t="shared" si="2"/>
        <v>#DIV/0!</v>
      </c>
      <c r="I38" s="552" t="e">
        <f t="shared" si="5"/>
        <v>#DIV/0!</v>
      </c>
      <c r="J38" s="552" t="e">
        <f t="shared" si="6"/>
        <v>#DIV/0!</v>
      </c>
      <c r="K38" s="552" t="e">
        <f t="shared" si="7"/>
        <v>#DIV/0!</v>
      </c>
      <c r="L38" s="552" t="e">
        <f t="shared" si="3"/>
        <v>#DIV/0!</v>
      </c>
      <c r="M38" s="552" t="e">
        <f t="shared" si="4"/>
        <v>#DIV/0!</v>
      </c>
      <c r="N38" s="553" t="e">
        <f t="shared" si="8"/>
        <v>#DIV/0!</v>
      </c>
      <c r="P38" s="209"/>
    </row>
    <row r="39" spans="2:16" ht="12.75">
      <c r="B39" s="491">
        <v>7</v>
      </c>
      <c r="C39" s="492" t="e">
        <f>[1]!Edate(C38,12)</f>
        <v>#NAME?</v>
      </c>
      <c r="D39" s="493">
        <f t="shared" si="0"/>
        <v>7</v>
      </c>
      <c r="E39" s="552">
        <f>Calculations!B26</f>
        <v>0</v>
      </c>
      <c r="F39" s="496" t="e">
        <f t="shared" si="1"/>
        <v>#DIV/0!</v>
      </c>
      <c r="G39" s="552">
        <f t="shared" si="9"/>
        <v>0</v>
      </c>
      <c r="H39" s="495" t="e">
        <f t="shared" si="2"/>
        <v>#DIV/0!</v>
      </c>
      <c r="I39" s="552" t="e">
        <f t="shared" si="5"/>
        <v>#DIV/0!</v>
      </c>
      <c r="J39" s="552" t="e">
        <f t="shared" si="6"/>
        <v>#DIV/0!</v>
      </c>
      <c r="K39" s="552" t="e">
        <f t="shared" si="7"/>
        <v>#DIV/0!</v>
      </c>
      <c r="L39" s="552" t="e">
        <f t="shared" si="3"/>
        <v>#DIV/0!</v>
      </c>
      <c r="M39" s="552" t="e">
        <f t="shared" si="4"/>
        <v>#DIV/0!</v>
      </c>
      <c r="N39" s="553" t="e">
        <f t="shared" si="8"/>
        <v>#DIV/0!</v>
      </c>
      <c r="P39" s="209"/>
    </row>
    <row r="40" spans="2:16" ht="12.75">
      <c r="B40" s="491">
        <v>8</v>
      </c>
      <c r="C40" s="492" t="e">
        <f>[1]!Edate(C39,12)</f>
        <v>#NAME?</v>
      </c>
      <c r="D40" s="493">
        <f t="shared" si="0"/>
        <v>8</v>
      </c>
      <c r="E40" s="552">
        <f>Calculations!B29</f>
        <v>0</v>
      </c>
      <c r="F40" s="496" t="e">
        <f t="shared" si="1"/>
        <v>#DIV/0!</v>
      </c>
      <c r="G40" s="552">
        <f t="shared" si="9"/>
        <v>0</v>
      </c>
      <c r="H40" s="495" t="e">
        <f t="shared" si="2"/>
        <v>#DIV/0!</v>
      </c>
      <c r="I40" s="552" t="e">
        <f t="shared" si="5"/>
        <v>#DIV/0!</v>
      </c>
      <c r="J40" s="552" t="e">
        <f t="shared" si="6"/>
        <v>#DIV/0!</v>
      </c>
      <c r="K40" s="552" t="e">
        <f t="shared" si="7"/>
        <v>#DIV/0!</v>
      </c>
      <c r="L40" s="552" t="e">
        <f t="shared" si="3"/>
        <v>#DIV/0!</v>
      </c>
      <c r="M40" s="552" t="e">
        <f t="shared" si="4"/>
        <v>#DIV/0!</v>
      </c>
      <c r="N40" s="553" t="e">
        <f t="shared" si="8"/>
        <v>#DIV/0!</v>
      </c>
      <c r="P40" s="209"/>
    </row>
    <row r="41" spans="2:16" ht="12.75">
      <c r="B41" s="491">
        <v>9</v>
      </c>
      <c r="C41" s="492" t="e">
        <f>[1]!Edate(C40,12)</f>
        <v>#NAME?</v>
      </c>
      <c r="D41" s="493">
        <f t="shared" si="0"/>
        <v>9</v>
      </c>
      <c r="E41" s="552">
        <f>Calculations!B32</f>
        <v>0</v>
      </c>
      <c r="F41" s="496" t="e">
        <f t="shared" si="1"/>
        <v>#DIV/0!</v>
      </c>
      <c r="G41" s="552">
        <f t="shared" si="9"/>
        <v>0</v>
      </c>
      <c r="H41" s="495" t="e">
        <f t="shared" si="2"/>
        <v>#DIV/0!</v>
      </c>
      <c r="I41" s="552" t="e">
        <f t="shared" si="5"/>
        <v>#DIV/0!</v>
      </c>
      <c r="J41" s="552" t="e">
        <f t="shared" si="6"/>
        <v>#DIV/0!</v>
      </c>
      <c r="K41" s="552" t="e">
        <f t="shared" si="7"/>
        <v>#DIV/0!</v>
      </c>
      <c r="L41" s="552" t="e">
        <f t="shared" si="3"/>
        <v>#DIV/0!</v>
      </c>
      <c r="M41" s="552" t="e">
        <f t="shared" si="4"/>
        <v>#DIV/0!</v>
      </c>
      <c r="N41" s="553" t="e">
        <f t="shared" si="8"/>
        <v>#DIV/0!</v>
      </c>
      <c r="P41" s="209"/>
    </row>
    <row r="42" spans="2:16" ht="12.75">
      <c r="B42" s="491">
        <v>10</v>
      </c>
      <c r="C42" s="492" t="e">
        <f>[1]!Edate(C41,12)</f>
        <v>#NAME?</v>
      </c>
      <c r="D42" s="493">
        <f t="shared" si="0"/>
        <v>10</v>
      </c>
      <c r="E42" s="552">
        <f>Calculations!B35</f>
        <v>0</v>
      </c>
      <c r="F42" s="496" t="e">
        <f t="shared" si="1"/>
        <v>#DIV/0!</v>
      </c>
      <c r="G42" s="552">
        <f t="shared" si="9"/>
        <v>0</v>
      </c>
      <c r="H42" s="495" t="e">
        <f t="shared" si="2"/>
        <v>#DIV/0!</v>
      </c>
      <c r="I42" s="552" t="e">
        <f t="shared" si="5"/>
        <v>#DIV/0!</v>
      </c>
      <c r="J42" s="552" t="e">
        <f t="shared" si="6"/>
        <v>#DIV/0!</v>
      </c>
      <c r="K42" s="552" t="e">
        <f t="shared" si="7"/>
        <v>#DIV/0!</v>
      </c>
      <c r="L42" s="552" t="e">
        <f t="shared" si="3"/>
        <v>#DIV/0!</v>
      </c>
      <c r="M42" s="552" t="e">
        <f t="shared" si="4"/>
        <v>#DIV/0!</v>
      </c>
      <c r="N42" s="553" t="e">
        <f t="shared" si="8"/>
        <v>#DIV/0!</v>
      </c>
      <c r="P42" s="209"/>
    </row>
    <row r="43" spans="2:16" ht="12.75">
      <c r="B43" s="491">
        <v>11</v>
      </c>
      <c r="C43" s="492" t="e">
        <f>[1]!Edate(C42,12)</f>
        <v>#NAME?</v>
      </c>
      <c r="D43" s="493">
        <f t="shared" si="0"/>
        <v>11</v>
      </c>
      <c r="E43" s="552">
        <f>Calculations!B38</f>
        <v>0</v>
      </c>
      <c r="F43" s="496" t="e">
        <f t="shared" si="1"/>
        <v>#DIV/0!</v>
      </c>
      <c r="G43" s="552">
        <f t="shared" si="9"/>
        <v>0</v>
      </c>
      <c r="H43" s="495" t="e">
        <f t="shared" si="2"/>
        <v>#DIV/0!</v>
      </c>
      <c r="I43" s="552" t="e">
        <f t="shared" si="5"/>
        <v>#DIV/0!</v>
      </c>
      <c r="J43" s="552" t="e">
        <f t="shared" si="6"/>
        <v>#DIV/0!</v>
      </c>
      <c r="K43" s="552" t="e">
        <f t="shared" si="7"/>
        <v>#DIV/0!</v>
      </c>
      <c r="L43" s="552" t="e">
        <f t="shared" si="3"/>
        <v>#DIV/0!</v>
      </c>
      <c r="M43" s="552" t="e">
        <f t="shared" si="4"/>
        <v>#DIV/0!</v>
      </c>
      <c r="N43" s="553" t="e">
        <f t="shared" si="8"/>
        <v>#DIV/0!</v>
      </c>
      <c r="P43" s="209"/>
    </row>
    <row r="44" spans="2:16" ht="12.75">
      <c r="B44" s="491">
        <v>12</v>
      </c>
      <c r="C44" s="492" t="e">
        <f>[1]!Edate(C43,12)</f>
        <v>#NAME?</v>
      </c>
      <c r="D44" s="493">
        <f t="shared" si="0"/>
        <v>12</v>
      </c>
      <c r="E44" s="552">
        <f>Calculations!B41</f>
        <v>0</v>
      </c>
      <c r="F44" s="496" t="e">
        <f t="shared" si="1"/>
        <v>#DIV/0!</v>
      </c>
      <c r="G44" s="552">
        <f t="shared" si="9"/>
        <v>0</v>
      </c>
      <c r="H44" s="495" t="e">
        <f t="shared" si="2"/>
        <v>#DIV/0!</v>
      </c>
      <c r="I44" s="552" t="e">
        <f t="shared" si="5"/>
        <v>#DIV/0!</v>
      </c>
      <c r="J44" s="552" t="e">
        <f t="shared" si="6"/>
        <v>#DIV/0!</v>
      </c>
      <c r="K44" s="552" t="e">
        <f t="shared" si="7"/>
        <v>#DIV/0!</v>
      </c>
      <c r="L44" s="552" t="e">
        <f t="shared" si="3"/>
        <v>#DIV/0!</v>
      </c>
      <c r="M44" s="552" t="e">
        <f t="shared" si="4"/>
        <v>#DIV/0!</v>
      </c>
      <c r="N44" s="553" t="e">
        <f t="shared" si="8"/>
        <v>#DIV/0!</v>
      </c>
      <c r="P44" s="209"/>
    </row>
    <row r="45" spans="2:16" ht="12.75">
      <c r="B45" s="491">
        <v>13</v>
      </c>
      <c r="C45" s="492" t="e">
        <f>[1]!Edate(C44,12)</f>
        <v>#NAME?</v>
      </c>
      <c r="D45" s="493">
        <f t="shared" si="0"/>
        <v>13</v>
      </c>
      <c r="E45" s="552">
        <f>Calculations!B44</f>
        <v>0</v>
      </c>
      <c r="F45" s="496" t="e">
        <f t="shared" si="1"/>
        <v>#DIV/0!</v>
      </c>
      <c r="G45" s="552">
        <f t="shared" si="9"/>
        <v>0</v>
      </c>
      <c r="H45" s="495" t="e">
        <f t="shared" si="2"/>
        <v>#DIV/0!</v>
      </c>
      <c r="I45" s="552" t="e">
        <f t="shared" si="5"/>
        <v>#DIV/0!</v>
      </c>
      <c r="J45" s="552" t="e">
        <f t="shared" si="6"/>
        <v>#DIV/0!</v>
      </c>
      <c r="K45" s="552" t="e">
        <f t="shared" si="7"/>
        <v>#DIV/0!</v>
      </c>
      <c r="L45" s="552" t="e">
        <f t="shared" si="3"/>
        <v>#DIV/0!</v>
      </c>
      <c r="M45" s="552" t="e">
        <f t="shared" si="4"/>
        <v>#DIV/0!</v>
      </c>
      <c r="N45" s="553" t="e">
        <f t="shared" si="8"/>
        <v>#DIV/0!</v>
      </c>
      <c r="P45" s="209"/>
    </row>
    <row r="46" spans="2:16" ht="12.75">
      <c r="B46" s="491">
        <v>14</v>
      </c>
      <c r="C46" s="492" t="e">
        <f>[1]!Edate(C45,12)</f>
        <v>#NAME?</v>
      </c>
      <c r="D46" s="493">
        <f t="shared" si="0"/>
        <v>14</v>
      </c>
      <c r="E46" s="552">
        <f>Calculations!B47</f>
        <v>0</v>
      </c>
      <c r="F46" s="496" t="e">
        <f t="shared" si="1"/>
        <v>#DIV/0!</v>
      </c>
      <c r="G46" s="552">
        <f t="shared" si="9"/>
        <v>0</v>
      </c>
      <c r="H46" s="495" t="e">
        <f t="shared" si="2"/>
        <v>#DIV/0!</v>
      </c>
      <c r="I46" s="552" t="e">
        <f t="shared" si="5"/>
        <v>#DIV/0!</v>
      </c>
      <c r="J46" s="552" t="e">
        <f t="shared" si="6"/>
        <v>#DIV/0!</v>
      </c>
      <c r="K46" s="552" t="e">
        <f t="shared" si="7"/>
        <v>#DIV/0!</v>
      </c>
      <c r="L46" s="552" t="e">
        <f t="shared" si="3"/>
        <v>#DIV/0!</v>
      </c>
      <c r="M46" s="552" t="e">
        <f t="shared" si="4"/>
        <v>#DIV/0!</v>
      </c>
      <c r="N46" s="553" t="e">
        <f t="shared" si="8"/>
        <v>#DIV/0!</v>
      </c>
      <c r="P46" s="209"/>
    </row>
    <row r="47" spans="2:16" ht="12.75">
      <c r="B47" s="491">
        <v>15</v>
      </c>
      <c r="C47" s="492" t="e">
        <f>[1]!Edate(C46,12)</f>
        <v>#NAME?</v>
      </c>
      <c r="D47" s="493">
        <f t="shared" si="0"/>
        <v>15</v>
      </c>
      <c r="E47" s="552">
        <f>Calculations!B50</f>
        <v>0</v>
      </c>
      <c r="F47" s="496" t="e">
        <f t="shared" si="1"/>
        <v>#DIV/0!</v>
      </c>
      <c r="G47" s="552">
        <f t="shared" si="9"/>
        <v>0</v>
      </c>
      <c r="H47" s="495" t="e">
        <f t="shared" si="2"/>
        <v>#DIV/0!</v>
      </c>
      <c r="I47" s="552" t="e">
        <f t="shared" si="5"/>
        <v>#DIV/0!</v>
      </c>
      <c r="J47" s="552" t="e">
        <f t="shared" si="6"/>
        <v>#DIV/0!</v>
      </c>
      <c r="K47" s="552" t="e">
        <f t="shared" si="7"/>
        <v>#DIV/0!</v>
      </c>
      <c r="L47" s="552" t="e">
        <f t="shared" si="3"/>
        <v>#DIV/0!</v>
      </c>
      <c r="M47" s="552" t="e">
        <f t="shared" si="4"/>
        <v>#DIV/0!</v>
      </c>
      <c r="N47" s="553" t="e">
        <f t="shared" si="8"/>
        <v>#DIV/0!</v>
      </c>
      <c r="P47" s="209"/>
    </row>
    <row r="48" spans="2:16" ht="12.75">
      <c r="B48" s="491">
        <v>16</v>
      </c>
      <c r="C48" s="492" t="e">
        <f>[1]!Edate(C47,12)</f>
        <v>#NAME?</v>
      </c>
      <c r="D48" s="493">
        <f t="shared" si="0"/>
        <v>16</v>
      </c>
      <c r="E48" s="552">
        <f>Calculations!B53</f>
        <v>0</v>
      </c>
      <c r="F48" s="496" t="e">
        <f t="shared" si="1"/>
        <v>#DIV/0!</v>
      </c>
      <c r="G48" s="552">
        <f t="shared" si="9"/>
        <v>0</v>
      </c>
      <c r="H48" s="495" t="e">
        <f t="shared" si="2"/>
        <v>#DIV/0!</v>
      </c>
      <c r="I48" s="552" t="e">
        <f t="shared" si="5"/>
        <v>#DIV/0!</v>
      </c>
      <c r="J48" s="552" t="e">
        <f t="shared" si="6"/>
        <v>#DIV/0!</v>
      </c>
      <c r="K48" s="552" t="e">
        <f t="shared" si="7"/>
        <v>#DIV/0!</v>
      </c>
      <c r="L48" s="552" t="e">
        <f t="shared" si="3"/>
        <v>#DIV/0!</v>
      </c>
      <c r="M48" s="552" t="e">
        <f t="shared" si="4"/>
        <v>#DIV/0!</v>
      </c>
      <c r="N48" s="553" t="e">
        <f t="shared" si="8"/>
        <v>#DIV/0!</v>
      </c>
      <c r="P48" s="209"/>
    </row>
    <row r="49" spans="2:16" ht="12.75">
      <c r="B49" s="491">
        <v>17</v>
      </c>
      <c r="C49" s="492" t="e">
        <f>[1]!Edate(C48,12)</f>
        <v>#NAME?</v>
      </c>
      <c r="D49" s="493">
        <f t="shared" si="0"/>
        <v>17</v>
      </c>
      <c r="E49" s="552">
        <f>Calculations!B56</f>
        <v>0</v>
      </c>
      <c r="F49" s="496" t="e">
        <f t="shared" si="1"/>
        <v>#DIV/0!</v>
      </c>
      <c r="G49" s="552">
        <f t="shared" si="9"/>
        <v>0</v>
      </c>
      <c r="H49" s="495" t="e">
        <f t="shared" si="2"/>
        <v>#DIV/0!</v>
      </c>
      <c r="I49" s="552" t="e">
        <f t="shared" si="5"/>
        <v>#DIV/0!</v>
      </c>
      <c r="J49" s="552" t="e">
        <f t="shared" si="6"/>
        <v>#DIV/0!</v>
      </c>
      <c r="K49" s="552" t="e">
        <f t="shared" si="7"/>
        <v>#DIV/0!</v>
      </c>
      <c r="L49" s="552" t="e">
        <f t="shared" si="3"/>
        <v>#DIV/0!</v>
      </c>
      <c r="M49" s="552" t="e">
        <f t="shared" si="4"/>
        <v>#DIV/0!</v>
      </c>
      <c r="N49" s="553" t="e">
        <f t="shared" si="8"/>
        <v>#DIV/0!</v>
      </c>
      <c r="P49" s="209"/>
    </row>
    <row r="50" spans="2:16" ht="12.75">
      <c r="B50" s="491">
        <v>18</v>
      </c>
      <c r="C50" s="492" t="e">
        <f>[1]!Edate(C49,12)</f>
        <v>#NAME?</v>
      </c>
      <c r="D50" s="493">
        <f t="shared" si="0"/>
        <v>18</v>
      </c>
      <c r="E50" s="552">
        <f>Calculations!B59</f>
        <v>0</v>
      </c>
      <c r="F50" s="496" t="e">
        <f t="shared" si="1"/>
        <v>#DIV/0!</v>
      </c>
      <c r="G50" s="552">
        <f t="shared" si="9"/>
        <v>0</v>
      </c>
      <c r="H50" s="495" t="e">
        <f t="shared" si="2"/>
        <v>#DIV/0!</v>
      </c>
      <c r="I50" s="552" t="e">
        <f t="shared" si="5"/>
        <v>#DIV/0!</v>
      </c>
      <c r="J50" s="552" t="e">
        <f t="shared" si="6"/>
        <v>#DIV/0!</v>
      </c>
      <c r="K50" s="552" t="e">
        <f t="shared" si="7"/>
        <v>#DIV/0!</v>
      </c>
      <c r="L50" s="552" t="e">
        <f t="shared" si="3"/>
        <v>#DIV/0!</v>
      </c>
      <c r="M50" s="552" t="e">
        <f t="shared" si="4"/>
        <v>#DIV/0!</v>
      </c>
      <c r="N50" s="553" t="e">
        <f t="shared" si="8"/>
        <v>#DIV/0!</v>
      </c>
      <c r="P50" s="209"/>
    </row>
    <row r="51" spans="2:16" ht="12.75">
      <c r="B51" s="491">
        <v>19</v>
      </c>
      <c r="C51" s="492" t="e">
        <f>[1]!Edate(C50,12)</f>
        <v>#NAME?</v>
      </c>
      <c r="D51" s="493">
        <f t="shared" si="0"/>
        <v>19</v>
      </c>
      <c r="E51" s="552">
        <f>Calculations!B62</f>
        <v>0</v>
      </c>
      <c r="F51" s="496" t="e">
        <f t="shared" si="1"/>
        <v>#DIV/0!</v>
      </c>
      <c r="G51" s="552">
        <f t="shared" si="9"/>
        <v>0</v>
      </c>
      <c r="H51" s="495" t="e">
        <f t="shared" si="2"/>
        <v>#DIV/0!</v>
      </c>
      <c r="I51" s="552" t="e">
        <f t="shared" si="5"/>
        <v>#DIV/0!</v>
      </c>
      <c r="J51" s="552" t="e">
        <f t="shared" si="6"/>
        <v>#DIV/0!</v>
      </c>
      <c r="K51" s="552" t="e">
        <f aca="true" t="shared" si="10" ref="K51:K57">+J51+I51</f>
        <v>#DIV/0!</v>
      </c>
      <c r="L51" s="552" t="e">
        <f t="shared" si="3"/>
        <v>#DIV/0!</v>
      </c>
      <c r="M51" s="552" t="e">
        <f t="shared" si="4"/>
        <v>#DIV/0!</v>
      </c>
      <c r="N51" s="553" t="e">
        <f aca="true" t="shared" si="11" ref="N51:N57">+M51+L51</f>
        <v>#DIV/0!</v>
      </c>
      <c r="P51" s="209"/>
    </row>
    <row r="52" spans="2:16" ht="12.75">
      <c r="B52" s="491">
        <v>20</v>
      </c>
      <c r="C52" s="492" t="e">
        <f>[1]!Edate(C51,12)</f>
        <v>#NAME?</v>
      </c>
      <c r="D52" s="493">
        <f t="shared" si="0"/>
        <v>20</v>
      </c>
      <c r="E52" s="552">
        <f>Calculations!B65</f>
        <v>0</v>
      </c>
      <c r="F52" s="496" t="e">
        <f t="shared" si="1"/>
        <v>#DIV/0!</v>
      </c>
      <c r="G52" s="552">
        <f t="shared" si="9"/>
        <v>0</v>
      </c>
      <c r="H52" s="495" t="e">
        <f t="shared" si="2"/>
        <v>#DIV/0!</v>
      </c>
      <c r="I52" s="552" t="e">
        <f t="shared" si="5"/>
        <v>#DIV/0!</v>
      </c>
      <c r="J52" s="552" t="e">
        <f t="shared" si="6"/>
        <v>#DIV/0!</v>
      </c>
      <c r="K52" s="552" t="e">
        <f t="shared" si="10"/>
        <v>#DIV/0!</v>
      </c>
      <c r="L52" s="552" t="e">
        <f t="shared" si="3"/>
        <v>#DIV/0!</v>
      </c>
      <c r="M52" s="552" t="e">
        <f t="shared" si="4"/>
        <v>#DIV/0!</v>
      </c>
      <c r="N52" s="553" t="e">
        <f t="shared" si="11"/>
        <v>#DIV/0!</v>
      </c>
      <c r="P52" s="209"/>
    </row>
    <row r="53" spans="2:16" ht="12.75">
      <c r="B53" s="491">
        <v>21</v>
      </c>
      <c r="C53" s="492" t="e">
        <f>[1]!Edate(C52,12)</f>
        <v>#NAME?</v>
      </c>
      <c r="D53" s="493">
        <f t="shared" si="0"/>
        <v>21</v>
      </c>
      <c r="E53" s="552">
        <f>Calculations!B68</f>
        <v>0</v>
      </c>
      <c r="F53" s="496" t="e">
        <f t="shared" si="1"/>
        <v>#DIV/0!</v>
      </c>
      <c r="G53" s="552">
        <f t="shared" si="9"/>
        <v>0</v>
      </c>
      <c r="H53" s="495" t="e">
        <f t="shared" si="2"/>
        <v>#DIV/0!</v>
      </c>
      <c r="I53" s="552" t="e">
        <f t="shared" si="5"/>
        <v>#DIV/0!</v>
      </c>
      <c r="J53" s="552" t="e">
        <f t="shared" si="6"/>
        <v>#DIV/0!</v>
      </c>
      <c r="K53" s="552" t="e">
        <f t="shared" si="10"/>
        <v>#DIV/0!</v>
      </c>
      <c r="L53" s="552" t="e">
        <f t="shared" si="3"/>
        <v>#DIV/0!</v>
      </c>
      <c r="M53" s="552" t="e">
        <f t="shared" si="4"/>
        <v>#DIV/0!</v>
      </c>
      <c r="N53" s="553" t="e">
        <f t="shared" si="11"/>
        <v>#DIV/0!</v>
      </c>
      <c r="P53" s="209"/>
    </row>
    <row r="54" spans="2:16" ht="12.75">
      <c r="B54" s="491">
        <v>22</v>
      </c>
      <c r="C54" s="492" t="e">
        <f>[1]!Edate(C53,12)</f>
        <v>#NAME?</v>
      </c>
      <c r="D54" s="493">
        <f t="shared" si="0"/>
        <v>22</v>
      </c>
      <c r="E54" s="552">
        <f>Calculations!B71</f>
        <v>0</v>
      </c>
      <c r="F54" s="496" t="e">
        <f t="shared" si="1"/>
        <v>#DIV/0!</v>
      </c>
      <c r="G54" s="552">
        <f>+E54+IF(B54&gt;$N$9,VLOOKUP(+B54-$N$9,Rollover,6),0)</f>
        <v>0</v>
      </c>
      <c r="H54" s="495" t="e">
        <f t="shared" si="2"/>
        <v>#DIV/0!</v>
      </c>
      <c r="I54" s="552" t="e">
        <f t="shared" si="5"/>
        <v>#DIV/0!</v>
      </c>
      <c r="J54" s="552" t="e">
        <f t="shared" si="6"/>
        <v>#DIV/0!</v>
      </c>
      <c r="K54" s="552" t="e">
        <f t="shared" si="10"/>
        <v>#DIV/0!</v>
      </c>
      <c r="L54" s="552" t="e">
        <f t="shared" si="3"/>
        <v>#DIV/0!</v>
      </c>
      <c r="M54" s="552" t="e">
        <f t="shared" si="4"/>
        <v>#DIV/0!</v>
      </c>
      <c r="N54" s="553" t="e">
        <f t="shared" si="11"/>
        <v>#DIV/0!</v>
      </c>
      <c r="P54" s="209"/>
    </row>
    <row r="55" spans="2:16" ht="12.75">
      <c r="B55" s="491">
        <v>23</v>
      </c>
      <c r="C55" s="492" t="e">
        <f>[1]!Edate(C54,12)</f>
        <v>#NAME?</v>
      </c>
      <c r="D55" s="493">
        <f t="shared" si="0"/>
        <v>23</v>
      </c>
      <c r="E55" s="552">
        <f>Calculations!B74</f>
        <v>0</v>
      </c>
      <c r="F55" s="496" t="e">
        <f t="shared" si="1"/>
        <v>#DIV/0!</v>
      </c>
      <c r="G55" s="552">
        <f>+E55+IF(B55&gt;$N$9,VLOOKUP(+B55-$N$9,Rollover,6),0)</f>
        <v>0</v>
      </c>
      <c r="H55" s="495" t="e">
        <f t="shared" si="2"/>
        <v>#DIV/0!</v>
      </c>
      <c r="I55" s="552" t="e">
        <f t="shared" si="5"/>
        <v>#DIV/0!</v>
      </c>
      <c r="J55" s="552" t="e">
        <f t="shared" si="6"/>
        <v>#DIV/0!</v>
      </c>
      <c r="K55" s="552" t="e">
        <f t="shared" si="10"/>
        <v>#DIV/0!</v>
      </c>
      <c r="L55" s="552" t="e">
        <f t="shared" si="3"/>
        <v>#DIV/0!</v>
      </c>
      <c r="M55" s="552" t="e">
        <f t="shared" si="4"/>
        <v>#DIV/0!</v>
      </c>
      <c r="N55" s="553" t="e">
        <f t="shared" si="11"/>
        <v>#DIV/0!</v>
      </c>
      <c r="P55" s="209"/>
    </row>
    <row r="56" spans="2:16" ht="12.75">
      <c r="B56" s="491">
        <v>24</v>
      </c>
      <c r="C56" s="492" t="e">
        <f>[1]!Edate(C55,12)</f>
        <v>#NAME?</v>
      </c>
      <c r="D56" s="493">
        <f t="shared" si="0"/>
        <v>24</v>
      </c>
      <c r="E56" s="552">
        <f>Calculations!B77</f>
        <v>0</v>
      </c>
      <c r="F56" s="496" t="e">
        <f t="shared" si="1"/>
        <v>#DIV/0!</v>
      </c>
      <c r="G56" s="552">
        <f>+E56+IF(B56&gt;$N$9,VLOOKUP(+B56-$N$9,Rollover,6),0)</f>
        <v>0</v>
      </c>
      <c r="H56" s="495" t="e">
        <f t="shared" si="2"/>
        <v>#DIV/0!</v>
      </c>
      <c r="I56" s="552" t="e">
        <f t="shared" si="5"/>
        <v>#DIV/0!</v>
      </c>
      <c r="J56" s="552" t="e">
        <f t="shared" si="6"/>
        <v>#DIV/0!</v>
      </c>
      <c r="K56" s="552" t="e">
        <f t="shared" si="10"/>
        <v>#DIV/0!</v>
      </c>
      <c r="L56" s="552" t="e">
        <f t="shared" si="3"/>
        <v>#DIV/0!</v>
      </c>
      <c r="M56" s="552" t="e">
        <f t="shared" si="4"/>
        <v>#DIV/0!</v>
      </c>
      <c r="N56" s="553" t="e">
        <f t="shared" si="11"/>
        <v>#DIV/0!</v>
      </c>
      <c r="P56" s="209"/>
    </row>
    <row r="57" spans="2:16" ht="12.75">
      <c r="B57" s="491">
        <v>25</v>
      </c>
      <c r="C57" s="492" t="e">
        <f>[1]!Edate(C56,12)</f>
        <v>#NAME?</v>
      </c>
      <c r="D57" s="493">
        <f t="shared" si="0"/>
        <v>25</v>
      </c>
      <c r="E57" s="554">
        <f>Calculations!B80</f>
        <v>0</v>
      </c>
      <c r="F57" s="497" t="e">
        <f t="shared" si="1"/>
        <v>#DIV/0!</v>
      </c>
      <c r="G57" s="552">
        <f>+E57+IF(B57&gt;$N$9,VLOOKUP(+B57-$N$9,Rollover,6),0)</f>
        <v>0</v>
      </c>
      <c r="H57" s="498" t="e">
        <f t="shared" si="2"/>
        <v>#DIV/0!</v>
      </c>
      <c r="I57" s="554" t="e">
        <f t="shared" si="5"/>
        <v>#DIV/0!</v>
      </c>
      <c r="J57" s="554" t="e">
        <f t="shared" si="6"/>
        <v>#DIV/0!</v>
      </c>
      <c r="K57" s="554" t="e">
        <f t="shared" si="10"/>
        <v>#DIV/0!</v>
      </c>
      <c r="L57" s="554" t="e">
        <f t="shared" si="3"/>
        <v>#DIV/0!</v>
      </c>
      <c r="M57" s="554" t="e">
        <f t="shared" si="4"/>
        <v>#DIV/0!</v>
      </c>
      <c r="N57" s="555" t="e">
        <f t="shared" si="11"/>
        <v>#DIV/0!</v>
      </c>
      <c r="P57" s="209"/>
    </row>
    <row r="58" spans="2:14" ht="12.75">
      <c r="B58" s="499" t="s">
        <v>262</v>
      </c>
      <c r="C58" s="500"/>
      <c r="D58" s="500"/>
      <c r="E58" s="556">
        <f>AVERAGE(E33:E43)</f>
        <v>0</v>
      </c>
      <c r="F58" s="501" t="e">
        <f t="shared" si="1"/>
        <v>#DIV/0!</v>
      </c>
      <c r="G58" s="556">
        <f>AVERAGE(G33:G43)</f>
        <v>0</v>
      </c>
      <c r="H58" s="501" t="e">
        <f>G58/$E$5</f>
        <v>#DIV/0!</v>
      </c>
      <c r="I58" s="556" t="e">
        <f aca="true" t="shared" si="12" ref="I58:N58">AVERAGE(I33:I43)</f>
        <v>#DIV/0!</v>
      </c>
      <c r="J58" s="556" t="e">
        <f t="shared" si="12"/>
        <v>#DIV/0!</v>
      </c>
      <c r="K58" s="556" t="e">
        <f t="shared" si="12"/>
        <v>#DIV/0!</v>
      </c>
      <c r="L58" s="556" t="e">
        <f t="shared" si="12"/>
        <v>#DIV/0!</v>
      </c>
      <c r="M58" s="556" t="e">
        <f t="shared" si="12"/>
        <v>#DIV/0!</v>
      </c>
      <c r="N58" s="557" t="e">
        <f t="shared" si="12"/>
        <v>#DIV/0!</v>
      </c>
    </row>
    <row r="59" spans="2:14" ht="12.75">
      <c r="B59" s="502" t="s">
        <v>263</v>
      </c>
      <c r="C59" s="503"/>
      <c r="D59" s="503"/>
      <c r="E59" s="554">
        <f>SUM(E33:E57)</f>
        <v>0</v>
      </c>
      <c r="F59" s="497" t="e">
        <f t="shared" si="1"/>
        <v>#DIV/0!</v>
      </c>
      <c r="G59" s="554">
        <f>SUM(G33:G57)</f>
        <v>0</v>
      </c>
      <c r="H59" s="497" t="e">
        <f>SUM(H33:H57)</f>
        <v>#DIV/0!</v>
      </c>
      <c r="I59" s="558" t="e">
        <f aca="true" t="shared" si="13" ref="I59:N59">SUM(I33:I57)</f>
        <v>#DIV/0!</v>
      </c>
      <c r="J59" s="558" t="e">
        <f t="shared" si="13"/>
        <v>#DIV/0!</v>
      </c>
      <c r="K59" s="558" t="e">
        <f t="shared" si="13"/>
        <v>#DIV/0!</v>
      </c>
      <c r="L59" s="558" t="e">
        <f t="shared" si="13"/>
        <v>#DIV/0!</v>
      </c>
      <c r="M59" s="558" t="e">
        <f t="shared" si="13"/>
        <v>#DIV/0!</v>
      </c>
      <c r="N59" s="559" t="e">
        <f t="shared" si="13"/>
        <v>#DIV/0!</v>
      </c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  <row r="62" spans="3:4" ht="12.75">
      <c r="C62" s="189"/>
      <c r="D62" s="189"/>
    </row>
    <row r="64" spans="2:4" ht="12.75">
      <c r="B64"/>
      <c r="C64"/>
      <c r="D64"/>
    </row>
    <row r="65" spans="2:7" ht="12.75">
      <c r="B65" s="94"/>
      <c r="C65" s="94"/>
      <c r="D65" s="94"/>
      <c r="E65" s="136"/>
      <c r="F65" s="136"/>
      <c r="G65" s="136"/>
    </row>
    <row r="66" spans="2:7" ht="12.75">
      <c r="B66" s="94"/>
      <c r="C66" s="94"/>
      <c r="D66" s="94"/>
      <c r="E66" s="136"/>
      <c r="F66" s="136"/>
      <c r="G66" s="136"/>
    </row>
    <row r="67" spans="2:7" ht="12.75">
      <c r="B67" s="94"/>
      <c r="C67" s="94"/>
      <c r="D67" s="94"/>
      <c r="E67" s="136"/>
      <c r="F67" s="136"/>
      <c r="G67" s="136"/>
    </row>
    <row r="68" spans="2:7" ht="12.75">
      <c r="B68" s="94"/>
      <c r="C68" s="94"/>
      <c r="D68" s="94"/>
      <c r="E68" s="136"/>
      <c r="F68" s="136"/>
      <c r="G68" s="136"/>
    </row>
    <row r="69" spans="2:7" ht="12.75">
      <c r="B69" s="94"/>
      <c r="C69" s="94"/>
      <c r="D69" s="94"/>
      <c r="E69" s="136"/>
      <c r="F69" s="136"/>
      <c r="G69" s="136"/>
    </row>
    <row r="70" spans="2:7" ht="12.75">
      <c r="B70" s="94"/>
      <c r="C70" s="94"/>
      <c r="D70" s="94"/>
      <c r="E70" s="136"/>
      <c r="F70" s="136"/>
      <c r="G70" s="136"/>
    </row>
    <row r="71" spans="2:7" ht="12.75">
      <c r="B71" s="94"/>
      <c r="C71" s="94"/>
      <c r="D71" s="94"/>
      <c r="E71" s="136"/>
      <c r="F71" s="136"/>
      <c r="G71" s="136"/>
    </row>
    <row r="72" spans="2:7" ht="12.75">
      <c r="B72" s="94"/>
      <c r="C72" s="94"/>
      <c r="D72" s="94"/>
      <c r="E72" s="136"/>
      <c r="F72" s="136"/>
      <c r="G72" s="136"/>
    </row>
    <row r="73" spans="2:7" ht="12.75">
      <c r="B73" s="94"/>
      <c r="C73" s="94"/>
      <c r="D73" s="94"/>
      <c r="E73" s="136"/>
      <c r="F73" s="136"/>
      <c r="G73" s="136"/>
    </row>
    <row r="74" spans="2:7" ht="12.75">
      <c r="B74" s="94"/>
      <c r="C74" s="94"/>
      <c r="D74" s="94"/>
      <c r="E74" s="136"/>
      <c r="F74" s="136"/>
      <c r="G74" s="136"/>
    </row>
    <row r="75" spans="2:7" ht="12.75">
      <c r="B75" s="94"/>
      <c r="C75" s="94"/>
      <c r="D75" s="94"/>
      <c r="E75" s="136"/>
      <c r="F75" s="136"/>
      <c r="G75" s="136"/>
    </row>
    <row r="76" spans="2:7" ht="12.75">
      <c r="B76" s="94"/>
      <c r="C76" s="94"/>
      <c r="D76" s="94"/>
      <c r="E76" s="136"/>
      <c r="F76" s="136"/>
      <c r="G76" s="136"/>
    </row>
    <row r="77" spans="2:7" ht="12.75">
      <c r="B77" s="94"/>
      <c r="C77" s="94"/>
      <c r="D77" s="94"/>
      <c r="E77" s="136"/>
      <c r="F77" s="136"/>
      <c r="G77" s="136"/>
    </row>
    <row r="78" spans="2:7" ht="12.75">
      <c r="B78" s="94"/>
      <c r="C78" s="94"/>
      <c r="D78" s="94"/>
      <c r="E78" s="136"/>
      <c r="F78" s="136"/>
      <c r="G78" s="136"/>
    </row>
    <row r="79" spans="2:7" ht="12.75">
      <c r="B79" s="94"/>
      <c r="C79" s="94"/>
      <c r="D79" s="94"/>
      <c r="E79" s="136"/>
      <c r="F79" s="136"/>
      <c r="G79" s="136"/>
    </row>
    <row r="80" spans="2:7" ht="12.75">
      <c r="B80" s="94"/>
      <c r="C80" s="94"/>
      <c r="D80" s="94"/>
      <c r="E80" s="136"/>
      <c r="F80" s="136"/>
      <c r="G80" s="136"/>
    </row>
    <row r="81" spans="2:7" ht="12.75">
      <c r="B81" s="94"/>
      <c r="C81" s="94"/>
      <c r="D81" s="94"/>
      <c r="E81" s="136"/>
      <c r="F81" s="136"/>
      <c r="G81" s="136"/>
    </row>
    <row r="82" spans="2:7" ht="12.75">
      <c r="B82" s="94"/>
      <c r="C82" s="94"/>
      <c r="D82" s="94"/>
      <c r="E82" s="136"/>
      <c r="F82" s="136"/>
      <c r="G82" s="136"/>
    </row>
    <row r="83" spans="2:7" ht="12.75">
      <c r="B83" s="94"/>
      <c r="C83" s="94"/>
      <c r="D83" s="94"/>
      <c r="E83" s="136"/>
      <c r="F83" s="136"/>
      <c r="G83" s="136"/>
    </row>
    <row r="84" spans="2:7" ht="12.75">
      <c r="B84" s="94"/>
      <c r="C84" s="94"/>
      <c r="D84" s="94"/>
      <c r="E84" s="136"/>
      <c r="F84" s="136"/>
      <c r="G84" s="136"/>
    </row>
    <row r="85" spans="2:7" ht="12.75">
      <c r="B85" s="94"/>
      <c r="C85" s="94"/>
      <c r="D85" s="94"/>
      <c r="E85" s="136"/>
      <c r="F85" s="136"/>
      <c r="G85" s="136"/>
    </row>
    <row r="86" spans="2:7" ht="12.75">
      <c r="B86" s="94"/>
      <c r="C86" s="94"/>
      <c r="D86" s="94"/>
      <c r="E86" s="136"/>
      <c r="F86" s="136"/>
      <c r="G86" s="136"/>
    </row>
    <row r="87" spans="2:7" ht="12.75">
      <c r="B87" s="94"/>
      <c r="C87" s="94"/>
      <c r="D87" s="94"/>
      <c r="E87" s="136"/>
      <c r="F87" s="136"/>
      <c r="G87" s="136"/>
    </row>
    <row r="88" spans="2:7" ht="12.75">
      <c r="B88" s="94"/>
      <c r="C88" s="94"/>
      <c r="D88" s="94"/>
      <c r="E88" s="136"/>
      <c r="F88" s="136"/>
      <c r="G88" s="136"/>
    </row>
    <row r="89" spans="2:7" ht="12.75">
      <c r="B89" s="94"/>
      <c r="C89" s="94"/>
      <c r="D89" s="94"/>
      <c r="E89" s="136"/>
      <c r="F89" s="136"/>
      <c r="G89" s="136"/>
    </row>
    <row r="90" spans="2:6" ht="12.75">
      <c r="B90" s="94"/>
      <c r="C90" s="94"/>
      <c r="D90" s="94"/>
      <c r="E90" s="87"/>
      <c r="F90" s="87"/>
    </row>
    <row r="91" spans="2:4" ht="12.75">
      <c r="B91" s="94"/>
      <c r="C91" s="94"/>
      <c r="D91" s="94"/>
    </row>
  </sheetData>
  <printOptions horizontalCentered="1"/>
  <pageMargins left="0.22" right="0.27" top="0.35" bottom="0.34" header="0.23" footer="0.24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workbookViewId="0" topLeftCell="A32">
      <selection activeCell="A1" sqref="A1"/>
    </sheetView>
  </sheetViews>
  <sheetFormatPr defaultColWidth="9.33203125" defaultRowHeight="12.75"/>
  <cols>
    <col min="1" max="1" width="25.33203125" style="0" customWidth="1"/>
  </cols>
  <sheetData>
    <row r="2" spans="1:2" ht="12.75">
      <c r="A2" t="s">
        <v>264</v>
      </c>
      <c r="B2" t="s">
        <v>265</v>
      </c>
    </row>
    <row r="3" spans="1:2" ht="12.75">
      <c r="A3" t="s">
        <v>266</v>
      </c>
      <c r="B3" t="s">
        <v>267</v>
      </c>
    </row>
    <row r="4" spans="1:2" ht="12.75">
      <c r="A4" t="s">
        <v>268</v>
      </c>
      <c r="B4" t="s">
        <v>269</v>
      </c>
    </row>
    <row r="5" spans="1:2" ht="12.75">
      <c r="A5" t="s">
        <v>270</v>
      </c>
      <c r="B5" t="s">
        <v>271</v>
      </c>
    </row>
    <row r="6" spans="1:2" ht="12.75">
      <c r="A6" t="s">
        <v>272</v>
      </c>
      <c r="B6" t="s">
        <v>273</v>
      </c>
    </row>
    <row r="7" spans="1:2" ht="12.75">
      <c r="A7" t="s">
        <v>274</v>
      </c>
      <c r="B7" t="s">
        <v>275</v>
      </c>
    </row>
    <row r="8" spans="1:2" ht="12.75">
      <c r="A8" t="s">
        <v>276</v>
      </c>
      <c r="B8" t="s">
        <v>277</v>
      </c>
    </row>
    <row r="9" spans="1:2" ht="12.75">
      <c r="A9" t="s">
        <v>278</v>
      </c>
      <c r="B9" t="s">
        <v>279</v>
      </c>
    </row>
    <row r="10" spans="1:2" ht="12.75">
      <c r="A10" t="s">
        <v>280</v>
      </c>
      <c r="B10" t="s">
        <v>281</v>
      </c>
    </row>
    <row r="11" spans="1:2" ht="12.75">
      <c r="A11" t="s">
        <v>282</v>
      </c>
      <c r="B11" t="s">
        <v>283</v>
      </c>
    </row>
    <row r="12" spans="1:2" ht="12.75">
      <c r="A12" t="s">
        <v>284</v>
      </c>
      <c r="B12" t="s">
        <v>285</v>
      </c>
    </row>
    <row r="13" spans="1:2" ht="12.75">
      <c r="A13" t="s">
        <v>286</v>
      </c>
      <c r="B13" t="s">
        <v>287</v>
      </c>
    </row>
    <row r="14" spans="1:2" ht="12.75">
      <c r="A14" t="s">
        <v>176</v>
      </c>
      <c r="B14" t="s">
        <v>288</v>
      </c>
    </row>
    <row r="15" spans="1:2" ht="12.75">
      <c r="A15" t="s">
        <v>289</v>
      </c>
      <c r="B15" t="s">
        <v>290</v>
      </c>
    </row>
    <row r="16" spans="1:2" ht="12.75">
      <c r="A16" t="s">
        <v>150</v>
      </c>
      <c r="B16" t="s">
        <v>291</v>
      </c>
    </row>
    <row r="17" spans="1:2" ht="12.75">
      <c r="A17" t="s">
        <v>292</v>
      </c>
      <c r="B17" t="s">
        <v>293</v>
      </c>
    </row>
    <row r="18" spans="1:2" ht="12.75">
      <c r="A18" t="s">
        <v>240</v>
      </c>
      <c r="B18" t="s">
        <v>294</v>
      </c>
    </row>
    <row r="19" spans="1:2" ht="12.75">
      <c r="A19" t="s">
        <v>295</v>
      </c>
      <c r="B19" t="s">
        <v>296</v>
      </c>
    </row>
    <row r="20" spans="1:2" ht="12.75">
      <c r="A20" t="s">
        <v>297</v>
      </c>
      <c r="B20" t="s">
        <v>298</v>
      </c>
    </row>
    <row r="21" spans="1:2" ht="12.75">
      <c r="A21" t="s">
        <v>299</v>
      </c>
      <c r="B21" t="s">
        <v>300</v>
      </c>
    </row>
    <row r="22" spans="1:2" ht="12.75">
      <c r="A22" t="s">
        <v>301</v>
      </c>
      <c r="B22" t="s">
        <v>302</v>
      </c>
    </row>
    <row r="23" spans="1:2" ht="12.75">
      <c r="A23" t="s">
        <v>303</v>
      </c>
      <c r="B23" t="s">
        <v>304</v>
      </c>
    </row>
    <row r="24" spans="1:2" ht="12.75">
      <c r="A24" t="s">
        <v>305</v>
      </c>
      <c r="B24" t="s">
        <v>306</v>
      </c>
    </row>
    <row r="25" spans="1:2" ht="12.75">
      <c r="A25" t="s">
        <v>307</v>
      </c>
      <c r="B25" t="s">
        <v>308</v>
      </c>
    </row>
    <row r="26" spans="1:2" ht="12.75">
      <c r="A26" t="s">
        <v>309</v>
      </c>
      <c r="B26" t="s">
        <v>310</v>
      </c>
    </row>
    <row r="27" spans="1:2" ht="12.75">
      <c r="A27" t="s">
        <v>311</v>
      </c>
      <c r="B27" t="s">
        <v>312</v>
      </c>
    </row>
    <row r="28" spans="1:2" ht="12.75">
      <c r="A28" t="s">
        <v>313</v>
      </c>
      <c r="B28" t="s">
        <v>314</v>
      </c>
    </row>
    <row r="29" spans="1:2" ht="12.75">
      <c r="A29" t="s">
        <v>315</v>
      </c>
      <c r="B29" t="s">
        <v>316</v>
      </c>
    </row>
    <row r="30" spans="1:2" ht="12.75">
      <c r="A30" t="s">
        <v>317</v>
      </c>
      <c r="B30" t="s">
        <v>318</v>
      </c>
    </row>
    <row r="31" spans="1:2" ht="12.75">
      <c r="A31" t="s">
        <v>319</v>
      </c>
      <c r="B31" t="s">
        <v>320</v>
      </c>
    </row>
    <row r="32" spans="1:2" ht="12.75">
      <c r="A32" t="s">
        <v>321</v>
      </c>
      <c r="B32" t="s">
        <v>322</v>
      </c>
    </row>
    <row r="33" spans="1:2" ht="12.75">
      <c r="A33" t="s">
        <v>323</v>
      </c>
      <c r="B33" t="s">
        <v>324</v>
      </c>
    </row>
    <row r="34" spans="1:2" ht="12.75">
      <c r="A34" t="s">
        <v>325</v>
      </c>
      <c r="B34" t="s">
        <v>326</v>
      </c>
    </row>
    <row r="35" spans="1:2" ht="12.75">
      <c r="A35" t="s">
        <v>327</v>
      </c>
      <c r="B35" t="s">
        <v>328</v>
      </c>
    </row>
    <row r="36" spans="1:2" ht="12.75">
      <c r="A36" t="s">
        <v>329</v>
      </c>
      <c r="B36" t="s">
        <v>330</v>
      </c>
    </row>
    <row r="37" spans="1:2" ht="12.75">
      <c r="A37" t="s">
        <v>331</v>
      </c>
      <c r="B37" t="s">
        <v>332</v>
      </c>
    </row>
    <row r="38" spans="1:2" ht="12.75">
      <c r="A38" t="s">
        <v>333</v>
      </c>
      <c r="B38" t="s">
        <v>334</v>
      </c>
    </row>
    <row r="39" spans="1:2" ht="12.75">
      <c r="A39" t="s">
        <v>335</v>
      </c>
      <c r="B39" t="s">
        <v>336</v>
      </c>
    </row>
    <row r="40" spans="1:2" ht="12.75">
      <c r="A40" t="s">
        <v>337</v>
      </c>
      <c r="B40" t="s">
        <v>338</v>
      </c>
    </row>
    <row r="41" spans="1:2" ht="12.75">
      <c r="A41" t="s">
        <v>339</v>
      </c>
      <c r="B41" t="s">
        <v>340</v>
      </c>
    </row>
    <row r="42" spans="1:2" ht="12.75">
      <c r="A42" t="s">
        <v>341</v>
      </c>
      <c r="B42" t="s">
        <v>342</v>
      </c>
    </row>
    <row r="43" spans="1:2" ht="12.75">
      <c r="A43" t="s">
        <v>343</v>
      </c>
      <c r="B43" t="s">
        <v>344</v>
      </c>
    </row>
    <row r="44" spans="1:2" ht="12.75">
      <c r="A44" t="s">
        <v>345</v>
      </c>
      <c r="B44" t="s">
        <v>346</v>
      </c>
    </row>
    <row r="45" spans="1:2" ht="12.75">
      <c r="A45" t="s">
        <v>347</v>
      </c>
      <c r="B45" t="s">
        <v>348</v>
      </c>
    </row>
    <row r="46" spans="1:2" ht="12.75">
      <c r="A46" t="s">
        <v>349</v>
      </c>
      <c r="B46" t="s">
        <v>350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workbookViewId="0" topLeftCell="D15">
      <selection activeCell="G27" sqref="G27"/>
    </sheetView>
  </sheetViews>
  <sheetFormatPr defaultColWidth="9.33203125" defaultRowHeight="12.75"/>
  <cols>
    <col min="2" max="2" width="11.83203125" style="0" customWidth="1"/>
    <col min="12" max="12" width="12" style="0" customWidth="1"/>
    <col min="13" max="13" width="10.66015625" style="0" customWidth="1"/>
    <col min="16" max="16" width="10" style="0" customWidth="1"/>
    <col min="17" max="17" width="10.16015625" style="0" customWidth="1"/>
    <col min="27" max="27" width="11.16015625" style="0" customWidth="1"/>
  </cols>
  <sheetData>
    <row r="1" spans="1:13" ht="12.75">
      <c r="A1" s="89" t="s">
        <v>351</v>
      </c>
      <c r="L1" s="166" t="s">
        <v>2</v>
      </c>
      <c r="M1" s="165">
        <f ca="1">NOW()</f>
        <v>41043.64981782407</v>
      </c>
    </row>
    <row r="2" spans="1:13" ht="12.75">
      <c r="A2" t="s">
        <v>352</v>
      </c>
      <c r="B2" t="s">
        <v>353</v>
      </c>
      <c r="L2" s="166" t="s">
        <v>74</v>
      </c>
      <c r="M2" s="165">
        <f>'Commercial Sizing'!L3</f>
        <v>36923</v>
      </c>
    </row>
    <row r="3" ht="12.75">
      <c r="B3" t="s">
        <v>354</v>
      </c>
    </row>
    <row r="4" ht="12.75">
      <c r="B4" t="s">
        <v>355</v>
      </c>
    </row>
    <row r="6" spans="1:10" ht="12.75">
      <c r="A6" s="139" t="s">
        <v>356</v>
      </c>
      <c r="B6" s="140"/>
      <c r="C6" s="140"/>
      <c r="D6" s="140"/>
      <c r="E6" s="141"/>
      <c r="G6" s="89" t="s">
        <v>357</v>
      </c>
      <c r="H6" s="89"/>
      <c r="I6" s="89"/>
      <c r="J6" s="89"/>
    </row>
    <row r="7" spans="1:11" ht="12.75">
      <c r="A7" s="154" t="s">
        <v>144</v>
      </c>
      <c r="B7" s="144" t="s">
        <v>358</v>
      </c>
      <c r="C7" s="139" t="s">
        <v>359</v>
      </c>
      <c r="D7" s="140"/>
      <c r="E7" s="141"/>
      <c r="G7" s="89" t="s">
        <v>217</v>
      </c>
      <c r="J7">
        <f>TI_LC!H9</f>
        <v>10</v>
      </c>
      <c r="K7" t="s">
        <v>360</v>
      </c>
    </row>
    <row r="8" spans="1:5" ht="12.75">
      <c r="A8" s="155">
        <f>D9</f>
        <v>1</v>
      </c>
      <c r="B8" s="152">
        <f>DSUM(Rentroll,"Leased SF",Year1)</f>
        <v>0</v>
      </c>
      <c r="C8" s="145" t="s">
        <v>361</v>
      </c>
      <c r="D8" s="132" t="s">
        <v>186</v>
      </c>
      <c r="E8" s="132" t="s">
        <v>187</v>
      </c>
    </row>
    <row r="9" spans="1:20" ht="12.75">
      <c r="A9" s="156"/>
      <c r="B9" s="150"/>
      <c r="C9" s="146" t="s">
        <v>362</v>
      </c>
      <c r="D9" s="134">
        <f>TI_LC!B33</f>
        <v>1</v>
      </c>
      <c r="E9" s="134"/>
      <c r="G9" t="s">
        <v>361</v>
      </c>
      <c r="H9" s="144" t="s">
        <v>144</v>
      </c>
      <c r="I9" s="144" t="s">
        <v>253</v>
      </c>
      <c r="J9" s="163" t="s">
        <v>254</v>
      </c>
      <c r="K9" s="163" t="s">
        <v>187</v>
      </c>
      <c r="L9" s="163" t="s">
        <v>255</v>
      </c>
      <c r="M9" s="163" t="s">
        <v>256</v>
      </c>
      <c r="N9" s="163" t="s">
        <v>257</v>
      </c>
      <c r="O9" s="163" t="s">
        <v>198</v>
      </c>
      <c r="P9" s="163" t="s">
        <v>199</v>
      </c>
      <c r="Q9" s="163" t="s">
        <v>258</v>
      </c>
      <c r="R9" s="163" t="s">
        <v>259</v>
      </c>
      <c r="S9" s="163" t="s">
        <v>260</v>
      </c>
      <c r="T9" s="163" t="s">
        <v>261</v>
      </c>
    </row>
    <row r="10" spans="1:20" ht="12.75">
      <c r="A10" s="156"/>
      <c r="B10" s="150"/>
      <c r="C10" s="146"/>
      <c r="D10" s="147"/>
      <c r="E10" s="148"/>
      <c r="G10" t="s">
        <v>363</v>
      </c>
      <c r="H10" s="134" t="str">
        <f>CONCATENATE("&lt;=",VALUE($J$7))</f>
        <v>&lt;=10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1:5" ht="12.75">
      <c r="A11" s="156">
        <f>D12</f>
        <v>2</v>
      </c>
      <c r="B11" s="153">
        <f>DSUM(Rentroll,"Leased SF",Year2)</f>
        <v>0</v>
      </c>
      <c r="C11" s="146" t="s">
        <v>361</v>
      </c>
      <c r="D11" s="132" t="s">
        <v>186</v>
      </c>
      <c r="E11" s="132" t="s">
        <v>187</v>
      </c>
    </row>
    <row r="12" spans="1:7" ht="12.75">
      <c r="A12" s="156"/>
      <c r="B12" s="150"/>
      <c r="C12" s="146" t="s">
        <v>362</v>
      </c>
      <c r="D12" s="134">
        <f>VALUE(TI_LC!B34)</f>
        <v>2</v>
      </c>
      <c r="E12" s="134"/>
      <c r="G12" s="89" t="s">
        <v>364</v>
      </c>
    </row>
    <row r="13" spans="1:26" ht="12.75">
      <c r="A13" s="156"/>
      <c r="B13" s="150"/>
      <c r="C13" s="146"/>
      <c r="D13" s="147"/>
      <c r="E13" s="148"/>
      <c r="G13" t="s">
        <v>361</v>
      </c>
      <c r="H13" s="174" t="s">
        <v>174</v>
      </c>
      <c r="I13" s="174" t="s">
        <v>189</v>
      </c>
      <c r="J13" s="174" t="s">
        <v>190</v>
      </c>
      <c r="K13" s="174" t="s">
        <v>168</v>
      </c>
      <c r="L13" s="174" t="s">
        <v>191</v>
      </c>
      <c r="M13" s="174" t="s">
        <v>192</v>
      </c>
      <c r="N13" s="174" t="s">
        <v>169</v>
      </c>
      <c r="O13" s="174" t="s">
        <v>193</v>
      </c>
      <c r="P13" s="174" t="s">
        <v>194</v>
      </c>
      <c r="Q13" s="174" t="s">
        <v>195</v>
      </c>
      <c r="R13" s="174" t="s">
        <v>196</v>
      </c>
      <c r="S13" s="174" t="s">
        <v>197</v>
      </c>
      <c r="T13" s="174" t="s">
        <v>198</v>
      </c>
      <c r="U13" s="174" t="s">
        <v>199</v>
      </c>
      <c r="V13" s="174" t="s">
        <v>200</v>
      </c>
      <c r="W13" s="174" t="s">
        <v>365</v>
      </c>
      <c r="X13" s="144" t="s">
        <v>186</v>
      </c>
      <c r="Y13" s="144" t="s">
        <v>187</v>
      </c>
      <c r="Z13" s="175" t="s">
        <v>188</v>
      </c>
    </row>
    <row r="14" spans="1:26" ht="12.75">
      <c r="A14" s="156">
        <f>D15</f>
        <v>3</v>
      </c>
      <c r="B14" s="153">
        <f>DSUM(Rentroll,"Leased SF",Year3)</f>
        <v>0</v>
      </c>
      <c r="C14" s="146" t="s">
        <v>361</v>
      </c>
      <c r="D14" s="132" t="s">
        <v>186</v>
      </c>
      <c r="E14" s="132" t="s">
        <v>187</v>
      </c>
      <c r="G14" t="s">
        <v>363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 t="str">
        <f>CONCATENATE("&lt;=",VALUE(TI_LC!H8+TI_LC!H9-1))</f>
        <v>&lt;=38361</v>
      </c>
      <c r="Y14" s="134"/>
      <c r="Z14" s="134"/>
    </row>
    <row r="15" spans="1:5" ht="12.75">
      <c r="A15" s="156"/>
      <c r="B15" s="150"/>
      <c r="C15" s="146" t="s">
        <v>362</v>
      </c>
      <c r="D15" s="134">
        <f>VALUE(TI_LC!B35)</f>
        <v>3</v>
      </c>
      <c r="E15" s="134"/>
    </row>
    <row r="16" spans="1:7" ht="12.75">
      <c r="A16" s="156"/>
      <c r="B16" s="150"/>
      <c r="C16" s="146"/>
      <c r="D16" s="147"/>
      <c r="E16" s="148"/>
      <c r="G16" s="89" t="s">
        <v>366</v>
      </c>
    </row>
    <row r="17" spans="1:26" ht="12.75">
      <c r="A17" s="156">
        <f>D18</f>
        <v>4</v>
      </c>
      <c r="B17" s="153">
        <f>DSUM(Rentroll,"Leased SF",Year4)</f>
        <v>0</v>
      </c>
      <c r="C17" s="146" t="s">
        <v>361</v>
      </c>
      <c r="D17" s="132" t="s">
        <v>186</v>
      </c>
      <c r="E17" s="132" t="s">
        <v>187</v>
      </c>
      <c r="G17" t="s">
        <v>361</v>
      </c>
      <c r="H17" s="174" t="s">
        <v>174</v>
      </c>
      <c r="I17" s="174" t="s">
        <v>189</v>
      </c>
      <c r="J17" s="174" t="s">
        <v>190</v>
      </c>
      <c r="K17" s="174" t="s">
        <v>168</v>
      </c>
      <c r="L17" s="174" t="s">
        <v>191</v>
      </c>
      <c r="M17" s="174" t="s">
        <v>192</v>
      </c>
      <c r="N17" s="174" t="s">
        <v>169</v>
      </c>
      <c r="O17" s="174" t="s">
        <v>193</v>
      </c>
      <c r="P17" s="174" t="s">
        <v>194</v>
      </c>
      <c r="Q17" s="174" t="s">
        <v>195</v>
      </c>
      <c r="R17" s="174" t="s">
        <v>196</v>
      </c>
      <c r="S17" s="174" t="s">
        <v>197</v>
      </c>
      <c r="T17" s="174" t="s">
        <v>198</v>
      </c>
      <c r="U17" s="174" t="s">
        <v>199</v>
      </c>
      <c r="V17" s="174" t="s">
        <v>200</v>
      </c>
      <c r="W17" s="174" t="s">
        <v>365</v>
      </c>
      <c r="X17" s="144" t="s">
        <v>186</v>
      </c>
      <c r="Y17" s="144" t="s">
        <v>187</v>
      </c>
      <c r="Z17" s="175" t="s">
        <v>188</v>
      </c>
    </row>
    <row r="18" spans="1:26" ht="12.75">
      <c r="A18" s="156"/>
      <c r="B18" s="150"/>
      <c r="C18" s="146" t="s">
        <v>362</v>
      </c>
      <c r="D18" s="134">
        <f>VALUE(TI_LC!B36)</f>
        <v>4</v>
      </c>
      <c r="E18" s="134"/>
      <c r="G18" t="s">
        <v>363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 t="str">
        <f>CONCATENATE("&lt;=",VALUE(TI_LC!H8+TI_LC!H9-1))</f>
        <v>&lt;=38361</v>
      </c>
      <c r="Y18" s="134"/>
      <c r="Z18" s="134"/>
    </row>
    <row r="19" spans="1:5" ht="12.75">
      <c r="A19" s="156"/>
      <c r="B19" s="150"/>
      <c r="C19" s="146"/>
      <c r="D19" s="147"/>
      <c r="E19" s="148"/>
    </row>
    <row r="20" spans="1:5" ht="12.75">
      <c r="A20" s="156">
        <f>D21</f>
        <v>5</v>
      </c>
      <c r="B20" s="153">
        <f>DSUM(Rentroll,"Leased SF",Year5)</f>
        <v>0</v>
      </c>
      <c r="C20" s="146" t="s">
        <v>361</v>
      </c>
      <c r="D20" s="132" t="s">
        <v>186</v>
      </c>
      <c r="E20" s="132" t="s">
        <v>187</v>
      </c>
    </row>
    <row r="21" spans="1:10" ht="12.75">
      <c r="A21" s="156"/>
      <c r="B21" s="150"/>
      <c r="C21" s="146" t="s">
        <v>362</v>
      </c>
      <c r="D21" s="134">
        <f>VALUE(TI_LC!B37)</f>
        <v>5</v>
      </c>
      <c r="E21" s="134"/>
      <c r="I21" s="419" t="s">
        <v>367</v>
      </c>
      <c r="J21">
        <v>2</v>
      </c>
    </row>
    <row r="22" spans="1:9" ht="12.75">
      <c r="A22" s="156"/>
      <c r="B22" s="150"/>
      <c r="C22" s="146"/>
      <c r="D22" s="147"/>
      <c r="E22" s="148"/>
      <c r="I22" s="419" t="s">
        <v>368</v>
      </c>
    </row>
    <row r="23" spans="1:5" ht="12.75">
      <c r="A23" s="156">
        <f>D24</f>
        <v>6</v>
      </c>
      <c r="B23" s="153">
        <f>DSUM(Rentroll,"Leased SF",Year6)</f>
        <v>0</v>
      </c>
      <c r="C23" s="146" t="s">
        <v>361</v>
      </c>
      <c r="D23" s="132" t="s">
        <v>186</v>
      </c>
      <c r="E23" s="132" t="s">
        <v>187</v>
      </c>
    </row>
    <row r="24" spans="1:5" ht="12.75">
      <c r="A24" s="156"/>
      <c r="B24" s="150"/>
      <c r="C24" s="146" t="s">
        <v>362</v>
      </c>
      <c r="D24" s="134">
        <f>VALUE(TI_LC!B38)</f>
        <v>6</v>
      </c>
      <c r="E24" s="134"/>
    </row>
    <row r="25" spans="1:5" ht="12.75">
      <c r="A25" s="156"/>
      <c r="B25" s="150"/>
      <c r="C25" s="146"/>
      <c r="D25" s="147"/>
      <c r="E25" s="148"/>
    </row>
    <row r="26" spans="1:5" ht="12.75">
      <c r="A26" s="156">
        <f>D27</f>
        <v>7</v>
      </c>
      <c r="B26" s="153">
        <f>DSUM(Rentroll,"Leased SF",Year7)</f>
        <v>0</v>
      </c>
      <c r="C26" s="146" t="s">
        <v>361</v>
      </c>
      <c r="D26" s="132" t="s">
        <v>186</v>
      </c>
      <c r="E26" s="132" t="s">
        <v>187</v>
      </c>
    </row>
    <row r="27" spans="1:7" ht="12.75">
      <c r="A27" s="156"/>
      <c r="B27" s="150"/>
      <c r="C27" s="146" t="s">
        <v>362</v>
      </c>
      <c r="D27" s="134">
        <f>VALUE(TI_LC!B39)</f>
        <v>7</v>
      </c>
      <c r="E27" s="134"/>
      <c r="G27" s="89"/>
    </row>
    <row r="28" spans="1:5" ht="12.75">
      <c r="A28" s="156"/>
      <c r="B28" s="150"/>
      <c r="C28" s="146"/>
      <c r="D28" s="147"/>
      <c r="E28" s="148"/>
    </row>
    <row r="29" spans="1:5" ht="12.75">
      <c r="A29" s="156">
        <f>D30</f>
        <v>8</v>
      </c>
      <c r="B29" s="153">
        <f>DSUM(Rentroll,"Leased SF",year8)</f>
        <v>0</v>
      </c>
      <c r="C29" s="146" t="s">
        <v>361</v>
      </c>
      <c r="D29" s="132" t="s">
        <v>186</v>
      </c>
      <c r="E29" s="132" t="s">
        <v>187</v>
      </c>
    </row>
    <row r="30" spans="1:5" ht="12.75">
      <c r="A30" s="156"/>
      <c r="B30" s="150"/>
      <c r="C30" s="146" t="s">
        <v>362</v>
      </c>
      <c r="D30" s="134">
        <f>VALUE(TI_LC!B40)</f>
        <v>8</v>
      </c>
      <c r="E30" s="134"/>
    </row>
    <row r="31" spans="1:5" ht="12.75">
      <c r="A31" s="156"/>
      <c r="B31" s="150"/>
      <c r="C31" s="146"/>
      <c r="D31" s="147"/>
      <c r="E31" s="148"/>
    </row>
    <row r="32" spans="1:5" ht="12.75">
      <c r="A32" s="156">
        <f>D33</f>
        <v>9</v>
      </c>
      <c r="B32" s="153">
        <f>DSUM(Rentroll,"Leased SF",year9)</f>
        <v>0</v>
      </c>
      <c r="C32" s="146" t="s">
        <v>361</v>
      </c>
      <c r="D32" s="132" t="s">
        <v>186</v>
      </c>
      <c r="E32" s="132" t="s">
        <v>187</v>
      </c>
    </row>
    <row r="33" spans="1:5" ht="12.75">
      <c r="A33" s="156"/>
      <c r="B33" s="150"/>
      <c r="C33" s="146" t="s">
        <v>362</v>
      </c>
      <c r="D33" s="134">
        <f>VALUE(TI_LC!B41)</f>
        <v>9</v>
      </c>
      <c r="E33" s="134"/>
    </row>
    <row r="34" spans="1:5" ht="12.75">
      <c r="A34" s="156"/>
      <c r="B34" s="150"/>
      <c r="C34" s="146"/>
      <c r="D34" s="147"/>
      <c r="E34" s="148"/>
    </row>
    <row r="35" spans="1:5" ht="12.75">
      <c r="A35" s="156">
        <f>D36</f>
        <v>10</v>
      </c>
      <c r="B35" s="153">
        <f>DSUM(Rentroll,"Leased SF",year10)</f>
        <v>0</v>
      </c>
      <c r="C35" s="146" t="s">
        <v>361</v>
      </c>
      <c r="D35" s="132" t="s">
        <v>186</v>
      </c>
      <c r="E35" s="132" t="s">
        <v>187</v>
      </c>
    </row>
    <row r="36" spans="1:5" ht="12.75">
      <c r="A36" s="156"/>
      <c r="B36" s="150"/>
      <c r="C36" s="146" t="s">
        <v>362</v>
      </c>
      <c r="D36" s="134">
        <f>VALUE(TI_LC!B42)</f>
        <v>10</v>
      </c>
      <c r="E36" s="134"/>
    </row>
    <row r="37" spans="1:5" ht="12.75">
      <c r="A37" s="156"/>
      <c r="B37" s="150"/>
      <c r="C37" s="146"/>
      <c r="D37" s="147"/>
      <c r="E37" s="148"/>
    </row>
    <row r="38" spans="1:5" ht="12.75">
      <c r="A38" s="156">
        <f>D39</f>
        <v>11</v>
      </c>
      <c r="B38" s="153">
        <f>DSUM(Rentroll,"Leased SF",year11)</f>
        <v>0</v>
      </c>
      <c r="C38" s="146" t="s">
        <v>361</v>
      </c>
      <c r="D38" s="132" t="s">
        <v>186</v>
      </c>
      <c r="E38" s="132" t="s">
        <v>187</v>
      </c>
    </row>
    <row r="39" spans="1:5" ht="12.75">
      <c r="A39" s="156"/>
      <c r="B39" s="150"/>
      <c r="C39" s="146" t="s">
        <v>362</v>
      </c>
      <c r="D39" s="134">
        <f>VALUE(TI_LC!B43)</f>
        <v>11</v>
      </c>
      <c r="E39" s="134"/>
    </row>
    <row r="40" spans="1:5" ht="12.75">
      <c r="A40" s="156"/>
      <c r="B40" s="150"/>
      <c r="C40" s="146"/>
      <c r="D40" s="147"/>
      <c r="E40" s="148"/>
    </row>
    <row r="41" spans="1:5" ht="12.75">
      <c r="A41" s="156">
        <f>D42</f>
        <v>12</v>
      </c>
      <c r="B41" s="153">
        <f>DSUM(Rentroll,"Leased SF",year12)</f>
        <v>0</v>
      </c>
      <c r="C41" s="146" t="s">
        <v>361</v>
      </c>
      <c r="D41" s="132" t="s">
        <v>186</v>
      </c>
      <c r="E41" s="132" t="s">
        <v>187</v>
      </c>
    </row>
    <row r="42" spans="1:5" ht="12.75">
      <c r="A42" s="156"/>
      <c r="B42" s="150"/>
      <c r="C42" s="146" t="s">
        <v>362</v>
      </c>
      <c r="D42" s="134">
        <f>VALUE(TI_LC!B44)</f>
        <v>12</v>
      </c>
      <c r="E42" s="134"/>
    </row>
    <row r="43" spans="1:5" ht="12.75">
      <c r="A43" s="156"/>
      <c r="B43" s="150"/>
      <c r="C43" s="146"/>
      <c r="D43" s="147"/>
      <c r="E43" s="148"/>
    </row>
    <row r="44" spans="1:5" ht="12.75">
      <c r="A44" s="156">
        <f>D45</f>
        <v>13</v>
      </c>
      <c r="B44" s="153">
        <f>DSUM(Rentroll,"Leased SF",year13)</f>
        <v>0</v>
      </c>
      <c r="C44" s="146" t="s">
        <v>361</v>
      </c>
      <c r="D44" s="132" t="s">
        <v>186</v>
      </c>
      <c r="E44" s="132" t="s">
        <v>187</v>
      </c>
    </row>
    <row r="45" spans="1:5" ht="12.75">
      <c r="A45" s="156"/>
      <c r="B45" s="150"/>
      <c r="C45" s="146" t="s">
        <v>362</v>
      </c>
      <c r="D45" s="134">
        <f>VALUE(TI_LC!B45)</f>
        <v>13</v>
      </c>
      <c r="E45" s="134"/>
    </row>
    <row r="46" spans="1:5" ht="12.75">
      <c r="A46" s="156"/>
      <c r="B46" s="150"/>
      <c r="C46" s="146"/>
      <c r="D46" s="147"/>
      <c r="E46" s="148"/>
    </row>
    <row r="47" spans="1:5" ht="12.75">
      <c r="A47" s="156">
        <f>D48</f>
        <v>14</v>
      </c>
      <c r="B47" s="153">
        <f>DSUM(Rentroll,"Leased SF",year14)</f>
        <v>0</v>
      </c>
      <c r="C47" s="146" t="s">
        <v>361</v>
      </c>
      <c r="D47" s="132" t="s">
        <v>186</v>
      </c>
      <c r="E47" s="132" t="s">
        <v>187</v>
      </c>
    </row>
    <row r="48" spans="1:5" ht="12.75">
      <c r="A48" s="156"/>
      <c r="B48" s="150"/>
      <c r="C48" s="146" t="s">
        <v>362</v>
      </c>
      <c r="D48" s="134">
        <f>VALUE(TI_LC!B46)</f>
        <v>14</v>
      </c>
      <c r="E48" s="134"/>
    </row>
    <row r="49" spans="1:5" ht="12.75">
      <c r="A49" s="156"/>
      <c r="B49" s="150"/>
      <c r="C49" s="146"/>
      <c r="D49" s="147"/>
      <c r="E49" s="148"/>
    </row>
    <row r="50" spans="1:5" ht="12.75">
      <c r="A50" s="156">
        <f>D51</f>
        <v>15</v>
      </c>
      <c r="B50" s="153">
        <f>DSUM(Rentroll,"Leased SF",year15)</f>
        <v>0</v>
      </c>
      <c r="C50" s="146" t="s">
        <v>361</v>
      </c>
      <c r="D50" s="132" t="s">
        <v>186</v>
      </c>
      <c r="E50" s="132" t="s">
        <v>187</v>
      </c>
    </row>
    <row r="51" spans="1:5" ht="12.75">
      <c r="A51" s="156"/>
      <c r="B51" s="150"/>
      <c r="C51" s="146" t="s">
        <v>362</v>
      </c>
      <c r="D51" s="134">
        <f>VALUE(TI_LC!B47)</f>
        <v>15</v>
      </c>
      <c r="E51" s="134"/>
    </row>
    <row r="52" spans="1:5" ht="12.75">
      <c r="A52" s="156"/>
      <c r="B52" s="150"/>
      <c r="C52" s="146"/>
      <c r="D52" s="147"/>
      <c r="E52" s="148"/>
    </row>
    <row r="53" spans="1:5" ht="12.75">
      <c r="A53" s="156">
        <f>D54</f>
        <v>16</v>
      </c>
      <c r="B53" s="153">
        <f>DSUM(Rentroll,"Leased SF",year16)</f>
        <v>0</v>
      </c>
      <c r="C53" s="146" t="s">
        <v>361</v>
      </c>
      <c r="D53" s="132" t="s">
        <v>186</v>
      </c>
      <c r="E53" s="132" t="s">
        <v>187</v>
      </c>
    </row>
    <row r="54" spans="1:5" ht="12.75">
      <c r="A54" s="156"/>
      <c r="B54" s="150"/>
      <c r="C54" s="146" t="s">
        <v>362</v>
      </c>
      <c r="D54" s="134">
        <f>VALUE(TI_LC!B48)</f>
        <v>16</v>
      </c>
      <c r="E54" s="134"/>
    </row>
    <row r="55" spans="1:5" ht="12.75">
      <c r="A55" s="156"/>
      <c r="B55" s="150"/>
      <c r="C55" s="146"/>
      <c r="D55" s="147"/>
      <c r="E55" s="148"/>
    </row>
    <row r="56" spans="1:5" ht="12.75">
      <c r="A56" s="156">
        <f>D57</f>
        <v>17</v>
      </c>
      <c r="B56" s="153">
        <f>DSUM(Rentroll,"Leased SF",year17)</f>
        <v>0</v>
      </c>
      <c r="C56" s="146" t="s">
        <v>361</v>
      </c>
      <c r="D56" s="132" t="s">
        <v>186</v>
      </c>
      <c r="E56" s="132" t="s">
        <v>187</v>
      </c>
    </row>
    <row r="57" spans="1:5" ht="12.75">
      <c r="A57" s="156"/>
      <c r="B57" s="150"/>
      <c r="C57" s="146" t="s">
        <v>362</v>
      </c>
      <c r="D57" s="134">
        <f>VALUE(TI_LC!B49)</f>
        <v>17</v>
      </c>
      <c r="E57" s="134"/>
    </row>
    <row r="58" spans="1:5" ht="12.75">
      <c r="A58" s="156"/>
      <c r="B58" s="150"/>
      <c r="C58" s="146"/>
      <c r="D58" s="147"/>
      <c r="E58" s="148"/>
    </row>
    <row r="59" spans="1:5" ht="12.75">
      <c r="A59" s="156">
        <f>D60</f>
        <v>18</v>
      </c>
      <c r="B59" s="153">
        <f>DSUM(Rentroll,"Leased SF",year18)</f>
        <v>0</v>
      </c>
      <c r="C59" s="146" t="s">
        <v>361</v>
      </c>
      <c r="D59" s="132" t="s">
        <v>186</v>
      </c>
      <c r="E59" s="132" t="s">
        <v>187</v>
      </c>
    </row>
    <row r="60" spans="1:5" ht="12.75">
      <c r="A60" s="156"/>
      <c r="B60" s="150"/>
      <c r="C60" s="146" t="s">
        <v>362</v>
      </c>
      <c r="D60" s="134">
        <f>VALUE(TI_LC!B50)</f>
        <v>18</v>
      </c>
      <c r="E60" s="134"/>
    </row>
    <row r="61" spans="1:5" ht="12.75">
      <c r="A61" s="156"/>
      <c r="B61" s="150"/>
      <c r="C61" s="146"/>
      <c r="D61" s="147"/>
      <c r="E61" s="148"/>
    </row>
    <row r="62" spans="1:5" ht="12.75">
      <c r="A62" s="156">
        <f>D63</f>
        <v>19</v>
      </c>
      <c r="B62" s="153">
        <f>DSUM(Rentroll,"Leased SF",year19)</f>
        <v>0</v>
      </c>
      <c r="C62" s="146" t="s">
        <v>361</v>
      </c>
      <c r="D62" s="132" t="s">
        <v>186</v>
      </c>
      <c r="E62" s="132" t="s">
        <v>187</v>
      </c>
    </row>
    <row r="63" spans="1:5" ht="12.75">
      <c r="A63" s="156"/>
      <c r="B63" s="150"/>
      <c r="C63" s="146" t="s">
        <v>362</v>
      </c>
      <c r="D63" s="134">
        <f>VALUE(TI_LC!B51)</f>
        <v>19</v>
      </c>
      <c r="E63" s="134"/>
    </row>
    <row r="64" spans="1:5" ht="12.75">
      <c r="A64" s="156"/>
      <c r="B64" s="150"/>
      <c r="C64" s="146"/>
      <c r="D64" s="147"/>
      <c r="E64" s="148"/>
    </row>
    <row r="65" spans="1:5" ht="12.75">
      <c r="A65" s="156">
        <f>D66</f>
        <v>20</v>
      </c>
      <c r="B65" s="153">
        <f>DSUM(Rentroll,"Leased SF",year20)</f>
        <v>0</v>
      </c>
      <c r="C65" s="146" t="s">
        <v>361</v>
      </c>
      <c r="D65" s="132" t="s">
        <v>186</v>
      </c>
      <c r="E65" s="132" t="s">
        <v>187</v>
      </c>
    </row>
    <row r="66" spans="1:5" ht="12.75">
      <c r="A66" s="156"/>
      <c r="B66" s="150"/>
      <c r="C66" s="149" t="s">
        <v>362</v>
      </c>
      <c r="D66" s="134">
        <f>VALUE(TI_LC!B52)</f>
        <v>20</v>
      </c>
      <c r="E66" s="134"/>
    </row>
    <row r="67" spans="1:5" ht="12.75">
      <c r="A67" s="156"/>
      <c r="B67" s="150"/>
      <c r="C67" s="146"/>
      <c r="D67" s="147"/>
      <c r="E67" s="148"/>
    </row>
    <row r="68" spans="1:5" ht="12.75">
      <c r="A68" s="156">
        <f>D69</f>
        <v>21</v>
      </c>
      <c r="B68" s="153">
        <f>DSUM(Rentroll,"Leased SF",Year21)</f>
        <v>0</v>
      </c>
      <c r="C68" s="146" t="s">
        <v>361</v>
      </c>
      <c r="D68" s="132" t="s">
        <v>186</v>
      </c>
      <c r="E68" s="132" t="s">
        <v>187</v>
      </c>
    </row>
    <row r="69" spans="1:5" ht="12.75">
      <c r="A69" s="156"/>
      <c r="B69" s="150"/>
      <c r="C69" s="146" t="s">
        <v>362</v>
      </c>
      <c r="D69" s="134">
        <f>VALUE(TI_LC!B53)</f>
        <v>21</v>
      </c>
      <c r="E69" s="134"/>
    </row>
    <row r="70" spans="1:5" ht="12.75">
      <c r="A70" s="156"/>
      <c r="B70" s="150"/>
      <c r="C70" s="146"/>
      <c r="D70" s="147"/>
      <c r="E70" s="148"/>
    </row>
    <row r="71" spans="1:5" ht="12.75">
      <c r="A71" s="156">
        <f>D72</f>
        <v>22</v>
      </c>
      <c r="B71" s="153">
        <f>DSUM(Rentroll,"Leased SF",Year22)</f>
        <v>0</v>
      </c>
      <c r="C71" s="146" t="s">
        <v>361</v>
      </c>
      <c r="D71" s="132" t="s">
        <v>186</v>
      </c>
      <c r="E71" s="132" t="s">
        <v>187</v>
      </c>
    </row>
    <row r="72" spans="1:5" ht="12.75">
      <c r="A72" s="156"/>
      <c r="B72" s="150"/>
      <c r="C72" s="146" t="s">
        <v>362</v>
      </c>
      <c r="D72" s="134">
        <f>VALUE(TI_LC!B54)</f>
        <v>22</v>
      </c>
      <c r="E72" s="134"/>
    </row>
    <row r="73" spans="1:5" ht="12.75">
      <c r="A73" s="156"/>
      <c r="B73" s="150"/>
      <c r="C73" s="146"/>
      <c r="D73" s="147"/>
      <c r="E73" s="148"/>
    </row>
    <row r="74" spans="1:5" ht="12.75">
      <c r="A74" s="156">
        <f>D75</f>
        <v>23</v>
      </c>
      <c r="B74" s="153">
        <f>DSUM(Rentroll,"Leased SF",year23)</f>
        <v>0</v>
      </c>
      <c r="C74" s="146" t="s">
        <v>361</v>
      </c>
      <c r="D74" s="132" t="s">
        <v>186</v>
      </c>
      <c r="E74" s="132" t="s">
        <v>187</v>
      </c>
    </row>
    <row r="75" spans="1:5" ht="12.75">
      <c r="A75" s="156"/>
      <c r="B75" s="150"/>
      <c r="C75" s="146" t="s">
        <v>362</v>
      </c>
      <c r="D75" s="134">
        <f>VALUE(TI_LC!B55)</f>
        <v>23</v>
      </c>
      <c r="E75" s="134"/>
    </row>
    <row r="76" spans="1:5" ht="12.75">
      <c r="A76" s="156"/>
      <c r="B76" s="150"/>
      <c r="C76" s="146"/>
      <c r="D76" s="147"/>
      <c r="E76" s="148"/>
    </row>
    <row r="77" spans="1:5" ht="12.75">
      <c r="A77" s="156">
        <f>D78</f>
        <v>24</v>
      </c>
      <c r="B77" s="153">
        <f>DSUM(Rentroll,"Leased SF",year24)</f>
        <v>0</v>
      </c>
      <c r="C77" s="146" t="s">
        <v>361</v>
      </c>
      <c r="D77" s="132" t="s">
        <v>186</v>
      </c>
      <c r="E77" s="132" t="s">
        <v>187</v>
      </c>
    </row>
    <row r="78" spans="1:5" ht="12.75">
      <c r="A78" s="156"/>
      <c r="B78" s="150"/>
      <c r="C78" s="146" t="s">
        <v>362</v>
      </c>
      <c r="D78" s="134">
        <f>VALUE(TI_LC!B56)</f>
        <v>24</v>
      </c>
      <c r="E78" s="134"/>
    </row>
    <row r="79" spans="1:5" ht="12.75">
      <c r="A79" s="156"/>
      <c r="B79" s="150"/>
      <c r="C79" s="146"/>
      <c r="D79" s="147"/>
      <c r="E79" s="148"/>
    </row>
    <row r="80" spans="1:5" ht="12.75">
      <c r="A80" s="156">
        <f>D81</f>
        <v>25</v>
      </c>
      <c r="B80" s="153">
        <f>DSUM(Rentroll,"Leased SF",year25)</f>
        <v>0</v>
      </c>
      <c r="C80" s="146" t="s">
        <v>361</v>
      </c>
      <c r="D80" s="132" t="s">
        <v>186</v>
      </c>
      <c r="E80" s="132" t="s">
        <v>187</v>
      </c>
    </row>
    <row r="81" spans="1:5" ht="12.75">
      <c r="A81" s="157"/>
      <c r="B81" s="151"/>
      <c r="C81" s="149" t="s">
        <v>362</v>
      </c>
      <c r="D81" s="134">
        <f>VALUE(TI_LC!B57)</f>
        <v>25</v>
      </c>
      <c r="E81" s="134"/>
    </row>
  </sheetData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2:M315"/>
  <sheetViews>
    <sheetView workbookViewId="0" topLeftCell="A1">
      <selection activeCell="G190" sqref="G190"/>
    </sheetView>
  </sheetViews>
  <sheetFormatPr defaultColWidth="9.33203125" defaultRowHeight="12.75"/>
  <cols>
    <col min="1" max="2" width="2.5" style="0" customWidth="1"/>
    <col min="3" max="3" width="11.66015625" style="0" customWidth="1"/>
    <col min="4" max="4" width="13.16015625" style="0" customWidth="1"/>
    <col min="5" max="5" width="14.16015625" style="0" customWidth="1"/>
    <col min="6" max="6" width="13" style="0" customWidth="1"/>
    <col min="7" max="7" width="13.33203125" style="0" customWidth="1"/>
    <col min="8" max="8" width="13.83203125" style="0" customWidth="1"/>
    <col min="9" max="9" width="13.5" style="0" customWidth="1"/>
    <col min="13" max="13" width="13.83203125" style="0" customWidth="1"/>
  </cols>
  <sheetData>
    <row r="2" spans="3:9" ht="13.5" thickBot="1">
      <c r="C2" s="457" t="s">
        <v>369</v>
      </c>
      <c r="D2" s="457" t="s">
        <v>25</v>
      </c>
      <c r="E2" s="457" t="s">
        <v>370</v>
      </c>
      <c r="F2" s="457" t="s">
        <v>371</v>
      </c>
      <c r="G2" s="457" t="s">
        <v>372</v>
      </c>
      <c r="H2" s="457" t="s">
        <v>373</v>
      </c>
      <c r="I2" s="457" t="s">
        <v>374</v>
      </c>
    </row>
    <row r="3" spans="3:13" ht="12.75">
      <c r="C3" s="98">
        <v>0</v>
      </c>
      <c r="F3" s="98"/>
      <c r="G3" s="98"/>
      <c r="H3" s="98"/>
      <c r="I3" s="460" t="e">
        <f>'Commercial Sizing'!J6</f>
        <v>#DIV/0!</v>
      </c>
      <c r="L3" s="464" t="s">
        <v>375</v>
      </c>
      <c r="M3" s="464" t="s">
        <v>376</v>
      </c>
    </row>
    <row r="4" spans="3:13" ht="12.75">
      <c r="C4" s="98">
        <v>1</v>
      </c>
      <c r="D4" s="440">
        <f>TI_LC!H8</f>
        <v>38352</v>
      </c>
      <c r="E4" s="441" t="e">
        <f>D5-D4</f>
        <v>#NAME?</v>
      </c>
      <c r="F4" s="460" t="e">
        <f>'Commercial Sizing'!$J$12/12</f>
        <v>#DIV/0!</v>
      </c>
      <c r="G4" s="460" t="e">
        <f>I3*(E4/360)*'Commercial Sizing'!$J$11</f>
        <v>#DIV/0!</v>
      </c>
      <c r="H4" s="460" t="e">
        <f>F4-G4</f>
        <v>#DIV/0!</v>
      </c>
      <c r="I4" s="460" t="e">
        <f>I3-H4</f>
        <v>#DIV/0!</v>
      </c>
      <c r="L4" s="462">
        <v>7</v>
      </c>
      <c r="M4" s="463" t="e">
        <f>I87</f>
        <v>#DIV/0!</v>
      </c>
    </row>
    <row r="5" spans="3:13" ht="12.75">
      <c r="C5" s="98">
        <v>2</v>
      </c>
      <c r="D5" s="440" t="e">
        <f>[1]!Edate(D4,1)</f>
        <v>#NAME?</v>
      </c>
      <c r="E5" s="441" t="e">
        <f aca="true" t="shared" si="0" ref="E5:E20">D6-D5</f>
        <v>#NAME?</v>
      </c>
      <c r="F5" s="460" t="e">
        <f>'Commercial Sizing'!$J$12/12</f>
        <v>#DIV/0!</v>
      </c>
      <c r="G5" s="460" t="e">
        <f>I4*(E5/360)*'Commercial Sizing'!$J$11</f>
        <v>#DIV/0!</v>
      </c>
      <c r="H5" s="460" t="e">
        <f aca="true" t="shared" si="1" ref="H5:H20">F5-G5</f>
        <v>#DIV/0!</v>
      </c>
      <c r="I5" s="460" t="e">
        <f aca="true" t="shared" si="2" ref="I5:I20">I4-H5</f>
        <v>#DIV/0!</v>
      </c>
      <c r="L5" s="462">
        <v>8</v>
      </c>
      <c r="M5" s="463" t="e">
        <f>I99</f>
        <v>#DIV/0!</v>
      </c>
    </row>
    <row r="6" spans="3:13" ht="12.75">
      <c r="C6" s="98">
        <v>3</v>
      </c>
      <c r="D6" s="440" t="e">
        <f>[1]!Edate(D5,1)</f>
        <v>#NAME?</v>
      </c>
      <c r="E6" s="441" t="e">
        <f t="shared" si="0"/>
        <v>#NAME?</v>
      </c>
      <c r="F6" s="460" t="e">
        <f>'Commercial Sizing'!$J$12/12</f>
        <v>#DIV/0!</v>
      </c>
      <c r="G6" s="460" t="e">
        <f>I5*(E6/360)*'Commercial Sizing'!$J$11</f>
        <v>#DIV/0!</v>
      </c>
      <c r="H6" s="460" t="e">
        <f t="shared" si="1"/>
        <v>#DIV/0!</v>
      </c>
      <c r="I6" s="460" t="e">
        <f t="shared" si="2"/>
        <v>#DIV/0!</v>
      </c>
      <c r="L6" s="462">
        <v>9</v>
      </c>
      <c r="M6" s="463" t="e">
        <f>I111</f>
        <v>#DIV/0!</v>
      </c>
    </row>
    <row r="7" spans="3:13" ht="12.75">
      <c r="C7" s="98">
        <v>4</v>
      </c>
      <c r="D7" s="440" t="e">
        <f>[1]!Edate(D6,1)</f>
        <v>#NAME?</v>
      </c>
      <c r="E7" s="441" t="e">
        <f t="shared" si="0"/>
        <v>#NAME?</v>
      </c>
      <c r="F7" s="460" t="e">
        <f>'Commercial Sizing'!$J$12/12</f>
        <v>#DIV/0!</v>
      </c>
      <c r="G7" s="460" t="e">
        <f>I6*(E7/360)*'Commercial Sizing'!$J$11</f>
        <v>#DIV/0!</v>
      </c>
      <c r="H7" s="460" t="e">
        <f t="shared" si="1"/>
        <v>#DIV/0!</v>
      </c>
      <c r="I7" s="460" t="e">
        <f t="shared" si="2"/>
        <v>#DIV/0!</v>
      </c>
      <c r="L7" s="462">
        <v>10</v>
      </c>
      <c r="M7" s="463" t="e">
        <f>I123</f>
        <v>#DIV/0!</v>
      </c>
    </row>
    <row r="8" spans="3:13" ht="12.75">
      <c r="C8" s="98">
        <v>5</v>
      </c>
      <c r="D8" s="440" t="e">
        <f>[1]!Edate(D7,1)</f>
        <v>#NAME?</v>
      </c>
      <c r="E8" s="441" t="e">
        <f t="shared" si="0"/>
        <v>#NAME?</v>
      </c>
      <c r="F8" s="460" t="e">
        <f>'Commercial Sizing'!$J$12/12</f>
        <v>#DIV/0!</v>
      </c>
      <c r="G8" s="460" t="e">
        <f>I7*(E8/360)*'Commercial Sizing'!$J$11</f>
        <v>#DIV/0!</v>
      </c>
      <c r="H8" s="460" t="e">
        <f t="shared" si="1"/>
        <v>#DIV/0!</v>
      </c>
      <c r="I8" s="460" t="e">
        <f t="shared" si="2"/>
        <v>#DIV/0!</v>
      </c>
      <c r="L8" s="462">
        <v>11</v>
      </c>
      <c r="M8" s="463" t="e">
        <f>I135</f>
        <v>#DIV/0!</v>
      </c>
    </row>
    <row r="9" spans="3:13" ht="12.75">
      <c r="C9" s="98">
        <v>6</v>
      </c>
      <c r="D9" s="440" t="e">
        <f>[1]!Edate(D8,1)</f>
        <v>#NAME?</v>
      </c>
      <c r="E9" s="441" t="e">
        <f t="shared" si="0"/>
        <v>#NAME?</v>
      </c>
      <c r="F9" s="460" t="e">
        <f>'Commercial Sizing'!$J$12/12</f>
        <v>#DIV/0!</v>
      </c>
      <c r="G9" s="460" t="e">
        <f>I8*(E9/360)*'Commercial Sizing'!$J$11</f>
        <v>#DIV/0!</v>
      </c>
      <c r="H9" s="460" t="e">
        <f t="shared" si="1"/>
        <v>#DIV/0!</v>
      </c>
      <c r="I9" s="460" t="e">
        <f t="shared" si="2"/>
        <v>#DIV/0!</v>
      </c>
      <c r="L9" s="462">
        <v>12</v>
      </c>
      <c r="M9" s="463" t="e">
        <f>I147</f>
        <v>#DIV/0!</v>
      </c>
    </row>
    <row r="10" spans="3:13" ht="12.75">
      <c r="C10" s="98">
        <v>7</v>
      </c>
      <c r="D10" s="440" t="e">
        <f>[1]!Edate(D9,1)</f>
        <v>#NAME?</v>
      </c>
      <c r="E10" s="441" t="e">
        <f t="shared" si="0"/>
        <v>#NAME?</v>
      </c>
      <c r="F10" s="460" t="e">
        <f>'Commercial Sizing'!$J$12/12</f>
        <v>#DIV/0!</v>
      </c>
      <c r="G10" s="460" t="e">
        <f>I9*(E10/360)*'Commercial Sizing'!$J$11</f>
        <v>#DIV/0!</v>
      </c>
      <c r="H10" s="460" t="e">
        <f t="shared" si="1"/>
        <v>#DIV/0!</v>
      </c>
      <c r="I10" s="460" t="e">
        <f t="shared" si="2"/>
        <v>#DIV/0!</v>
      </c>
      <c r="L10" s="462">
        <v>13</v>
      </c>
      <c r="M10" s="463" t="e">
        <f>I159</f>
        <v>#DIV/0!</v>
      </c>
    </row>
    <row r="11" spans="3:13" ht="12.75">
      <c r="C11" s="98">
        <v>8</v>
      </c>
      <c r="D11" s="440" t="e">
        <f>[1]!Edate(D10,1)</f>
        <v>#NAME?</v>
      </c>
      <c r="E11" s="441" t="e">
        <f t="shared" si="0"/>
        <v>#NAME?</v>
      </c>
      <c r="F11" s="460" t="e">
        <f>'Commercial Sizing'!$J$12/12</f>
        <v>#DIV/0!</v>
      </c>
      <c r="G11" s="460" t="e">
        <f>I10*(E11/360)*'Commercial Sizing'!$J$11</f>
        <v>#DIV/0!</v>
      </c>
      <c r="H11" s="460" t="e">
        <f t="shared" si="1"/>
        <v>#DIV/0!</v>
      </c>
      <c r="I11" s="460" t="e">
        <f t="shared" si="2"/>
        <v>#DIV/0!</v>
      </c>
      <c r="L11" s="462">
        <v>14</v>
      </c>
      <c r="M11" s="463" t="e">
        <f>I171</f>
        <v>#DIV/0!</v>
      </c>
    </row>
    <row r="12" spans="3:13" ht="12.75">
      <c r="C12" s="98">
        <v>9</v>
      </c>
      <c r="D12" s="440" t="e">
        <f>[1]!Edate(D11,1)</f>
        <v>#NAME?</v>
      </c>
      <c r="E12" s="441" t="e">
        <f t="shared" si="0"/>
        <v>#NAME?</v>
      </c>
      <c r="F12" s="460" t="e">
        <f>'Commercial Sizing'!$J$12/12</f>
        <v>#DIV/0!</v>
      </c>
      <c r="G12" s="460" t="e">
        <f>I11*(E12/360)*'Commercial Sizing'!$J$11</f>
        <v>#DIV/0!</v>
      </c>
      <c r="H12" s="460" t="e">
        <f t="shared" si="1"/>
        <v>#DIV/0!</v>
      </c>
      <c r="I12" s="460" t="e">
        <f t="shared" si="2"/>
        <v>#DIV/0!</v>
      </c>
      <c r="L12" s="462">
        <v>15</v>
      </c>
      <c r="M12" s="463" t="e">
        <f>I183</f>
        <v>#DIV/0!</v>
      </c>
    </row>
    <row r="13" spans="3:13" ht="12.75">
      <c r="C13" s="98">
        <v>10</v>
      </c>
      <c r="D13" s="440" t="e">
        <f>[1]!Edate(D12,1)</f>
        <v>#NAME?</v>
      </c>
      <c r="E13" s="441" t="e">
        <f t="shared" si="0"/>
        <v>#NAME?</v>
      </c>
      <c r="F13" s="460" t="e">
        <f>'Commercial Sizing'!$J$12/12</f>
        <v>#DIV/0!</v>
      </c>
      <c r="G13" s="460" t="e">
        <f>I12*(E13/360)*'Commercial Sizing'!$J$11</f>
        <v>#DIV/0!</v>
      </c>
      <c r="H13" s="460" t="e">
        <f t="shared" si="1"/>
        <v>#DIV/0!</v>
      </c>
      <c r="I13" s="460" t="e">
        <f t="shared" si="2"/>
        <v>#DIV/0!</v>
      </c>
      <c r="L13">
        <v>16</v>
      </c>
      <c r="M13" s="463" t="e">
        <f>I195</f>
        <v>#DIV/0!</v>
      </c>
    </row>
    <row r="14" spans="3:13" ht="12.75">
      <c r="C14" s="98">
        <v>11</v>
      </c>
      <c r="D14" s="440" t="e">
        <f>[1]!Edate(D13,1)</f>
        <v>#NAME?</v>
      </c>
      <c r="E14" s="441" t="e">
        <f t="shared" si="0"/>
        <v>#NAME?</v>
      </c>
      <c r="F14" s="460" t="e">
        <f>'Commercial Sizing'!$J$12/12</f>
        <v>#DIV/0!</v>
      </c>
      <c r="G14" s="460" t="e">
        <f>I13*(E14/360)*'Commercial Sizing'!$J$11</f>
        <v>#DIV/0!</v>
      </c>
      <c r="H14" s="460" t="e">
        <f t="shared" si="1"/>
        <v>#DIV/0!</v>
      </c>
      <c r="I14" s="460" t="e">
        <f t="shared" si="2"/>
        <v>#DIV/0!</v>
      </c>
      <c r="L14">
        <v>17</v>
      </c>
      <c r="M14" s="463" t="e">
        <f>I207</f>
        <v>#DIV/0!</v>
      </c>
    </row>
    <row r="15" spans="3:13" ht="12.75">
      <c r="C15" s="98">
        <v>12</v>
      </c>
      <c r="D15" s="440" t="e">
        <f>[1]!Edate(D14,1)</f>
        <v>#NAME?</v>
      </c>
      <c r="E15" s="441" t="e">
        <f t="shared" si="0"/>
        <v>#NAME?</v>
      </c>
      <c r="F15" s="460" t="e">
        <f>'Commercial Sizing'!$J$12/12</f>
        <v>#DIV/0!</v>
      </c>
      <c r="G15" s="460" t="e">
        <f>I14*(E15/360)*'Commercial Sizing'!$J$11</f>
        <v>#DIV/0!</v>
      </c>
      <c r="H15" s="460" t="e">
        <f t="shared" si="1"/>
        <v>#DIV/0!</v>
      </c>
      <c r="I15" s="460" t="e">
        <f t="shared" si="2"/>
        <v>#DIV/0!</v>
      </c>
      <c r="L15">
        <v>18</v>
      </c>
      <c r="M15" s="463" t="e">
        <f>I219</f>
        <v>#DIV/0!</v>
      </c>
    </row>
    <row r="16" spans="3:13" ht="12.75">
      <c r="C16" s="98">
        <v>13</v>
      </c>
      <c r="D16" s="440" t="e">
        <f>[1]!Edate(D15,1)</f>
        <v>#NAME?</v>
      </c>
      <c r="E16" s="441" t="e">
        <f t="shared" si="0"/>
        <v>#NAME?</v>
      </c>
      <c r="F16" s="460" t="e">
        <f>'Commercial Sizing'!$J$12/12</f>
        <v>#DIV/0!</v>
      </c>
      <c r="G16" s="460" t="e">
        <f>I15*(E16/360)*'Commercial Sizing'!$J$11</f>
        <v>#DIV/0!</v>
      </c>
      <c r="H16" s="460" t="e">
        <f t="shared" si="1"/>
        <v>#DIV/0!</v>
      </c>
      <c r="I16" s="460" t="e">
        <f t="shared" si="2"/>
        <v>#DIV/0!</v>
      </c>
      <c r="L16">
        <v>19</v>
      </c>
      <c r="M16" s="463" t="e">
        <f>I231</f>
        <v>#DIV/0!</v>
      </c>
    </row>
    <row r="17" spans="3:13" ht="12.75">
      <c r="C17" s="98">
        <v>14</v>
      </c>
      <c r="D17" s="440" t="e">
        <f>[1]!Edate(D16,1)</f>
        <v>#NAME?</v>
      </c>
      <c r="E17" s="441" t="e">
        <f t="shared" si="0"/>
        <v>#NAME?</v>
      </c>
      <c r="F17" s="460" t="e">
        <f>'Commercial Sizing'!$J$12/12</f>
        <v>#DIV/0!</v>
      </c>
      <c r="G17" s="460" t="e">
        <f>I16*(E17/360)*'Commercial Sizing'!$J$11</f>
        <v>#DIV/0!</v>
      </c>
      <c r="H17" s="460" t="e">
        <f t="shared" si="1"/>
        <v>#DIV/0!</v>
      </c>
      <c r="I17" s="460" t="e">
        <f t="shared" si="2"/>
        <v>#DIV/0!</v>
      </c>
      <c r="L17">
        <v>20</v>
      </c>
      <c r="M17" s="463" t="e">
        <f>I243</f>
        <v>#DIV/0!</v>
      </c>
    </row>
    <row r="18" spans="3:9" ht="12.75">
      <c r="C18" s="98">
        <v>15</v>
      </c>
      <c r="D18" s="440" t="e">
        <f>[1]!Edate(D17,1)</f>
        <v>#NAME?</v>
      </c>
      <c r="E18" s="441" t="e">
        <f t="shared" si="0"/>
        <v>#NAME?</v>
      </c>
      <c r="F18" s="460" t="e">
        <f>'Commercial Sizing'!$J$12/12</f>
        <v>#DIV/0!</v>
      </c>
      <c r="G18" s="460" t="e">
        <f>I17*(E18/360)*'Commercial Sizing'!$J$11</f>
        <v>#DIV/0!</v>
      </c>
      <c r="H18" s="460" t="e">
        <f t="shared" si="1"/>
        <v>#DIV/0!</v>
      </c>
      <c r="I18" s="460" t="e">
        <f t="shared" si="2"/>
        <v>#DIV/0!</v>
      </c>
    </row>
    <row r="19" spans="3:9" ht="12.75">
      <c r="C19" s="98">
        <v>16</v>
      </c>
      <c r="D19" s="440" t="e">
        <f>[1]!Edate(D18,1)</f>
        <v>#NAME?</v>
      </c>
      <c r="E19" s="441" t="e">
        <f t="shared" si="0"/>
        <v>#NAME?</v>
      </c>
      <c r="F19" s="460" t="e">
        <f>'Commercial Sizing'!$J$12/12</f>
        <v>#DIV/0!</v>
      </c>
      <c r="G19" s="460" t="e">
        <f>I18*(E19/360)*'Commercial Sizing'!$J$11</f>
        <v>#DIV/0!</v>
      </c>
      <c r="H19" s="460" t="e">
        <f t="shared" si="1"/>
        <v>#DIV/0!</v>
      </c>
      <c r="I19" s="460" t="e">
        <f t="shared" si="2"/>
        <v>#DIV/0!</v>
      </c>
    </row>
    <row r="20" spans="3:9" ht="12.75">
      <c r="C20" s="98">
        <v>17</v>
      </c>
      <c r="D20" s="440" t="e">
        <f>[1]!Edate(D19,1)</f>
        <v>#NAME?</v>
      </c>
      <c r="E20" s="441" t="e">
        <f t="shared" si="0"/>
        <v>#NAME?</v>
      </c>
      <c r="F20" s="460" t="e">
        <f>'Commercial Sizing'!$J$12/12</f>
        <v>#DIV/0!</v>
      </c>
      <c r="G20" s="460" t="e">
        <f>I19*(E20/360)*'Commercial Sizing'!$J$11</f>
        <v>#DIV/0!</v>
      </c>
      <c r="H20" s="460" t="e">
        <f t="shared" si="1"/>
        <v>#DIV/0!</v>
      </c>
      <c r="I20" s="460" t="e">
        <f t="shared" si="2"/>
        <v>#DIV/0!</v>
      </c>
    </row>
    <row r="21" spans="3:9" ht="12.75">
      <c r="C21" s="98">
        <v>18</v>
      </c>
      <c r="D21" s="440" t="e">
        <f>[1]!Edate(D20,1)</f>
        <v>#NAME?</v>
      </c>
      <c r="E21" s="441" t="e">
        <f aca="true" t="shared" si="3" ref="E21:E36">D22-D21</f>
        <v>#NAME?</v>
      </c>
      <c r="F21" s="460" t="e">
        <f>'Commercial Sizing'!$J$12/12</f>
        <v>#DIV/0!</v>
      </c>
      <c r="G21" s="460" t="e">
        <f>I20*(E21/360)*'Commercial Sizing'!$J$11</f>
        <v>#DIV/0!</v>
      </c>
      <c r="H21" s="460" t="e">
        <f aca="true" t="shared" si="4" ref="H21:H36">F21-G21</f>
        <v>#DIV/0!</v>
      </c>
      <c r="I21" s="460" t="e">
        <f aca="true" t="shared" si="5" ref="I21:I36">I20-H21</f>
        <v>#DIV/0!</v>
      </c>
    </row>
    <row r="22" spans="3:9" ht="12.75">
      <c r="C22" s="98">
        <v>19</v>
      </c>
      <c r="D22" s="440" t="e">
        <f>[1]!Edate(D21,1)</f>
        <v>#NAME?</v>
      </c>
      <c r="E22" s="441" t="e">
        <f t="shared" si="3"/>
        <v>#NAME?</v>
      </c>
      <c r="F22" s="460" t="e">
        <f>'Commercial Sizing'!$J$12/12</f>
        <v>#DIV/0!</v>
      </c>
      <c r="G22" s="460" t="e">
        <f>I21*(E22/360)*'Commercial Sizing'!$J$11</f>
        <v>#DIV/0!</v>
      </c>
      <c r="H22" s="460" t="e">
        <f t="shared" si="4"/>
        <v>#DIV/0!</v>
      </c>
      <c r="I22" s="460" t="e">
        <f t="shared" si="5"/>
        <v>#DIV/0!</v>
      </c>
    </row>
    <row r="23" spans="3:9" ht="12.75">
      <c r="C23" s="98">
        <v>20</v>
      </c>
      <c r="D23" s="440" t="e">
        <f>[1]!Edate(D22,1)</f>
        <v>#NAME?</v>
      </c>
      <c r="E23" s="441" t="e">
        <f t="shared" si="3"/>
        <v>#NAME?</v>
      </c>
      <c r="F23" s="460" t="e">
        <f>'Commercial Sizing'!$J$12/12</f>
        <v>#DIV/0!</v>
      </c>
      <c r="G23" s="460" t="e">
        <f>I22*(E23/360)*'Commercial Sizing'!$J$11</f>
        <v>#DIV/0!</v>
      </c>
      <c r="H23" s="460" t="e">
        <f t="shared" si="4"/>
        <v>#DIV/0!</v>
      </c>
      <c r="I23" s="460" t="e">
        <f t="shared" si="5"/>
        <v>#DIV/0!</v>
      </c>
    </row>
    <row r="24" spans="3:9" ht="12.75">
      <c r="C24" s="98">
        <v>21</v>
      </c>
      <c r="D24" s="440" t="e">
        <f>[1]!Edate(D23,1)</f>
        <v>#NAME?</v>
      </c>
      <c r="E24" s="441" t="e">
        <f t="shared" si="3"/>
        <v>#NAME?</v>
      </c>
      <c r="F24" s="460" t="e">
        <f>'Commercial Sizing'!$J$12/12</f>
        <v>#DIV/0!</v>
      </c>
      <c r="G24" s="460" t="e">
        <f>I23*(E24/360)*'Commercial Sizing'!$J$11</f>
        <v>#DIV/0!</v>
      </c>
      <c r="H24" s="460" t="e">
        <f t="shared" si="4"/>
        <v>#DIV/0!</v>
      </c>
      <c r="I24" s="460" t="e">
        <f t="shared" si="5"/>
        <v>#DIV/0!</v>
      </c>
    </row>
    <row r="25" spans="3:9" ht="12.75">
      <c r="C25" s="98">
        <v>22</v>
      </c>
      <c r="D25" s="440" t="e">
        <f>[1]!Edate(D24,1)</f>
        <v>#NAME?</v>
      </c>
      <c r="E25" s="441" t="e">
        <f t="shared" si="3"/>
        <v>#NAME?</v>
      </c>
      <c r="F25" s="460" t="e">
        <f>'Commercial Sizing'!$J$12/12</f>
        <v>#DIV/0!</v>
      </c>
      <c r="G25" s="460" t="e">
        <f>I24*(E25/360)*'Commercial Sizing'!$J$11</f>
        <v>#DIV/0!</v>
      </c>
      <c r="H25" s="460" t="e">
        <f t="shared" si="4"/>
        <v>#DIV/0!</v>
      </c>
      <c r="I25" s="460" t="e">
        <f t="shared" si="5"/>
        <v>#DIV/0!</v>
      </c>
    </row>
    <row r="26" spans="3:9" ht="12.75">
      <c r="C26" s="98">
        <v>23</v>
      </c>
      <c r="D26" s="440" t="e">
        <f>[1]!Edate(D25,1)</f>
        <v>#NAME?</v>
      </c>
      <c r="E26" s="441" t="e">
        <f t="shared" si="3"/>
        <v>#NAME?</v>
      </c>
      <c r="F26" s="460" t="e">
        <f>'Commercial Sizing'!$J$12/12</f>
        <v>#DIV/0!</v>
      </c>
      <c r="G26" s="460" t="e">
        <f>I25*(E26/360)*'Commercial Sizing'!$J$11</f>
        <v>#DIV/0!</v>
      </c>
      <c r="H26" s="460" t="e">
        <f t="shared" si="4"/>
        <v>#DIV/0!</v>
      </c>
      <c r="I26" s="460" t="e">
        <f t="shared" si="5"/>
        <v>#DIV/0!</v>
      </c>
    </row>
    <row r="27" spans="3:9" ht="12.75">
      <c r="C27" s="98">
        <v>24</v>
      </c>
      <c r="D27" s="440" t="e">
        <f>[1]!Edate(D26,1)</f>
        <v>#NAME?</v>
      </c>
      <c r="E27" s="441" t="e">
        <f t="shared" si="3"/>
        <v>#NAME?</v>
      </c>
      <c r="F27" s="460" t="e">
        <f>'Commercial Sizing'!$J$12/12</f>
        <v>#DIV/0!</v>
      </c>
      <c r="G27" s="460" t="e">
        <f>I26*(E27/360)*'Commercial Sizing'!$J$11</f>
        <v>#DIV/0!</v>
      </c>
      <c r="H27" s="460" t="e">
        <f t="shared" si="4"/>
        <v>#DIV/0!</v>
      </c>
      <c r="I27" s="460" t="e">
        <f t="shared" si="5"/>
        <v>#DIV/0!</v>
      </c>
    </row>
    <row r="28" spans="3:9" ht="12.75">
      <c r="C28" s="98">
        <v>25</v>
      </c>
      <c r="D28" s="440" t="e">
        <f>[1]!Edate(D27,1)</f>
        <v>#NAME?</v>
      </c>
      <c r="E28" s="441" t="e">
        <f t="shared" si="3"/>
        <v>#NAME?</v>
      </c>
      <c r="F28" s="460" t="e">
        <f>'Commercial Sizing'!$J$12/12</f>
        <v>#DIV/0!</v>
      </c>
      <c r="G28" s="460" t="e">
        <f>I27*(E28/360)*'Commercial Sizing'!$J$11</f>
        <v>#DIV/0!</v>
      </c>
      <c r="H28" s="460" t="e">
        <f t="shared" si="4"/>
        <v>#DIV/0!</v>
      </c>
      <c r="I28" s="460" t="e">
        <f t="shared" si="5"/>
        <v>#DIV/0!</v>
      </c>
    </row>
    <row r="29" spans="3:9" ht="12.75">
      <c r="C29" s="98">
        <v>26</v>
      </c>
      <c r="D29" s="440" t="e">
        <f>[1]!Edate(D28,1)</f>
        <v>#NAME?</v>
      </c>
      <c r="E29" s="441" t="e">
        <f t="shared" si="3"/>
        <v>#NAME?</v>
      </c>
      <c r="F29" s="460" t="e">
        <f>'Commercial Sizing'!$J$12/12</f>
        <v>#DIV/0!</v>
      </c>
      <c r="G29" s="460" t="e">
        <f>I28*(E29/360)*'Commercial Sizing'!$J$11</f>
        <v>#DIV/0!</v>
      </c>
      <c r="H29" s="460" t="e">
        <f t="shared" si="4"/>
        <v>#DIV/0!</v>
      </c>
      <c r="I29" s="460" t="e">
        <f t="shared" si="5"/>
        <v>#DIV/0!</v>
      </c>
    </row>
    <row r="30" spans="3:9" ht="12.75">
      <c r="C30" s="98">
        <v>27</v>
      </c>
      <c r="D30" s="440" t="e">
        <f>[1]!Edate(D29,1)</f>
        <v>#NAME?</v>
      </c>
      <c r="E30" s="441" t="e">
        <f t="shared" si="3"/>
        <v>#NAME?</v>
      </c>
      <c r="F30" s="460" t="e">
        <f>'Commercial Sizing'!$J$12/12</f>
        <v>#DIV/0!</v>
      </c>
      <c r="G30" s="460" t="e">
        <f>I29*(E30/360)*'Commercial Sizing'!$J$11</f>
        <v>#DIV/0!</v>
      </c>
      <c r="H30" s="460" t="e">
        <f t="shared" si="4"/>
        <v>#DIV/0!</v>
      </c>
      <c r="I30" s="460" t="e">
        <f t="shared" si="5"/>
        <v>#DIV/0!</v>
      </c>
    </row>
    <row r="31" spans="3:9" ht="12.75">
      <c r="C31" s="98">
        <v>28</v>
      </c>
      <c r="D31" s="440" t="e">
        <f>[1]!Edate(D30,1)</f>
        <v>#NAME?</v>
      </c>
      <c r="E31" s="441" t="e">
        <f t="shared" si="3"/>
        <v>#NAME?</v>
      </c>
      <c r="F31" s="460" t="e">
        <f>'Commercial Sizing'!$J$12/12</f>
        <v>#DIV/0!</v>
      </c>
      <c r="G31" s="460" t="e">
        <f>I30*(E31/360)*'Commercial Sizing'!$J$11</f>
        <v>#DIV/0!</v>
      </c>
      <c r="H31" s="460" t="e">
        <f t="shared" si="4"/>
        <v>#DIV/0!</v>
      </c>
      <c r="I31" s="460" t="e">
        <f t="shared" si="5"/>
        <v>#DIV/0!</v>
      </c>
    </row>
    <row r="32" spans="3:9" ht="12.75">
      <c r="C32" s="98">
        <v>29</v>
      </c>
      <c r="D32" s="440" t="e">
        <f>[1]!Edate(D31,1)</f>
        <v>#NAME?</v>
      </c>
      <c r="E32" s="441" t="e">
        <f t="shared" si="3"/>
        <v>#NAME?</v>
      </c>
      <c r="F32" s="460" t="e">
        <f>'Commercial Sizing'!$J$12/12</f>
        <v>#DIV/0!</v>
      </c>
      <c r="G32" s="460" t="e">
        <f>I31*(E32/360)*'Commercial Sizing'!$J$11</f>
        <v>#DIV/0!</v>
      </c>
      <c r="H32" s="460" t="e">
        <f t="shared" si="4"/>
        <v>#DIV/0!</v>
      </c>
      <c r="I32" s="460" t="e">
        <f t="shared" si="5"/>
        <v>#DIV/0!</v>
      </c>
    </row>
    <row r="33" spans="3:9" ht="12.75">
      <c r="C33" s="98">
        <v>30</v>
      </c>
      <c r="D33" s="440" t="e">
        <f>[1]!Edate(D32,1)</f>
        <v>#NAME?</v>
      </c>
      <c r="E33" s="441" t="e">
        <f t="shared" si="3"/>
        <v>#NAME?</v>
      </c>
      <c r="F33" s="460" t="e">
        <f>'Commercial Sizing'!$J$12/12</f>
        <v>#DIV/0!</v>
      </c>
      <c r="G33" s="460" t="e">
        <f>I32*(E33/360)*'Commercial Sizing'!$J$11</f>
        <v>#DIV/0!</v>
      </c>
      <c r="H33" s="460" t="e">
        <f t="shared" si="4"/>
        <v>#DIV/0!</v>
      </c>
      <c r="I33" s="460" t="e">
        <f t="shared" si="5"/>
        <v>#DIV/0!</v>
      </c>
    </row>
    <row r="34" spans="3:9" ht="12.75">
      <c r="C34" s="98">
        <v>31</v>
      </c>
      <c r="D34" s="440" t="e">
        <f>[1]!Edate(D33,1)</f>
        <v>#NAME?</v>
      </c>
      <c r="E34" s="441" t="e">
        <f t="shared" si="3"/>
        <v>#NAME?</v>
      </c>
      <c r="F34" s="460" t="e">
        <f>'Commercial Sizing'!$J$12/12</f>
        <v>#DIV/0!</v>
      </c>
      <c r="G34" s="460" t="e">
        <f>I33*(E34/360)*'Commercial Sizing'!$J$11</f>
        <v>#DIV/0!</v>
      </c>
      <c r="H34" s="460" t="e">
        <f t="shared" si="4"/>
        <v>#DIV/0!</v>
      </c>
      <c r="I34" s="460" t="e">
        <f t="shared" si="5"/>
        <v>#DIV/0!</v>
      </c>
    </row>
    <row r="35" spans="3:9" ht="12.75">
      <c r="C35" s="98">
        <v>32</v>
      </c>
      <c r="D35" s="440" t="e">
        <f>[1]!Edate(D34,1)</f>
        <v>#NAME?</v>
      </c>
      <c r="E35" s="441" t="e">
        <f t="shared" si="3"/>
        <v>#NAME?</v>
      </c>
      <c r="F35" s="460" t="e">
        <f>'Commercial Sizing'!$J$12/12</f>
        <v>#DIV/0!</v>
      </c>
      <c r="G35" s="460" t="e">
        <f>I34*(E35/360)*'Commercial Sizing'!$J$11</f>
        <v>#DIV/0!</v>
      </c>
      <c r="H35" s="460" t="e">
        <f t="shared" si="4"/>
        <v>#DIV/0!</v>
      </c>
      <c r="I35" s="460" t="e">
        <f t="shared" si="5"/>
        <v>#DIV/0!</v>
      </c>
    </row>
    <row r="36" spans="3:9" ht="12.75">
      <c r="C36" s="98">
        <v>33</v>
      </c>
      <c r="D36" s="440" t="e">
        <f>[1]!Edate(D35,1)</f>
        <v>#NAME?</v>
      </c>
      <c r="E36" s="441" t="e">
        <f t="shared" si="3"/>
        <v>#NAME?</v>
      </c>
      <c r="F36" s="460" t="e">
        <f>'Commercial Sizing'!$J$12/12</f>
        <v>#DIV/0!</v>
      </c>
      <c r="G36" s="460" t="e">
        <f>I35*(E36/360)*'Commercial Sizing'!$J$11</f>
        <v>#DIV/0!</v>
      </c>
      <c r="H36" s="460" t="e">
        <f t="shared" si="4"/>
        <v>#DIV/0!</v>
      </c>
      <c r="I36" s="460" t="e">
        <f t="shared" si="5"/>
        <v>#DIV/0!</v>
      </c>
    </row>
    <row r="37" spans="3:9" ht="12.75">
      <c r="C37" s="98">
        <v>34</v>
      </c>
      <c r="D37" s="440" t="e">
        <f>[1]!Edate(D36,1)</f>
        <v>#NAME?</v>
      </c>
      <c r="E37" s="441" t="e">
        <f aca="true" t="shared" si="6" ref="E37:E52">D38-D37</f>
        <v>#NAME?</v>
      </c>
      <c r="F37" s="460" t="e">
        <f>'Commercial Sizing'!$J$12/12</f>
        <v>#DIV/0!</v>
      </c>
      <c r="G37" s="460" t="e">
        <f>I36*(E37/360)*'Commercial Sizing'!$J$11</f>
        <v>#DIV/0!</v>
      </c>
      <c r="H37" s="460" t="e">
        <f aca="true" t="shared" si="7" ref="H37:H52">F37-G37</f>
        <v>#DIV/0!</v>
      </c>
      <c r="I37" s="460" t="e">
        <f aca="true" t="shared" si="8" ref="I37:I52">I36-H37</f>
        <v>#DIV/0!</v>
      </c>
    </row>
    <row r="38" spans="3:9" ht="12.75">
      <c r="C38" s="98">
        <v>35</v>
      </c>
      <c r="D38" s="440" t="e">
        <f>[1]!Edate(D37,1)</f>
        <v>#NAME?</v>
      </c>
      <c r="E38" s="441" t="e">
        <f t="shared" si="6"/>
        <v>#NAME?</v>
      </c>
      <c r="F38" s="460" t="e">
        <f>'Commercial Sizing'!$J$12/12</f>
        <v>#DIV/0!</v>
      </c>
      <c r="G38" s="460" t="e">
        <f>I37*(E38/360)*'Commercial Sizing'!$J$11</f>
        <v>#DIV/0!</v>
      </c>
      <c r="H38" s="460" t="e">
        <f t="shared" si="7"/>
        <v>#DIV/0!</v>
      </c>
      <c r="I38" s="460" t="e">
        <f t="shared" si="8"/>
        <v>#DIV/0!</v>
      </c>
    </row>
    <row r="39" spans="3:9" ht="12.75">
      <c r="C39" s="98">
        <v>36</v>
      </c>
      <c r="D39" s="440" t="e">
        <f>[1]!Edate(D38,1)</f>
        <v>#NAME?</v>
      </c>
      <c r="E39" s="441" t="e">
        <f t="shared" si="6"/>
        <v>#NAME?</v>
      </c>
      <c r="F39" s="460" t="e">
        <f>'Commercial Sizing'!$J$12/12</f>
        <v>#DIV/0!</v>
      </c>
      <c r="G39" s="460" t="e">
        <f>I38*(E39/360)*'Commercial Sizing'!$J$11</f>
        <v>#DIV/0!</v>
      </c>
      <c r="H39" s="460" t="e">
        <f t="shared" si="7"/>
        <v>#DIV/0!</v>
      </c>
      <c r="I39" s="460" t="e">
        <f t="shared" si="8"/>
        <v>#DIV/0!</v>
      </c>
    </row>
    <row r="40" spans="3:9" ht="12.75">
      <c r="C40" s="98">
        <v>37</v>
      </c>
      <c r="D40" s="440" t="e">
        <f>[1]!Edate(D39,1)</f>
        <v>#NAME?</v>
      </c>
      <c r="E40" s="441" t="e">
        <f t="shared" si="6"/>
        <v>#NAME?</v>
      </c>
      <c r="F40" s="460" t="e">
        <f>'Commercial Sizing'!$J$12/12</f>
        <v>#DIV/0!</v>
      </c>
      <c r="G40" s="460" t="e">
        <f>I39*(E40/360)*'Commercial Sizing'!$J$11</f>
        <v>#DIV/0!</v>
      </c>
      <c r="H40" s="460" t="e">
        <f t="shared" si="7"/>
        <v>#DIV/0!</v>
      </c>
      <c r="I40" s="460" t="e">
        <f t="shared" si="8"/>
        <v>#DIV/0!</v>
      </c>
    </row>
    <row r="41" spans="3:9" ht="12.75">
      <c r="C41" s="98">
        <v>38</v>
      </c>
      <c r="D41" s="440" t="e">
        <f>[1]!Edate(D40,1)</f>
        <v>#NAME?</v>
      </c>
      <c r="E41" s="441" t="e">
        <f t="shared" si="6"/>
        <v>#NAME?</v>
      </c>
      <c r="F41" s="460" t="e">
        <f>'Commercial Sizing'!$J$12/12</f>
        <v>#DIV/0!</v>
      </c>
      <c r="G41" s="460" t="e">
        <f>I40*(E41/360)*'Commercial Sizing'!$J$11</f>
        <v>#DIV/0!</v>
      </c>
      <c r="H41" s="460" t="e">
        <f t="shared" si="7"/>
        <v>#DIV/0!</v>
      </c>
      <c r="I41" s="460" t="e">
        <f t="shared" si="8"/>
        <v>#DIV/0!</v>
      </c>
    </row>
    <row r="42" spans="3:9" ht="12.75">
      <c r="C42" s="98">
        <v>39</v>
      </c>
      <c r="D42" s="440" t="e">
        <f>[1]!Edate(D41,1)</f>
        <v>#NAME?</v>
      </c>
      <c r="E42" s="441" t="e">
        <f t="shared" si="6"/>
        <v>#NAME?</v>
      </c>
      <c r="F42" s="460" t="e">
        <f>'Commercial Sizing'!$J$12/12</f>
        <v>#DIV/0!</v>
      </c>
      <c r="G42" s="460" t="e">
        <f>I41*(E42/360)*'Commercial Sizing'!$J$11</f>
        <v>#DIV/0!</v>
      </c>
      <c r="H42" s="460" t="e">
        <f t="shared" si="7"/>
        <v>#DIV/0!</v>
      </c>
      <c r="I42" s="460" t="e">
        <f t="shared" si="8"/>
        <v>#DIV/0!</v>
      </c>
    </row>
    <row r="43" spans="3:9" ht="12.75">
      <c r="C43" s="98">
        <v>40</v>
      </c>
      <c r="D43" s="440" t="e">
        <f>[1]!Edate(D42,1)</f>
        <v>#NAME?</v>
      </c>
      <c r="E43" s="441" t="e">
        <f t="shared" si="6"/>
        <v>#NAME?</v>
      </c>
      <c r="F43" s="460" t="e">
        <f>'Commercial Sizing'!$J$12/12</f>
        <v>#DIV/0!</v>
      </c>
      <c r="G43" s="460" t="e">
        <f>I42*(E43/360)*'Commercial Sizing'!$J$11</f>
        <v>#DIV/0!</v>
      </c>
      <c r="H43" s="460" t="e">
        <f t="shared" si="7"/>
        <v>#DIV/0!</v>
      </c>
      <c r="I43" s="460" t="e">
        <f t="shared" si="8"/>
        <v>#DIV/0!</v>
      </c>
    </row>
    <row r="44" spans="3:9" ht="12.75">
      <c r="C44" s="98">
        <v>41</v>
      </c>
      <c r="D44" s="440" t="e">
        <f>[1]!Edate(D43,1)</f>
        <v>#NAME?</v>
      </c>
      <c r="E44" s="441" t="e">
        <f t="shared" si="6"/>
        <v>#NAME?</v>
      </c>
      <c r="F44" s="460" t="e">
        <f>'Commercial Sizing'!$J$12/12</f>
        <v>#DIV/0!</v>
      </c>
      <c r="G44" s="460" t="e">
        <f>I43*(E44/360)*'Commercial Sizing'!$J$11</f>
        <v>#DIV/0!</v>
      </c>
      <c r="H44" s="460" t="e">
        <f t="shared" si="7"/>
        <v>#DIV/0!</v>
      </c>
      <c r="I44" s="460" t="e">
        <f t="shared" si="8"/>
        <v>#DIV/0!</v>
      </c>
    </row>
    <row r="45" spans="3:9" ht="12.75">
      <c r="C45" s="98">
        <v>42</v>
      </c>
      <c r="D45" s="440" t="e">
        <f>[1]!Edate(D44,1)</f>
        <v>#NAME?</v>
      </c>
      <c r="E45" s="441" t="e">
        <f t="shared" si="6"/>
        <v>#NAME?</v>
      </c>
      <c r="F45" s="460" t="e">
        <f>'Commercial Sizing'!$J$12/12</f>
        <v>#DIV/0!</v>
      </c>
      <c r="G45" s="460" t="e">
        <f>I44*(E45/360)*'Commercial Sizing'!$J$11</f>
        <v>#DIV/0!</v>
      </c>
      <c r="H45" s="460" t="e">
        <f t="shared" si="7"/>
        <v>#DIV/0!</v>
      </c>
      <c r="I45" s="460" t="e">
        <f t="shared" si="8"/>
        <v>#DIV/0!</v>
      </c>
    </row>
    <row r="46" spans="3:9" ht="12.75">
      <c r="C46" s="98">
        <v>43</v>
      </c>
      <c r="D46" s="440" t="e">
        <f>[1]!Edate(D45,1)</f>
        <v>#NAME?</v>
      </c>
      <c r="E46" s="441" t="e">
        <f t="shared" si="6"/>
        <v>#NAME?</v>
      </c>
      <c r="F46" s="460" t="e">
        <f>'Commercial Sizing'!$J$12/12</f>
        <v>#DIV/0!</v>
      </c>
      <c r="G46" s="460" t="e">
        <f>I45*(E46/360)*'Commercial Sizing'!$J$11</f>
        <v>#DIV/0!</v>
      </c>
      <c r="H46" s="460" t="e">
        <f t="shared" si="7"/>
        <v>#DIV/0!</v>
      </c>
      <c r="I46" s="460" t="e">
        <f t="shared" si="8"/>
        <v>#DIV/0!</v>
      </c>
    </row>
    <row r="47" spans="3:9" ht="12.75">
      <c r="C47" s="98">
        <v>44</v>
      </c>
      <c r="D47" s="440" t="e">
        <f>[1]!Edate(D46,1)</f>
        <v>#NAME?</v>
      </c>
      <c r="E47" s="441" t="e">
        <f t="shared" si="6"/>
        <v>#NAME?</v>
      </c>
      <c r="F47" s="460" t="e">
        <f>'Commercial Sizing'!$J$12/12</f>
        <v>#DIV/0!</v>
      </c>
      <c r="G47" s="460" t="e">
        <f>I46*(E47/360)*'Commercial Sizing'!$J$11</f>
        <v>#DIV/0!</v>
      </c>
      <c r="H47" s="460" t="e">
        <f t="shared" si="7"/>
        <v>#DIV/0!</v>
      </c>
      <c r="I47" s="460" t="e">
        <f t="shared" si="8"/>
        <v>#DIV/0!</v>
      </c>
    </row>
    <row r="48" spans="3:9" ht="12.75">
      <c r="C48" s="98">
        <v>45</v>
      </c>
      <c r="D48" s="440" t="e">
        <f>[1]!Edate(D47,1)</f>
        <v>#NAME?</v>
      </c>
      <c r="E48" s="441" t="e">
        <f t="shared" si="6"/>
        <v>#NAME?</v>
      </c>
      <c r="F48" s="460" t="e">
        <f>'Commercial Sizing'!$J$12/12</f>
        <v>#DIV/0!</v>
      </c>
      <c r="G48" s="460" t="e">
        <f>I47*(E48/360)*'Commercial Sizing'!$J$11</f>
        <v>#DIV/0!</v>
      </c>
      <c r="H48" s="460" t="e">
        <f t="shared" si="7"/>
        <v>#DIV/0!</v>
      </c>
      <c r="I48" s="460" t="e">
        <f t="shared" si="8"/>
        <v>#DIV/0!</v>
      </c>
    </row>
    <row r="49" spans="3:9" ht="12.75">
      <c r="C49" s="98">
        <v>46</v>
      </c>
      <c r="D49" s="440" t="e">
        <f>[1]!Edate(D48,1)</f>
        <v>#NAME?</v>
      </c>
      <c r="E49" s="441" t="e">
        <f t="shared" si="6"/>
        <v>#NAME?</v>
      </c>
      <c r="F49" s="460" t="e">
        <f>'Commercial Sizing'!$J$12/12</f>
        <v>#DIV/0!</v>
      </c>
      <c r="G49" s="460" t="e">
        <f>I48*(E49/360)*'Commercial Sizing'!$J$11</f>
        <v>#DIV/0!</v>
      </c>
      <c r="H49" s="460" t="e">
        <f t="shared" si="7"/>
        <v>#DIV/0!</v>
      </c>
      <c r="I49" s="460" t="e">
        <f t="shared" si="8"/>
        <v>#DIV/0!</v>
      </c>
    </row>
    <row r="50" spans="3:9" ht="12.75">
      <c r="C50" s="98">
        <v>47</v>
      </c>
      <c r="D50" s="440" t="e">
        <f>[1]!Edate(D49,1)</f>
        <v>#NAME?</v>
      </c>
      <c r="E50" s="441" t="e">
        <f t="shared" si="6"/>
        <v>#NAME?</v>
      </c>
      <c r="F50" s="460" t="e">
        <f>'Commercial Sizing'!$J$12/12</f>
        <v>#DIV/0!</v>
      </c>
      <c r="G50" s="460" t="e">
        <f>I49*(E50/360)*'Commercial Sizing'!$J$11</f>
        <v>#DIV/0!</v>
      </c>
      <c r="H50" s="460" t="e">
        <f t="shared" si="7"/>
        <v>#DIV/0!</v>
      </c>
      <c r="I50" s="460" t="e">
        <f t="shared" si="8"/>
        <v>#DIV/0!</v>
      </c>
    </row>
    <row r="51" spans="3:9" ht="12.75">
      <c r="C51" s="98">
        <v>48</v>
      </c>
      <c r="D51" s="440" t="e">
        <f>[1]!Edate(D50,1)</f>
        <v>#NAME?</v>
      </c>
      <c r="E51" s="441" t="e">
        <f t="shared" si="6"/>
        <v>#NAME?</v>
      </c>
      <c r="F51" s="460" t="e">
        <f>'Commercial Sizing'!$J$12/12</f>
        <v>#DIV/0!</v>
      </c>
      <c r="G51" s="460" t="e">
        <f>I50*(E51/360)*'Commercial Sizing'!$J$11</f>
        <v>#DIV/0!</v>
      </c>
      <c r="H51" s="460" t="e">
        <f t="shared" si="7"/>
        <v>#DIV/0!</v>
      </c>
      <c r="I51" s="460" t="e">
        <f t="shared" si="8"/>
        <v>#DIV/0!</v>
      </c>
    </row>
    <row r="52" spans="3:9" ht="12.75">
      <c r="C52" s="98">
        <v>49</v>
      </c>
      <c r="D52" s="440" t="e">
        <f>[1]!Edate(D51,1)</f>
        <v>#NAME?</v>
      </c>
      <c r="E52" s="441" t="e">
        <f t="shared" si="6"/>
        <v>#NAME?</v>
      </c>
      <c r="F52" s="460" t="e">
        <f>'Commercial Sizing'!$J$12/12</f>
        <v>#DIV/0!</v>
      </c>
      <c r="G52" s="460" t="e">
        <f>I51*(E52/360)*'Commercial Sizing'!$J$11</f>
        <v>#DIV/0!</v>
      </c>
      <c r="H52" s="460" t="e">
        <f t="shared" si="7"/>
        <v>#DIV/0!</v>
      </c>
      <c r="I52" s="460" t="e">
        <f t="shared" si="8"/>
        <v>#DIV/0!</v>
      </c>
    </row>
    <row r="53" spans="3:9" ht="12.75">
      <c r="C53" s="98">
        <v>50</v>
      </c>
      <c r="D53" s="440" t="e">
        <f>[1]!Edate(D52,1)</f>
        <v>#NAME?</v>
      </c>
      <c r="E53" s="441" t="e">
        <f aca="true" t="shared" si="9" ref="E53:E68">D54-D53</f>
        <v>#NAME?</v>
      </c>
      <c r="F53" s="460" t="e">
        <f>'Commercial Sizing'!$J$12/12</f>
        <v>#DIV/0!</v>
      </c>
      <c r="G53" s="460" t="e">
        <f>I52*(E53/360)*'Commercial Sizing'!$J$11</f>
        <v>#DIV/0!</v>
      </c>
      <c r="H53" s="460" t="e">
        <f aca="true" t="shared" si="10" ref="H53:H68">F53-G53</f>
        <v>#DIV/0!</v>
      </c>
      <c r="I53" s="460" t="e">
        <f aca="true" t="shared" si="11" ref="I53:I68">I52-H53</f>
        <v>#DIV/0!</v>
      </c>
    </row>
    <row r="54" spans="3:9" ht="12.75">
      <c r="C54" s="98">
        <v>51</v>
      </c>
      <c r="D54" s="440" t="e">
        <f>[1]!Edate(D53,1)</f>
        <v>#NAME?</v>
      </c>
      <c r="E54" s="441" t="e">
        <f t="shared" si="9"/>
        <v>#NAME?</v>
      </c>
      <c r="F54" s="460" t="e">
        <f>'Commercial Sizing'!$J$12/12</f>
        <v>#DIV/0!</v>
      </c>
      <c r="G54" s="460" t="e">
        <f>I53*(E54/360)*'Commercial Sizing'!$J$11</f>
        <v>#DIV/0!</v>
      </c>
      <c r="H54" s="460" t="e">
        <f t="shared" si="10"/>
        <v>#DIV/0!</v>
      </c>
      <c r="I54" s="460" t="e">
        <f t="shared" si="11"/>
        <v>#DIV/0!</v>
      </c>
    </row>
    <row r="55" spans="3:9" ht="12.75">
      <c r="C55" s="98">
        <v>52</v>
      </c>
      <c r="D55" s="440" t="e">
        <f>[1]!Edate(D54,1)</f>
        <v>#NAME?</v>
      </c>
      <c r="E55" s="441" t="e">
        <f t="shared" si="9"/>
        <v>#NAME?</v>
      </c>
      <c r="F55" s="460" t="e">
        <f>'Commercial Sizing'!$J$12/12</f>
        <v>#DIV/0!</v>
      </c>
      <c r="G55" s="460" t="e">
        <f>I54*(E55/360)*'Commercial Sizing'!$J$11</f>
        <v>#DIV/0!</v>
      </c>
      <c r="H55" s="460" t="e">
        <f t="shared" si="10"/>
        <v>#DIV/0!</v>
      </c>
      <c r="I55" s="460" t="e">
        <f t="shared" si="11"/>
        <v>#DIV/0!</v>
      </c>
    </row>
    <row r="56" spans="3:9" ht="12.75">
      <c r="C56" s="98">
        <v>53</v>
      </c>
      <c r="D56" s="440" t="e">
        <f>[1]!Edate(D55,1)</f>
        <v>#NAME?</v>
      </c>
      <c r="E56" s="441" t="e">
        <f t="shared" si="9"/>
        <v>#NAME?</v>
      </c>
      <c r="F56" s="460" t="e">
        <f>'Commercial Sizing'!$J$12/12</f>
        <v>#DIV/0!</v>
      </c>
      <c r="G56" s="460" t="e">
        <f>I55*(E56/360)*'Commercial Sizing'!$J$11</f>
        <v>#DIV/0!</v>
      </c>
      <c r="H56" s="460" t="e">
        <f t="shared" si="10"/>
        <v>#DIV/0!</v>
      </c>
      <c r="I56" s="460" t="e">
        <f t="shared" si="11"/>
        <v>#DIV/0!</v>
      </c>
    </row>
    <row r="57" spans="3:9" ht="12.75">
      <c r="C57" s="98">
        <v>54</v>
      </c>
      <c r="D57" s="440" t="e">
        <f>[1]!Edate(D56,1)</f>
        <v>#NAME?</v>
      </c>
      <c r="E57" s="441" t="e">
        <f t="shared" si="9"/>
        <v>#NAME?</v>
      </c>
      <c r="F57" s="460" t="e">
        <f>'Commercial Sizing'!$J$12/12</f>
        <v>#DIV/0!</v>
      </c>
      <c r="G57" s="460" t="e">
        <f>I56*(E57/360)*'Commercial Sizing'!$J$11</f>
        <v>#DIV/0!</v>
      </c>
      <c r="H57" s="460" t="e">
        <f t="shared" si="10"/>
        <v>#DIV/0!</v>
      </c>
      <c r="I57" s="460" t="e">
        <f t="shared" si="11"/>
        <v>#DIV/0!</v>
      </c>
    </row>
    <row r="58" spans="3:9" ht="12.75">
      <c r="C58" s="98">
        <v>55</v>
      </c>
      <c r="D58" s="440" t="e">
        <f>[1]!Edate(D57,1)</f>
        <v>#NAME?</v>
      </c>
      <c r="E58" s="441" t="e">
        <f t="shared" si="9"/>
        <v>#NAME?</v>
      </c>
      <c r="F58" s="460" t="e">
        <f>'Commercial Sizing'!$J$12/12</f>
        <v>#DIV/0!</v>
      </c>
      <c r="G58" s="460" t="e">
        <f>I57*(E58/360)*'Commercial Sizing'!$J$11</f>
        <v>#DIV/0!</v>
      </c>
      <c r="H58" s="460" t="e">
        <f t="shared" si="10"/>
        <v>#DIV/0!</v>
      </c>
      <c r="I58" s="460" t="e">
        <f t="shared" si="11"/>
        <v>#DIV/0!</v>
      </c>
    </row>
    <row r="59" spans="3:9" ht="12.75">
      <c r="C59" s="98">
        <v>56</v>
      </c>
      <c r="D59" s="440" t="e">
        <f>[1]!Edate(D58,1)</f>
        <v>#NAME?</v>
      </c>
      <c r="E59" s="441" t="e">
        <f t="shared" si="9"/>
        <v>#NAME?</v>
      </c>
      <c r="F59" s="460" t="e">
        <f>'Commercial Sizing'!$J$12/12</f>
        <v>#DIV/0!</v>
      </c>
      <c r="G59" s="460" t="e">
        <f>I58*(E59/360)*'Commercial Sizing'!$J$11</f>
        <v>#DIV/0!</v>
      </c>
      <c r="H59" s="460" t="e">
        <f t="shared" si="10"/>
        <v>#DIV/0!</v>
      </c>
      <c r="I59" s="460" t="e">
        <f t="shared" si="11"/>
        <v>#DIV/0!</v>
      </c>
    </row>
    <row r="60" spans="3:9" ht="12.75">
      <c r="C60" s="98">
        <v>57</v>
      </c>
      <c r="D60" s="440" t="e">
        <f>[1]!Edate(D59,1)</f>
        <v>#NAME?</v>
      </c>
      <c r="E60" s="441" t="e">
        <f t="shared" si="9"/>
        <v>#NAME?</v>
      </c>
      <c r="F60" s="460" t="e">
        <f>'Commercial Sizing'!$J$12/12</f>
        <v>#DIV/0!</v>
      </c>
      <c r="G60" s="460" t="e">
        <f>I59*(E60/360)*'Commercial Sizing'!$J$11</f>
        <v>#DIV/0!</v>
      </c>
      <c r="H60" s="460" t="e">
        <f t="shared" si="10"/>
        <v>#DIV/0!</v>
      </c>
      <c r="I60" s="460" t="e">
        <f t="shared" si="11"/>
        <v>#DIV/0!</v>
      </c>
    </row>
    <row r="61" spans="3:9" ht="12.75">
      <c r="C61" s="98">
        <v>58</v>
      </c>
      <c r="D61" s="440" t="e">
        <f>[1]!Edate(D60,1)</f>
        <v>#NAME?</v>
      </c>
      <c r="E61" s="441" t="e">
        <f t="shared" si="9"/>
        <v>#NAME?</v>
      </c>
      <c r="F61" s="460" t="e">
        <f>'Commercial Sizing'!$J$12/12</f>
        <v>#DIV/0!</v>
      </c>
      <c r="G61" s="460" t="e">
        <f>I60*(E61/360)*'Commercial Sizing'!$J$11</f>
        <v>#DIV/0!</v>
      </c>
      <c r="H61" s="460" t="e">
        <f t="shared" si="10"/>
        <v>#DIV/0!</v>
      </c>
      <c r="I61" s="460" t="e">
        <f t="shared" si="11"/>
        <v>#DIV/0!</v>
      </c>
    </row>
    <row r="62" spans="3:9" ht="12.75">
      <c r="C62" s="98">
        <v>59</v>
      </c>
      <c r="D62" s="440" t="e">
        <f>[1]!Edate(D61,1)</f>
        <v>#NAME?</v>
      </c>
      <c r="E62" s="441" t="e">
        <f t="shared" si="9"/>
        <v>#NAME?</v>
      </c>
      <c r="F62" s="460" t="e">
        <f>'Commercial Sizing'!$J$12/12</f>
        <v>#DIV/0!</v>
      </c>
      <c r="G62" s="460" t="e">
        <f>I61*(E62/360)*'Commercial Sizing'!$J$11</f>
        <v>#DIV/0!</v>
      </c>
      <c r="H62" s="460" t="e">
        <f t="shared" si="10"/>
        <v>#DIV/0!</v>
      </c>
      <c r="I62" s="460" t="e">
        <f t="shared" si="11"/>
        <v>#DIV/0!</v>
      </c>
    </row>
    <row r="63" spans="3:9" ht="12.75">
      <c r="C63" s="98">
        <v>60</v>
      </c>
      <c r="D63" s="440" t="e">
        <f>[1]!Edate(D62,1)</f>
        <v>#NAME?</v>
      </c>
      <c r="E63" s="441" t="e">
        <f t="shared" si="9"/>
        <v>#NAME?</v>
      </c>
      <c r="F63" s="460" t="e">
        <f>'Commercial Sizing'!$J$12/12</f>
        <v>#DIV/0!</v>
      </c>
      <c r="G63" s="460" t="e">
        <f>I62*(E63/360)*'Commercial Sizing'!$J$11</f>
        <v>#DIV/0!</v>
      </c>
      <c r="H63" s="460" t="e">
        <f t="shared" si="10"/>
        <v>#DIV/0!</v>
      </c>
      <c r="I63" s="460" t="e">
        <f t="shared" si="11"/>
        <v>#DIV/0!</v>
      </c>
    </row>
    <row r="64" spans="3:9" ht="12.75">
      <c r="C64" s="98">
        <v>61</v>
      </c>
      <c r="D64" s="440" t="e">
        <f>[1]!Edate(D63,1)</f>
        <v>#NAME?</v>
      </c>
      <c r="E64" s="441" t="e">
        <f t="shared" si="9"/>
        <v>#NAME?</v>
      </c>
      <c r="F64" s="460" t="e">
        <f>'Commercial Sizing'!$J$12/12</f>
        <v>#DIV/0!</v>
      </c>
      <c r="G64" s="460" t="e">
        <f>I63*(E64/360)*'Commercial Sizing'!$J$11</f>
        <v>#DIV/0!</v>
      </c>
      <c r="H64" s="460" t="e">
        <f t="shared" si="10"/>
        <v>#DIV/0!</v>
      </c>
      <c r="I64" s="460" t="e">
        <f t="shared" si="11"/>
        <v>#DIV/0!</v>
      </c>
    </row>
    <row r="65" spans="3:9" ht="12.75">
      <c r="C65" s="98">
        <v>62</v>
      </c>
      <c r="D65" s="440" t="e">
        <f>[1]!Edate(D64,1)</f>
        <v>#NAME?</v>
      </c>
      <c r="E65" s="441" t="e">
        <f t="shared" si="9"/>
        <v>#NAME?</v>
      </c>
      <c r="F65" s="460" t="e">
        <f>'Commercial Sizing'!$J$12/12</f>
        <v>#DIV/0!</v>
      </c>
      <c r="G65" s="460" t="e">
        <f>I64*(E65/360)*'Commercial Sizing'!$J$11</f>
        <v>#DIV/0!</v>
      </c>
      <c r="H65" s="460" t="e">
        <f t="shared" si="10"/>
        <v>#DIV/0!</v>
      </c>
      <c r="I65" s="460" t="e">
        <f t="shared" si="11"/>
        <v>#DIV/0!</v>
      </c>
    </row>
    <row r="66" spans="3:9" ht="12.75">
      <c r="C66" s="98">
        <v>63</v>
      </c>
      <c r="D66" s="440" t="e">
        <f>[1]!Edate(D65,1)</f>
        <v>#NAME?</v>
      </c>
      <c r="E66" s="441" t="e">
        <f t="shared" si="9"/>
        <v>#NAME?</v>
      </c>
      <c r="F66" s="460" t="e">
        <f>'Commercial Sizing'!$J$12/12</f>
        <v>#DIV/0!</v>
      </c>
      <c r="G66" s="460" t="e">
        <f>I65*(E66/360)*'Commercial Sizing'!$J$11</f>
        <v>#DIV/0!</v>
      </c>
      <c r="H66" s="460" t="e">
        <f t="shared" si="10"/>
        <v>#DIV/0!</v>
      </c>
      <c r="I66" s="460" t="e">
        <f t="shared" si="11"/>
        <v>#DIV/0!</v>
      </c>
    </row>
    <row r="67" spans="3:9" ht="12.75">
      <c r="C67" s="98">
        <v>64</v>
      </c>
      <c r="D67" s="440" t="e">
        <f>[1]!Edate(D66,1)</f>
        <v>#NAME?</v>
      </c>
      <c r="E67" s="441" t="e">
        <f t="shared" si="9"/>
        <v>#NAME?</v>
      </c>
      <c r="F67" s="460" t="e">
        <f>'Commercial Sizing'!$J$12/12</f>
        <v>#DIV/0!</v>
      </c>
      <c r="G67" s="460" t="e">
        <f>I66*(E67/360)*'Commercial Sizing'!$J$11</f>
        <v>#DIV/0!</v>
      </c>
      <c r="H67" s="460" t="e">
        <f t="shared" si="10"/>
        <v>#DIV/0!</v>
      </c>
      <c r="I67" s="460" t="e">
        <f t="shared" si="11"/>
        <v>#DIV/0!</v>
      </c>
    </row>
    <row r="68" spans="3:9" ht="12.75">
      <c r="C68" s="98">
        <v>65</v>
      </c>
      <c r="D68" s="440" t="e">
        <f>[1]!Edate(D67,1)</f>
        <v>#NAME?</v>
      </c>
      <c r="E68" s="441" t="e">
        <f t="shared" si="9"/>
        <v>#NAME?</v>
      </c>
      <c r="F68" s="460" t="e">
        <f>'Commercial Sizing'!$J$12/12</f>
        <v>#DIV/0!</v>
      </c>
      <c r="G68" s="460" t="e">
        <f>I67*(E68/360)*'Commercial Sizing'!$J$11</f>
        <v>#DIV/0!</v>
      </c>
      <c r="H68" s="460" t="e">
        <f t="shared" si="10"/>
        <v>#DIV/0!</v>
      </c>
      <c r="I68" s="460" t="e">
        <f t="shared" si="11"/>
        <v>#DIV/0!</v>
      </c>
    </row>
    <row r="69" spans="3:9" ht="12.75">
      <c r="C69" s="98">
        <v>66</v>
      </c>
      <c r="D69" s="440" t="e">
        <f>[1]!Edate(D68,1)</f>
        <v>#NAME?</v>
      </c>
      <c r="E69" s="441" t="e">
        <f aca="true" t="shared" si="12" ref="E69:E84">D70-D69</f>
        <v>#NAME?</v>
      </c>
      <c r="F69" s="460" t="e">
        <f>'Commercial Sizing'!$J$12/12</f>
        <v>#DIV/0!</v>
      </c>
      <c r="G69" s="460" t="e">
        <f>I68*(E69/360)*'Commercial Sizing'!$J$11</f>
        <v>#DIV/0!</v>
      </c>
      <c r="H69" s="460" t="e">
        <f aca="true" t="shared" si="13" ref="H69:H84">F69-G69</f>
        <v>#DIV/0!</v>
      </c>
      <c r="I69" s="460" t="e">
        <f aca="true" t="shared" si="14" ref="I69:I84">I68-H69</f>
        <v>#DIV/0!</v>
      </c>
    </row>
    <row r="70" spans="3:9" ht="12.75">
      <c r="C70" s="98">
        <v>67</v>
      </c>
      <c r="D70" s="440" t="e">
        <f>[1]!Edate(D69,1)</f>
        <v>#NAME?</v>
      </c>
      <c r="E70" s="441" t="e">
        <f t="shared" si="12"/>
        <v>#NAME?</v>
      </c>
      <c r="F70" s="460" t="e">
        <f>'Commercial Sizing'!$J$12/12</f>
        <v>#DIV/0!</v>
      </c>
      <c r="G70" s="460" t="e">
        <f>I69*(E70/360)*'Commercial Sizing'!$J$11</f>
        <v>#DIV/0!</v>
      </c>
      <c r="H70" s="460" t="e">
        <f t="shared" si="13"/>
        <v>#DIV/0!</v>
      </c>
      <c r="I70" s="460" t="e">
        <f t="shared" si="14"/>
        <v>#DIV/0!</v>
      </c>
    </row>
    <row r="71" spans="3:9" ht="12.75">
      <c r="C71" s="98">
        <v>68</v>
      </c>
      <c r="D71" s="440" t="e">
        <f>[1]!Edate(D70,1)</f>
        <v>#NAME?</v>
      </c>
      <c r="E71" s="441" t="e">
        <f t="shared" si="12"/>
        <v>#NAME?</v>
      </c>
      <c r="F71" s="460" t="e">
        <f>'Commercial Sizing'!$J$12/12</f>
        <v>#DIV/0!</v>
      </c>
      <c r="G71" s="460" t="e">
        <f>I70*(E71/360)*'Commercial Sizing'!$J$11</f>
        <v>#DIV/0!</v>
      </c>
      <c r="H71" s="460" t="e">
        <f t="shared" si="13"/>
        <v>#DIV/0!</v>
      </c>
      <c r="I71" s="460" t="e">
        <f t="shared" si="14"/>
        <v>#DIV/0!</v>
      </c>
    </row>
    <row r="72" spans="3:9" ht="12.75">
      <c r="C72" s="98">
        <v>69</v>
      </c>
      <c r="D72" s="440" t="e">
        <f>[1]!Edate(D71,1)</f>
        <v>#NAME?</v>
      </c>
      <c r="E72" s="441" t="e">
        <f t="shared" si="12"/>
        <v>#NAME?</v>
      </c>
      <c r="F72" s="460" t="e">
        <f>'Commercial Sizing'!$J$12/12</f>
        <v>#DIV/0!</v>
      </c>
      <c r="G72" s="460" t="e">
        <f>I71*(E72/360)*'Commercial Sizing'!$J$11</f>
        <v>#DIV/0!</v>
      </c>
      <c r="H72" s="460" t="e">
        <f t="shared" si="13"/>
        <v>#DIV/0!</v>
      </c>
      <c r="I72" s="460" t="e">
        <f t="shared" si="14"/>
        <v>#DIV/0!</v>
      </c>
    </row>
    <row r="73" spans="3:9" ht="12.75">
      <c r="C73" s="98">
        <v>70</v>
      </c>
      <c r="D73" s="440" t="e">
        <f>[1]!Edate(D72,1)</f>
        <v>#NAME?</v>
      </c>
      <c r="E73" s="441" t="e">
        <f t="shared" si="12"/>
        <v>#NAME?</v>
      </c>
      <c r="F73" s="460" t="e">
        <f>'Commercial Sizing'!$J$12/12</f>
        <v>#DIV/0!</v>
      </c>
      <c r="G73" s="460" t="e">
        <f>I72*(E73/360)*'Commercial Sizing'!$J$11</f>
        <v>#DIV/0!</v>
      </c>
      <c r="H73" s="460" t="e">
        <f t="shared" si="13"/>
        <v>#DIV/0!</v>
      </c>
      <c r="I73" s="460" t="e">
        <f t="shared" si="14"/>
        <v>#DIV/0!</v>
      </c>
    </row>
    <row r="74" spans="3:9" ht="12.75">
      <c r="C74" s="98">
        <v>71</v>
      </c>
      <c r="D74" s="440" t="e">
        <f>[1]!Edate(D73,1)</f>
        <v>#NAME?</v>
      </c>
      <c r="E74" s="441" t="e">
        <f t="shared" si="12"/>
        <v>#NAME?</v>
      </c>
      <c r="F74" s="460" t="e">
        <f>'Commercial Sizing'!$J$12/12</f>
        <v>#DIV/0!</v>
      </c>
      <c r="G74" s="460" t="e">
        <f>I73*(E74/360)*'Commercial Sizing'!$J$11</f>
        <v>#DIV/0!</v>
      </c>
      <c r="H74" s="460" t="e">
        <f t="shared" si="13"/>
        <v>#DIV/0!</v>
      </c>
      <c r="I74" s="460" t="e">
        <f t="shared" si="14"/>
        <v>#DIV/0!</v>
      </c>
    </row>
    <row r="75" spans="3:9" ht="12.75">
      <c r="C75" s="98">
        <v>72</v>
      </c>
      <c r="D75" s="440" t="e">
        <f>[1]!Edate(D74,1)</f>
        <v>#NAME?</v>
      </c>
      <c r="E75" s="441" t="e">
        <f t="shared" si="12"/>
        <v>#NAME?</v>
      </c>
      <c r="F75" s="460" t="e">
        <f>'Commercial Sizing'!$J$12/12</f>
        <v>#DIV/0!</v>
      </c>
      <c r="G75" s="460" t="e">
        <f>I74*(E75/360)*'Commercial Sizing'!$J$11</f>
        <v>#DIV/0!</v>
      </c>
      <c r="H75" s="460" t="e">
        <f t="shared" si="13"/>
        <v>#DIV/0!</v>
      </c>
      <c r="I75" s="460" t="e">
        <f t="shared" si="14"/>
        <v>#DIV/0!</v>
      </c>
    </row>
    <row r="76" spans="3:9" ht="12.75">
      <c r="C76" s="98">
        <v>73</v>
      </c>
      <c r="D76" s="440" t="e">
        <f>[1]!Edate(D75,1)</f>
        <v>#NAME?</v>
      </c>
      <c r="E76" s="441" t="e">
        <f t="shared" si="12"/>
        <v>#NAME?</v>
      </c>
      <c r="F76" s="460" t="e">
        <f>'Commercial Sizing'!$J$12/12</f>
        <v>#DIV/0!</v>
      </c>
      <c r="G76" s="460" t="e">
        <f>I75*(E76/360)*'Commercial Sizing'!$J$11</f>
        <v>#DIV/0!</v>
      </c>
      <c r="H76" s="460" t="e">
        <f t="shared" si="13"/>
        <v>#DIV/0!</v>
      </c>
      <c r="I76" s="460" t="e">
        <f t="shared" si="14"/>
        <v>#DIV/0!</v>
      </c>
    </row>
    <row r="77" spans="3:9" ht="12.75">
      <c r="C77" s="98">
        <v>74</v>
      </c>
      <c r="D77" s="440" t="e">
        <f>[1]!Edate(D76,1)</f>
        <v>#NAME?</v>
      </c>
      <c r="E77" s="441" t="e">
        <f t="shared" si="12"/>
        <v>#NAME?</v>
      </c>
      <c r="F77" s="460" t="e">
        <f>'Commercial Sizing'!$J$12/12</f>
        <v>#DIV/0!</v>
      </c>
      <c r="G77" s="460" t="e">
        <f>I76*(E77/360)*'Commercial Sizing'!$J$11</f>
        <v>#DIV/0!</v>
      </c>
      <c r="H77" s="460" t="e">
        <f t="shared" si="13"/>
        <v>#DIV/0!</v>
      </c>
      <c r="I77" s="460" t="e">
        <f t="shared" si="14"/>
        <v>#DIV/0!</v>
      </c>
    </row>
    <row r="78" spans="3:9" ht="12.75">
      <c r="C78" s="98">
        <v>75</v>
      </c>
      <c r="D78" s="440" t="e">
        <f>[1]!Edate(D77,1)</f>
        <v>#NAME?</v>
      </c>
      <c r="E78" s="441" t="e">
        <f t="shared" si="12"/>
        <v>#NAME?</v>
      </c>
      <c r="F78" s="460" t="e">
        <f>'Commercial Sizing'!$J$12/12</f>
        <v>#DIV/0!</v>
      </c>
      <c r="G78" s="460" t="e">
        <f>I77*(E78/360)*'Commercial Sizing'!$J$11</f>
        <v>#DIV/0!</v>
      </c>
      <c r="H78" s="460" t="e">
        <f t="shared" si="13"/>
        <v>#DIV/0!</v>
      </c>
      <c r="I78" s="460" t="e">
        <f t="shared" si="14"/>
        <v>#DIV/0!</v>
      </c>
    </row>
    <row r="79" spans="3:9" ht="12.75">
      <c r="C79" s="98">
        <v>76</v>
      </c>
      <c r="D79" s="440" t="e">
        <f>[1]!Edate(D78,1)</f>
        <v>#NAME?</v>
      </c>
      <c r="E79" s="441" t="e">
        <f t="shared" si="12"/>
        <v>#NAME?</v>
      </c>
      <c r="F79" s="460" t="e">
        <f>'Commercial Sizing'!$J$12/12</f>
        <v>#DIV/0!</v>
      </c>
      <c r="G79" s="460" t="e">
        <f>I78*(E79/360)*'Commercial Sizing'!$J$11</f>
        <v>#DIV/0!</v>
      </c>
      <c r="H79" s="460" t="e">
        <f t="shared" si="13"/>
        <v>#DIV/0!</v>
      </c>
      <c r="I79" s="460" t="e">
        <f t="shared" si="14"/>
        <v>#DIV/0!</v>
      </c>
    </row>
    <row r="80" spans="3:9" ht="12.75">
      <c r="C80" s="98">
        <v>77</v>
      </c>
      <c r="D80" s="440" t="e">
        <f>[1]!Edate(D79,1)</f>
        <v>#NAME?</v>
      </c>
      <c r="E80" s="441" t="e">
        <f t="shared" si="12"/>
        <v>#NAME?</v>
      </c>
      <c r="F80" s="460" t="e">
        <f>'Commercial Sizing'!$J$12/12</f>
        <v>#DIV/0!</v>
      </c>
      <c r="G80" s="460" t="e">
        <f>I79*(E80/360)*'Commercial Sizing'!$J$11</f>
        <v>#DIV/0!</v>
      </c>
      <c r="H80" s="460" t="e">
        <f t="shared" si="13"/>
        <v>#DIV/0!</v>
      </c>
      <c r="I80" s="460" t="e">
        <f t="shared" si="14"/>
        <v>#DIV/0!</v>
      </c>
    </row>
    <row r="81" spans="3:9" ht="12.75">
      <c r="C81" s="98">
        <v>78</v>
      </c>
      <c r="D81" s="440" t="e">
        <f>[1]!Edate(D80,1)</f>
        <v>#NAME?</v>
      </c>
      <c r="E81" s="441" t="e">
        <f t="shared" si="12"/>
        <v>#NAME?</v>
      </c>
      <c r="F81" s="460" t="e">
        <f>'Commercial Sizing'!$J$12/12</f>
        <v>#DIV/0!</v>
      </c>
      <c r="G81" s="460" t="e">
        <f>I80*(E81/360)*'Commercial Sizing'!$J$11</f>
        <v>#DIV/0!</v>
      </c>
      <c r="H81" s="460" t="e">
        <f t="shared" si="13"/>
        <v>#DIV/0!</v>
      </c>
      <c r="I81" s="460" t="e">
        <f t="shared" si="14"/>
        <v>#DIV/0!</v>
      </c>
    </row>
    <row r="82" spans="3:9" ht="12.75">
      <c r="C82" s="98">
        <v>79</v>
      </c>
      <c r="D82" s="440" t="e">
        <f>[1]!Edate(D81,1)</f>
        <v>#NAME?</v>
      </c>
      <c r="E82" s="441" t="e">
        <f t="shared" si="12"/>
        <v>#NAME?</v>
      </c>
      <c r="F82" s="460" t="e">
        <f>'Commercial Sizing'!$J$12/12</f>
        <v>#DIV/0!</v>
      </c>
      <c r="G82" s="460" t="e">
        <f>I81*(E82/360)*'Commercial Sizing'!$J$11</f>
        <v>#DIV/0!</v>
      </c>
      <c r="H82" s="460" t="e">
        <f t="shared" si="13"/>
        <v>#DIV/0!</v>
      </c>
      <c r="I82" s="460" t="e">
        <f t="shared" si="14"/>
        <v>#DIV/0!</v>
      </c>
    </row>
    <row r="83" spans="3:9" ht="12.75">
      <c r="C83" s="98">
        <v>80</v>
      </c>
      <c r="D83" s="440" t="e">
        <f>[1]!Edate(D82,1)</f>
        <v>#NAME?</v>
      </c>
      <c r="E83" s="441" t="e">
        <f t="shared" si="12"/>
        <v>#NAME?</v>
      </c>
      <c r="F83" s="460" t="e">
        <f>'Commercial Sizing'!$J$12/12</f>
        <v>#DIV/0!</v>
      </c>
      <c r="G83" s="460" t="e">
        <f>I82*(E83/360)*'Commercial Sizing'!$J$11</f>
        <v>#DIV/0!</v>
      </c>
      <c r="H83" s="460" t="e">
        <f t="shared" si="13"/>
        <v>#DIV/0!</v>
      </c>
      <c r="I83" s="460" t="e">
        <f t="shared" si="14"/>
        <v>#DIV/0!</v>
      </c>
    </row>
    <row r="84" spans="3:9" ht="12.75">
      <c r="C84" s="98">
        <v>81</v>
      </c>
      <c r="D84" s="440" t="e">
        <f>[1]!Edate(D83,1)</f>
        <v>#NAME?</v>
      </c>
      <c r="E84" s="441" t="e">
        <f t="shared" si="12"/>
        <v>#NAME?</v>
      </c>
      <c r="F84" s="460" t="e">
        <f>'Commercial Sizing'!$J$12/12</f>
        <v>#DIV/0!</v>
      </c>
      <c r="G84" s="460" t="e">
        <f>I83*(E84/360)*'Commercial Sizing'!$J$11</f>
        <v>#DIV/0!</v>
      </c>
      <c r="H84" s="460" t="e">
        <f t="shared" si="13"/>
        <v>#DIV/0!</v>
      </c>
      <c r="I84" s="460" t="e">
        <f t="shared" si="14"/>
        <v>#DIV/0!</v>
      </c>
    </row>
    <row r="85" spans="3:9" ht="12.75">
      <c r="C85" s="98">
        <v>82</v>
      </c>
      <c r="D85" s="440" t="e">
        <f>[1]!Edate(D84,1)</f>
        <v>#NAME?</v>
      </c>
      <c r="E85" s="441" t="e">
        <f aca="true" t="shared" si="15" ref="E85:E100">D86-D85</f>
        <v>#NAME?</v>
      </c>
      <c r="F85" s="460" t="e">
        <f>'Commercial Sizing'!$J$12/12</f>
        <v>#DIV/0!</v>
      </c>
      <c r="G85" s="460" t="e">
        <f>I84*(E85/360)*'Commercial Sizing'!$J$11</f>
        <v>#DIV/0!</v>
      </c>
      <c r="H85" s="460" t="e">
        <f aca="true" t="shared" si="16" ref="H85:H100">F85-G85</f>
        <v>#DIV/0!</v>
      </c>
      <c r="I85" s="460" t="e">
        <f aca="true" t="shared" si="17" ref="I85:I100">I84-H85</f>
        <v>#DIV/0!</v>
      </c>
    </row>
    <row r="86" spans="3:9" ht="12.75">
      <c r="C86" s="98">
        <v>83</v>
      </c>
      <c r="D86" s="440" t="e">
        <f>[1]!Edate(D85,1)</f>
        <v>#NAME?</v>
      </c>
      <c r="E86" s="441" t="e">
        <f t="shared" si="15"/>
        <v>#NAME?</v>
      </c>
      <c r="F86" s="460" t="e">
        <f>'Commercial Sizing'!$J$12/12</f>
        <v>#DIV/0!</v>
      </c>
      <c r="G86" s="460" t="e">
        <f>I85*(E86/360)*'Commercial Sizing'!$J$11</f>
        <v>#DIV/0!</v>
      </c>
      <c r="H86" s="460" t="e">
        <f t="shared" si="16"/>
        <v>#DIV/0!</v>
      </c>
      <c r="I86" s="460" t="e">
        <f t="shared" si="17"/>
        <v>#DIV/0!</v>
      </c>
    </row>
    <row r="87" spans="3:9" ht="12.75">
      <c r="C87" s="98">
        <v>84</v>
      </c>
      <c r="D87" s="440" t="e">
        <f>[1]!Edate(D86,1)</f>
        <v>#NAME?</v>
      </c>
      <c r="E87" s="441" t="e">
        <f t="shared" si="15"/>
        <v>#NAME?</v>
      </c>
      <c r="F87" s="460" t="e">
        <f>'Commercial Sizing'!$J$12/12</f>
        <v>#DIV/0!</v>
      </c>
      <c r="G87" s="460" t="e">
        <f>I86*(E87/360)*'Commercial Sizing'!$J$11</f>
        <v>#DIV/0!</v>
      </c>
      <c r="H87" s="460" t="e">
        <f t="shared" si="16"/>
        <v>#DIV/0!</v>
      </c>
      <c r="I87" s="460" t="e">
        <f t="shared" si="17"/>
        <v>#DIV/0!</v>
      </c>
    </row>
    <row r="88" spans="3:9" ht="12.75">
      <c r="C88" s="98">
        <v>85</v>
      </c>
      <c r="D88" s="440" t="e">
        <f>[1]!Edate(D87,1)</f>
        <v>#NAME?</v>
      </c>
      <c r="E88" s="441" t="e">
        <f t="shared" si="15"/>
        <v>#NAME?</v>
      </c>
      <c r="F88" s="460" t="e">
        <f>'Commercial Sizing'!$J$12/12</f>
        <v>#DIV/0!</v>
      </c>
      <c r="G88" s="460" t="e">
        <f>I87*(E88/360)*'Commercial Sizing'!$J$11</f>
        <v>#DIV/0!</v>
      </c>
      <c r="H88" s="460" t="e">
        <f t="shared" si="16"/>
        <v>#DIV/0!</v>
      </c>
      <c r="I88" s="460" t="e">
        <f t="shared" si="17"/>
        <v>#DIV/0!</v>
      </c>
    </row>
    <row r="89" spans="3:9" ht="12.75">
      <c r="C89" s="98">
        <v>86</v>
      </c>
      <c r="D89" s="440" t="e">
        <f>[1]!Edate(D88,1)</f>
        <v>#NAME?</v>
      </c>
      <c r="E89" s="441" t="e">
        <f t="shared" si="15"/>
        <v>#NAME?</v>
      </c>
      <c r="F89" s="460" t="e">
        <f>'Commercial Sizing'!$J$12/12</f>
        <v>#DIV/0!</v>
      </c>
      <c r="G89" s="460" t="e">
        <f>I88*(E89/360)*'Commercial Sizing'!$J$11</f>
        <v>#DIV/0!</v>
      </c>
      <c r="H89" s="460" t="e">
        <f t="shared" si="16"/>
        <v>#DIV/0!</v>
      </c>
      <c r="I89" s="460" t="e">
        <f t="shared" si="17"/>
        <v>#DIV/0!</v>
      </c>
    </row>
    <row r="90" spans="3:9" ht="12.75">
      <c r="C90" s="98">
        <v>87</v>
      </c>
      <c r="D90" s="440" t="e">
        <f>[1]!Edate(D89,1)</f>
        <v>#NAME?</v>
      </c>
      <c r="E90" s="441" t="e">
        <f t="shared" si="15"/>
        <v>#NAME?</v>
      </c>
      <c r="F90" s="460" t="e">
        <f>'Commercial Sizing'!$J$12/12</f>
        <v>#DIV/0!</v>
      </c>
      <c r="G90" s="460" t="e">
        <f>I89*(E90/360)*'Commercial Sizing'!$J$11</f>
        <v>#DIV/0!</v>
      </c>
      <c r="H90" s="460" t="e">
        <f t="shared" si="16"/>
        <v>#DIV/0!</v>
      </c>
      <c r="I90" s="460" t="e">
        <f t="shared" si="17"/>
        <v>#DIV/0!</v>
      </c>
    </row>
    <row r="91" spans="3:9" ht="12.75">
      <c r="C91" s="98">
        <v>88</v>
      </c>
      <c r="D91" s="440" t="e">
        <f>[1]!Edate(D90,1)</f>
        <v>#NAME?</v>
      </c>
      <c r="E91" s="441" t="e">
        <f t="shared" si="15"/>
        <v>#NAME?</v>
      </c>
      <c r="F91" s="460" t="e">
        <f>'Commercial Sizing'!$J$12/12</f>
        <v>#DIV/0!</v>
      </c>
      <c r="G91" s="460" t="e">
        <f>I90*(E91/360)*'Commercial Sizing'!$J$11</f>
        <v>#DIV/0!</v>
      </c>
      <c r="H91" s="460" t="e">
        <f t="shared" si="16"/>
        <v>#DIV/0!</v>
      </c>
      <c r="I91" s="460" t="e">
        <f t="shared" si="17"/>
        <v>#DIV/0!</v>
      </c>
    </row>
    <row r="92" spans="3:9" ht="12.75">
      <c r="C92" s="98">
        <v>89</v>
      </c>
      <c r="D92" s="440" t="e">
        <f>[1]!Edate(D91,1)</f>
        <v>#NAME?</v>
      </c>
      <c r="E92" s="441" t="e">
        <f t="shared" si="15"/>
        <v>#NAME?</v>
      </c>
      <c r="F92" s="460" t="e">
        <f>'Commercial Sizing'!$J$12/12</f>
        <v>#DIV/0!</v>
      </c>
      <c r="G92" s="460" t="e">
        <f>I91*(E92/360)*'Commercial Sizing'!$J$11</f>
        <v>#DIV/0!</v>
      </c>
      <c r="H92" s="460" t="e">
        <f t="shared" si="16"/>
        <v>#DIV/0!</v>
      </c>
      <c r="I92" s="460" t="e">
        <f t="shared" si="17"/>
        <v>#DIV/0!</v>
      </c>
    </row>
    <row r="93" spans="3:9" ht="12.75">
      <c r="C93" s="98">
        <v>90</v>
      </c>
      <c r="D93" s="440" t="e">
        <f>[1]!Edate(D92,1)</f>
        <v>#NAME?</v>
      </c>
      <c r="E93" s="441" t="e">
        <f t="shared" si="15"/>
        <v>#NAME?</v>
      </c>
      <c r="F93" s="460" t="e">
        <f>'Commercial Sizing'!$J$12/12</f>
        <v>#DIV/0!</v>
      </c>
      <c r="G93" s="460" t="e">
        <f>I92*(E93/360)*'Commercial Sizing'!$J$11</f>
        <v>#DIV/0!</v>
      </c>
      <c r="H93" s="460" t="e">
        <f t="shared" si="16"/>
        <v>#DIV/0!</v>
      </c>
      <c r="I93" s="460" t="e">
        <f t="shared" si="17"/>
        <v>#DIV/0!</v>
      </c>
    </row>
    <row r="94" spans="3:9" ht="12.75">
      <c r="C94" s="98">
        <v>91</v>
      </c>
      <c r="D94" s="440" t="e">
        <f>[1]!Edate(D93,1)</f>
        <v>#NAME?</v>
      </c>
      <c r="E94" s="441" t="e">
        <f t="shared" si="15"/>
        <v>#NAME?</v>
      </c>
      <c r="F94" s="460" t="e">
        <f>'Commercial Sizing'!$J$12/12</f>
        <v>#DIV/0!</v>
      </c>
      <c r="G94" s="460" t="e">
        <f>I93*(E94/360)*'Commercial Sizing'!$J$11</f>
        <v>#DIV/0!</v>
      </c>
      <c r="H94" s="460" t="e">
        <f t="shared" si="16"/>
        <v>#DIV/0!</v>
      </c>
      <c r="I94" s="460" t="e">
        <f t="shared" si="17"/>
        <v>#DIV/0!</v>
      </c>
    </row>
    <row r="95" spans="3:9" ht="12.75">
      <c r="C95" s="98">
        <v>92</v>
      </c>
      <c r="D95" s="440" t="e">
        <f>[1]!Edate(D94,1)</f>
        <v>#NAME?</v>
      </c>
      <c r="E95" s="441" t="e">
        <f t="shared" si="15"/>
        <v>#NAME?</v>
      </c>
      <c r="F95" s="460" t="e">
        <f>'Commercial Sizing'!$J$12/12</f>
        <v>#DIV/0!</v>
      </c>
      <c r="G95" s="460" t="e">
        <f>I94*(E95/360)*'Commercial Sizing'!$J$11</f>
        <v>#DIV/0!</v>
      </c>
      <c r="H95" s="460" t="e">
        <f t="shared" si="16"/>
        <v>#DIV/0!</v>
      </c>
      <c r="I95" s="460" t="e">
        <f t="shared" si="17"/>
        <v>#DIV/0!</v>
      </c>
    </row>
    <row r="96" spans="3:9" ht="12.75">
      <c r="C96" s="98">
        <v>93</v>
      </c>
      <c r="D96" s="440" t="e">
        <f>[1]!Edate(D95,1)</f>
        <v>#NAME?</v>
      </c>
      <c r="E96" s="441" t="e">
        <f t="shared" si="15"/>
        <v>#NAME?</v>
      </c>
      <c r="F96" s="460" t="e">
        <f>'Commercial Sizing'!$J$12/12</f>
        <v>#DIV/0!</v>
      </c>
      <c r="G96" s="460" t="e">
        <f>I95*(E96/360)*'Commercial Sizing'!$J$11</f>
        <v>#DIV/0!</v>
      </c>
      <c r="H96" s="460" t="e">
        <f t="shared" si="16"/>
        <v>#DIV/0!</v>
      </c>
      <c r="I96" s="460" t="e">
        <f t="shared" si="17"/>
        <v>#DIV/0!</v>
      </c>
    </row>
    <row r="97" spans="3:9" ht="12.75">
      <c r="C97" s="98">
        <v>94</v>
      </c>
      <c r="D97" s="440" t="e">
        <f>[1]!Edate(D96,1)</f>
        <v>#NAME?</v>
      </c>
      <c r="E97" s="441" t="e">
        <f t="shared" si="15"/>
        <v>#NAME?</v>
      </c>
      <c r="F97" s="460" t="e">
        <f>'Commercial Sizing'!$J$12/12</f>
        <v>#DIV/0!</v>
      </c>
      <c r="G97" s="460" t="e">
        <f>I96*(E97/360)*'Commercial Sizing'!$J$11</f>
        <v>#DIV/0!</v>
      </c>
      <c r="H97" s="460" t="e">
        <f t="shared" si="16"/>
        <v>#DIV/0!</v>
      </c>
      <c r="I97" s="460" t="e">
        <f t="shared" si="17"/>
        <v>#DIV/0!</v>
      </c>
    </row>
    <row r="98" spans="3:9" ht="12.75">
      <c r="C98" s="98">
        <v>95</v>
      </c>
      <c r="D98" s="440" t="e">
        <f>[1]!Edate(D97,1)</f>
        <v>#NAME?</v>
      </c>
      <c r="E98" s="441" t="e">
        <f t="shared" si="15"/>
        <v>#NAME?</v>
      </c>
      <c r="F98" s="460" t="e">
        <f>'Commercial Sizing'!$J$12/12</f>
        <v>#DIV/0!</v>
      </c>
      <c r="G98" s="460" t="e">
        <f>I97*(E98/360)*'Commercial Sizing'!$J$11</f>
        <v>#DIV/0!</v>
      </c>
      <c r="H98" s="460" t="e">
        <f t="shared" si="16"/>
        <v>#DIV/0!</v>
      </c>
      <c r="I98" s="460" t="e">
        <f t="shared" si="17"/>
        <v>#DIV/0!</v>
      </c>
    </row>
    <row r="99" spans="3:9" ht="12.75">
      <c r="C99" s="98">
        <v>96</v>
      </c>
      <c r="D99" s="440" t="e">
        <f>[1]!Edate(D98,1)</f>
        <v>#NAME?</v>
      </c>
      <c r="E99" s="441" t="e">
        <f t="shared" si="15"/>
        <v>#NAME?</v>
      </c>
      <c r="F99" s="460" t="e">
        <f>'Commercial Sizing'!$J$12/12</f>
        <v>#DIV/0!</v>
      </c>
      <c r="G99" s="460" t="e">
        <f>I98*(E99/360)*'Commercial Sizing'!$J$11</f>
        <v>#DIV/0!</v>
      </c>
      <c r="H99" s="460" t="e">
        <f t="shared" si="16"/>
        <v>#DIV/0!</v>
      </c>
      <c r="I99" s="460" t="e">
        <f t="shared" si="17"/>
        <v>#DIV/0!</v>
      </c>
    </row>
    <row r="100" spans="3:9" ht="12.75">
      <c r="C100" s="98">
        <v>97</v>
      </c>
      <c r="D100" s="440" t="e">
        <f>[1]!Edate(D99,1)</f>
        <v>#NAME?</v>
      </c>
      <c r="E100" s="441" t="e">
        <f t="shared" si="15"/>
        <v>#NAME?</v>
      </c>
      <c r="F100" s="460" t="e">
        <f>'Commercial Sizing'!$J$12/12</f>
        <v>#DIV/0!</v>
      </c>
      <c r="G100" s="460" t="e">
        <f>I99*(E100/360)*'Commercial Sizing'!$J$11</f>
        <v>#DIV/0!</v>
      </c>
      <c r="H100" s="460" t="e">
        <f t="shared" si="16"/>
        <v>#DIV/0!</v>
      </c>
      <c r="I100" s="460" t="e">
        <f t="shared" si="17"/>
        <v>#DIV/0!</v>
      </c>
    </row>
    <row r="101" spans="3:9" ht="12.75">
      <c r="C101" s="98">
        <v>98</v>
      </c>
      <c r="D101" s="440" t="e">
        <f>[1]!Edate(D100,1)</f>
        <v>#NAME?</v>
      </c>
      <c r="E101" s="441" t="e">
        <f aca="true" t="shared" si="18" ref="E101:E116">D102-D101</f>
        <v>#NAME?</v>
      </c>
      <c r="F101" s="460" t="e">
        <f>'Commercial Sizing'!$J$12/12</f>
        <v>#DIV/0!</v>
      </c>
      <c r="G101" s="460" t="e">
        <f>I100*(E101/360)*'Commercial Sizing'!$J$11</f>
        <v>#DIV/0!</v>
      </c>
      <c r="H101" s="460" t="e">
        <f aca="true" t="shared" si="19" ref="H101:H116">F101-G101</f>
        <v>#DIV/0!</v>
      </c>
      <c r="I101" s="460" t="e">
        <f aca="true" t="shared" si="20" ref="I101:I116">I100-H101</f>
        <v>#DIV/0!</v>
      </c>
    </row>
    <row r="102" spans="3:9" ht="12.75">
      <c r="C102" s="98">
        <v>99</v>
      </c>
      <c r="D102" s="440" t="e">
        <f>[1]!Edate(D101,1)</f>
        <v>#NAME?</v>
      </c>
      <c r="E102" s="441" t="e">
        <f t="shared" si="18"/>
        <v>#NAME?</v>
      </c>
      <c r="F102" s="460" t="e">
        <f>'Commercial Sizing'!$J$12/12</f>
        <v>#DIV/0!</v>
      </c>
      <c r="G102" s="460" t="e">
        <f>I101*(E102/360)*'Commercial Sizing'!$J$11</f>
        <v>#DIV/0!</v>
      </c>
      <c r="H102" s="460" t="e">
        <f t="shared" si="19"/>
        <v>#DIV/0!</v>
      </c>
      <c r="I102" s="460" t="e">
        <f t="shared" si="20"/>
        <v>#DIV/0!</v>
      </c>
    </row>
    <row r="103" spans="3:9" ht="12.75">
      <c r="C103" s="98">
        <v>100</v>
      </c>
      <c r="D103" s="440" t="e">
        <f>[1]!Edate(D102,1)</f>
        <v>#NAME?</v>
      </c>
      <c r="E103" s="441" t="e">
        <f t="shared" si="18"/>
        <v>#NAME?</v>
      </c>
      <c r="F103" s="460" t="e">
        <f>'Commercial Sizing'!$J$12/12</f>
        <v>#DIV/0!</v>
      </c>
      <c r="G103" s="460" t="e">
        <f>I102*(E103/360)*'Commercial Sizing'!$J$11</f>
        <v>#DIV/0!</v>
      </c>
      <c r="H103" s="460" t="e">
        <f t="shared" si="19"/>
        <v>#DIV/0!</v>
      </c>
      <c r="I103" s="460" t="e">
        <f t="shared" si="20"/>
        <v>#DIV/0!</v>
      </c>
    </row>
    <row r="104" spans="3:9" ht="12.75">
      <c r="C104" s="98">
        <v>101</v>
      </c>
      <c r="D104" s="440" t="e">
        <f>[1]!Edate(D103,1)</f>
        <v>#NAME?</v>
      </c>
      <c r="E104" s="441" t="e">
        <f t="shared" si="18"/>
        <v>#NAME?</v>
      </c>
      <c r="F104" s="460" t="e">
        <f>'Commercial Sizing'!$J$12/12</f>
        <v>#DIV/0!</v>
      </c>
      <c r="G104" s="460" t="e">
        <f>I103*(E104/360)*'Commercial Sizing'!$J$11</f>
        <v>#DIV/0!</v>
      </c>
      <c r="H104" s="460" t="e">
        <f t="shared" si="19"/>
        <v>#DIV/0!</v>
      </c>
      <c r="I104" s="460" t="e">
        <f t="shared" si="20"/>
        <v>#DIV/0!</v>
      </c>
    </row>
    <row r="105" spans="3:9" ht="12.75">
      <c r="C105" s="98">
        <v>102</v>
      </c>
      <c r="D105" s="440" t="e">
        <f>[1]!Edate(D104,1)</f>
        <v>#NAME?</v>
      </c>
      <c r="E105" s="441" t="e">
        <f t="shared" si="18"/>
        <v>#NAME?</v>
      </c>
      <c r="F105" s="460" t="e">
        <f>'Commercial Sizing'!$J$12/12</f>
        <v>#DIV/0!</v>
      </c>
      <c r="G105" s="460" t="e">
        <f>I104*(E105/360)*'Commercial Sizing'!$J$11</f>
        <v>#DIV/0!</v>
      </c>
      <c r="H105" s="460" t="e">
        <f t="shared" si="19"/>
        <v>#DIV/0!</v>
      </c>
      <c r="I105" s="460" t="e">
        <f t="shared" si="20"/>
        <v>#DIV/0!</v>
      </c>
    </row>
    <row r="106" spans="3:9" ht="12.75">
      <c r="C106" s="98">
        <v>103</v>
      </c>
      <c r="D106" s="440" t="e">
        <f>[1]!Edate(D105,1)</f>
        <v>#NAME?</v>
      </c>
      <c r="E106" s="441" t="e">
        <f t="shared" si="18"/>
        <v>#NAME?</v>
      </c>
      <c r="F106" s="460" t="e">
        <f>'Commercial Sizing'!$J$12/12</f>
        <v>#DIV/0!</v>
      </c>
      <c r="G106" s="460" t="e">
        <f>I105*(E106/360)*'Commercial Sizing'!$J$11</f>
        <v>#DIV/0!</v>
      </c>
      <c r="H106" s="460" t="e">
        <f t="shared" si="19"/>
        <v>#DIV/0!</v>
      </c>
      <c r="I106" s="460" t="e">
        <f t="shared" si="20"/>
        <v>#DIV/0!</v>
      </c>
    </row>
    <row r="107" spans="3:9" ht="12.75">
      <c r="C107" s="98">
        <v>104</v>
      </c>
      <c r="D107" s="440" t="e">
        <f>[1]!Edate(D106,1)</f>
        <v>#NAME?</v>
      </c>
      <c r="E107" s="441" t="e">
        <f t="shared" si="18"/>
        <v>#NAME?</v>
      </c>
      <c r="F107" s="460" t="e">
        <f>'Commercial Sizing'!$J$12/12</f>
        <v>#DIV/0!</v>
      </c>
      <c r="G107" s="460" t="e">
        <f>I106*(E107/360)*'Commercial Sizing'!$J$11</f>
        <v>#DIV/0!</v>
      </c>
      <c r="H107" s="460" t="e">
        <f t="shared" si="19"/>
        <v>#DIV/0!</v>
      </c>
      <c r="I107" s="460" t="e">
        <f t="shared" si="20"/>
        <v>#DIV/0!</v>
      </c>
    </row>
    <row r="108" spans="3:9" ht="12.75">
      <c r="C108" s="98">
        <v>105</v>
      </c>
      <c r="D108" s="440" t="e">
        <f>[1]!Edate(D107,1)</f>
        <v>#NAME?</v>
      </c>
      <c r="E108" s="441" t="e">
        <f t="shared" si="18"/>
        <v>#NAME?</v>
      </c>
      <c r="F108" s="460" t="e">
        <f>'Commercial Sizing'!$J$12/12</f>
        <v>#DIV/0!</v>
      </c>
      <c r="G108" s="460" t="e">
        <f>I107*(E108/360)*'Commercial Sizing'!$J$11</f>
        <v>#DIV/0!</v>
      </c>
      <c r="H108" s="460" t="e">
        <f t="shared" si="19"/>
        <v>#DIV/0!</v>
      </c>
      <c r="I108" s="460" t="e">
        <f t="shared" si="20"/>
        <v>#DIV/0!</v>
      </c>
    </row>
    <row r="109" spans="3:9" ht="12.75">
      <c r="C109" s="98">
        <v>106</v>
      </c>
      <c r="D109" s="440" t="e">
        <f>[1]!Edate(D108,1)</f>
        <v>#NAME?</v>
      </c>
      <c r="E109" s="441" t="e">
        <f t="shared" si="18"/>
        <v>#NAME?</v>
      </c>
      <c r="F109" s="460" t="e">
        <f>'Commercial Sizing'!$J$12/12</f>
        <v>#DIV/0!</v>
      </c>
      <c r="G109" s="460" t="e">
        <f>I108*(E109/360)*'Commercial Sizing'!$J$11</f>
        <v>#DIV/0!</v>
      </c>
      <c r="H109" s="460" t="e">
        <f t="shared" si="19"/>
        <v>#DIV/0!</v>
      </c>
      <c r="I109" s="460" t="e">
        <f t="shared" si="20"/>
        <v>#DIV/0!</v>
      </c>
    </row>
    <row r="110" spans="3:9" ht="12.75">
      <c r="C110" s="98">
        <v>107</v>
      </c>
      <c r="D110" s="440" t="e">
        <f>[1]!Edate(D109,1)</f>
        <v>#NAME?</v>
      </c>
      <c r="E110" s="441" t="e">
        <f t="shared" si="18"/>
        <v>#NAME?</v>
      </c>
      <c r="F110" s="460" t="e">
        <f>'Commercial Sizing'!$J$12/12</f>
        <v>#DIV/0!</v>
      </c>
      <c r="G110" s="460" t="e">
        <f>I109*(E110/360)*'Commercial Sizing'!$J$11</f>
        <v>#DIV/0!</v>
      </c>
      <c r="H110" s="460" t="e">
        <f t="shared" si="19"/>
        <v>#DIV/0!</v>
      </c>
      <c r="I110" s="460" t="e">
        <f t="shared" si="20"/>
        <v>#DIV/0!</v>
      </c>
    </row>
    <row r="111" spans="3:9" ht="12.75">
      <c r="C111" s="98">
        <v>108</v>
      </c>
      <c r="D111" s="440" t="e">
        <f>[1]!Edate(D110,1)</f>
        <v>#NAME?</v>
      </c>
      <c r="E111" s="441" t="e">
        <f t="shared" si="18"/>
        <v>#NAME?</v>
      </c>
      <c r="F111" s="460" t="e">
        <f>'Commercial Sizing'!$J$12/12</f>
        <v>#DIV/0!</v>
      </c>
      <c r="G111" s="460" t="e">
        <f>I110*(E111/360)*'Commercial Sizing'!$J$11</f>
        <v>#DIV/0!</v>
      </c>
      <c r="H111" s="460" t="e">
        <f t="shared" si="19"/>
        <v>#DIV/0!</v>
      </c>
      <c r="I111" s="460" t="e">
        <f t="shared" si="20"/>
        <v>#DIV/0!</v>
      </c>
    </row>
    <row r="112" spans="3:9" ht="12.75">
      <c r="C112" s="98">
        <v>109</v>
      </c>
      <c r="D112" s="440" t="e">
        <f>[1]!Edate(D111,1)</f>
        <v>#NAME?</v>
      </c>
      <c r="E112" s="441" t="e">
        <f t="shared" si="18"/>
        <v>#NAME?</v>
      </c>
      <c r="F112" s="460" t="e">
        <f>'Commercial Sizing'!$J$12/12</f>
        <v>#DIV/0!</v>
      </c>
      <c r="G112" s="460" t="e">
        <f>I111*(E112/360)*'Commercial Sizing'!$J$11</f>
        <v>#DIV/0!</v>
      </c>
      <c r="H112" s="460" t="e">
        <f t="shared" si="19"/>
        <v>#DIV/0!</v>
      </c>
      <c r="I112" s="460" t="e">
        <f t="shared" si="20"/>
        <v>#DIV/0!</v>
      </c>
    </row>
    <row r="113" spans="3:9" ht="12.75">
      <c r="C113" s="98">
        <v>110</v>
      </c>
      <c r="D113" s="440" t="e">
        <f>[1]!Edate(D112,1)</f>
        <v>#NAME?</v>
      </c>
      <c r="E113" s="441" t="e">
        <f t="shared" si="18"/>
        <v>#NAME?</v>
      </c>
      <c r="F113" s="460" t="e">
        <f>'Commercial Sizing'!$J$12/12</f>
        <v>#DIV/0!</v>
      </c>
      <c r="G113" s="460" t="e">
        <f>I112*(E113/360)*'Commercial Sizing'!$J$11</f>
        <v>#DIV/0!</v>
      </c>
      <c r="H113" s="460" t="e">
        <f t="shared" si="19"/>
        <v>#DIV/0!</v>
      </c>
      <c r="I113" s="460" t="e">
        <f t="shared" si="20"/>
        <v>#DIV/0!</v>
      </c>
    </row>
    <row r="114" spans="3:9" ht="12.75">
      <c r="C114" s="98">
        <v>111</v>
      </c>
      <c r="D114" s="440" t="e">
        <f>[1]!Edate(D113,1)</f>
        <v>#NAME?</v>
      </c>
      <c r="E114" s="441" t="e">
        <f t="shared" si="18"/>
        <v>#NAME?</v>
      </c>
      <c r="F114" s="460" t="e">
        <f>'Commercial Sizing'!$J$12/12</f>
        <v>#DIV/0!</v>
      </c>
      <c r="G114" s="460" t="e">
        <f>I113*(E114/360)*'Commercial Sizing'!$J$11</f>
        <v>#DIV/0!</v>
      </c>
      <c r="H114" s="460" t="e">
        <f t="shared" si="19"/>
        <v>#DIV/0!</v>
      </c>
      <c r="I114" s="460" t="e">
        <f t="shared" si="20"/>
        <v>#DIV/0!</v>
      </c>
    </row>
    <row r="115" spans="3:9" ht="12.75">
      <c r="C115" s="98">
        <v>112</v>
      </c>
      <c r="D115" s="440" t="e">
        <f>[1]!Edate(D114,1)</f>
        <v>#NAME?</v>
      </c>
      <c r="E115" s="441" t="e">
        <f t="shared" si="18"/>
        <v>#NAME?</v>
      </c>
      <c r="F115" s="460" t="e">
        <f>'Commercial Sizing'!$J$12/12</f>
        <v>#DIV/0!</v>
      </c>
      <c r="G115" s="460" t="e">
        <f>I114*(E115/360)*'Commercial Sizing'!$J$11</f>
        <v>#DIV/0!</v>
      </c>
      <c r="H115" s="460" t="e">
        <f t="shared" si="19"/>
        <v>#DIV/0!</v>
      </c>
      <c r="I115" s="460" t="e">
        <f t="shared" si="20"/>
        <v>#DIV/0!</v>
      </c>
    </row>
    <row r="116" spans="3:9" ht="12.75">
      <c r="C116" s="98">
        <v>113</v>
      </c>
      <c r="D116" s="440" t="e">
        <f>[1]!Edate(D115,1)</f>
        <v>#NAME?</v>
      </c>
      <c r="E116" s="441" t="e">
        <f t="shared" si="18"/>
        <v>#NAME?</v>
      </c>
      <c r="F116" s="460" t="e">
        <f>'Commercial Sizing'!$J$12/12</f>
        <v>#DIV/0!</v>
      </c>
      <c r="G116" s="460" t="e">
        <f>I115*(E116/360)*'Commercial Sizing'!$J$11</f>
        <v>#DIV/0!</v>
      </c>
      <c r="H116" s="460" t="e">
        <f t="shared" si="19"/>
        <v>#DIV/0!</v>
      </c>
      <c r="I116" s="460" t="e">
        <f t="shared" si="20"/>
        <v>#DIV/0!</v>
      </c>
    </row>
    <row r="117" spans="3:9" ht="12.75">
      <c r="C117" s="98">
        <v>114</v>
      </c>
      <c r="D117" s="440" t="e">
        <f>[1]!Edate(D116,1)</f>
        <v>#NAME?</v>
      </c>
      <c r="E117" s="441" t="e">
        <f aca="true" t="shared" si="21" ref="E117:E132">D118-D117</f>
        <v>#NAME?</v>
      </c>
      <c r="F117" s="460" t="e">
        <f>'Commercial Sizing'!$J$12/12</f>
        <v>#DIV/0!</v>
      </c>
      <c r="G117" s="460" t="e">
        <f>I116*(E117/360)*'Commercial Sizing'!$J$11</f>
        <v>#DIV/0!</v>
      </c>
      <c r="H117" s="460" t="e">
        <f aca="true" t="shared" si="22" ref="H117:H132">F117-G117</f>
        <v>#DIV/0!</v>
      </c>
      <c r="I117" s="460" t="e">
        <f aca="true" t="shared" si="23" ref="I117:I132">I116-H117</f>
        <v>#DIV/0!</v>
      </c>
    </row>
    <row r="118" spans="3:9" ht="12.75">
      <c r="C118" s="98">
        <v>115</v>
      </c>
      <c r="D118" s="440" t="e">
        <f>[1]!Edate(D117,1)</f>
        <v>#NAME?</v>
      </c>
      <c r="E118" s="441" t="e">
        <f t="shared" si="21"/>
        <v>#NAME?</v>
      </c>
      <c r="F118" s="460" t="e">
        <f>'Commercial Sizing'!$J$12/12</f>
        <v>#DIV/0!</v>
      </c>
      <c r="G118" s="460" t="e">
        <f>I117*(E118/360)*'Commercial Sizing'!$J$11</f>
        <v>#DIV/0!</v>
      </c>
      <c r="H118" s="460" t="e">
        <f t="shared" si="22"/>
        <v>#DIV/0!</v>
      </c>
      <c r="I118" s="460" t="e">
        <f t="shared" si="23"/>
        <v>#DIV/0!</v>
      </c>
    </row>
    <row r="119" spans="3:9" ht="12.75">
      <c r="C119" s="98">
        <v>116</v>
      </c>
      <c r="D119" s="440" t="e">
        <f>[1]!Edate(D118,1)</f>
        <v>#NAME?</v>
      </c>
      <c r="E119" s="441" t="e">
        <f t="shared" si="21"/>
        <v>#NAME?</v>
      </c>
      <c r="F119" s="460" t="e">
        <f>'Commercial Sizing'!$J$12/12</f>
        <v>#DIV/0!</v>
      </c>
      <c r="G119" s="460" t="e">
        <f>I118*(E119/360)*'Commercial Sizing'!$J$11</f>
        <v>#DIV/0!</v>
      </c>
      <c r="H119" s="460" t="e">
        <f t="shared" si="22"/>
        <v>#DIV/0!</v>
      </c>
      <c r="I119" s="460" t="e">
        <f t="shared" si="23"/>
        <v>#DIV/0!</v>
      </c>
    </row>
    <row r="120" spans="3:9" ht="12.75">
      <c r="C120" s="98">
        <v>117</v>
      </c>
      <c r="D120" s="440" t="e">
        <f>[1]!Edate(D119,1)</f>
        <v>#NAME?</v>
      </c>
      <c r="E120" s="441" t="e">
        <f t="shared" si="21"/>
        <v>#NAME?</v>
      </c>
      <c r="F120" s="460" t="e">
        <f>'Commercial Sizing'!$J$12/12</f>
        <v>#DIV/0!</v>
      </c>
      <c r="G120" s="460" t="e">
        <f>I119*(E120/360)*'Commercial Sizing'!$J$11</f>
        <v>#DIV/0!</v>
      </c>
      <c r="H120" s="460" t="e">
        <f t="shared" si="22"/>
        <v>#DIV/0!</v>
      </c>
      <c r="I120" s="460" t="e">
        <f t="shared" si="23"/>
        <v>#DIV/0!</v>
      </c>
    </row>
    <row r="121" spans="3:9" ht="12.75">
      <c r="C121" s="98">
        <v>118</v>
      </c>
      <c r="D121" s="440" t="e">
        <f>[1]!Edate(D120,1)</f>
        <v>#NAME?</v>
      </c>
      <c r="E121" s="441" t="e">
        <f t="shared" si="21"/>
        <v>#NAME?</v>
      </c>
      <c r="F121" s="460" t="e">
        <f>'Commercial Sizing'!$J$12/12</f>
        <v>#DIV/0!</v>
      </c>
      <c r="G121" s="460" t="e">
        <f>I120*(E121/360)*'Commercial Sizing'!$J$11</f>
        <v>#DIV/0!</v>
      </c>
      <c r="H121" s="460" t="e">
        <f t="shared" si="22"/>
        <v>#DIV/0!</v>
      </c>
      <c r="I121" s="460" t="e">
        <f t="shared" si="23"/>
        <v>#DIV/0!</v>
      </c>
    </row>
    <row r="122" spans="3:9" ht="12.75">
      <c r="C122" s="98">
        <v>119</v>
      </c>
      <c r="D122" s="440" t="e">
        <f>[1]!Edate(D121,1)</f>
        <v>#NAME?</v>
      </c>
      <c r="E122" s="441" t="e">
        <f t="shared" si="21"/>
        <v>#NAME?</v>
      </c>
      <c r="F122" s="460" t="e">
        <f>'Commercial Sizing'!$J$12/12</f>
        <v>#DIV/0!</v>
      </c>
      <c r="G122" s="460" t="e">
        <f>I121*(E122/360)*'Commercial Sizing'!$J$11</f>
        <v>#DIV/0!</v>
      </c>
      <c r="H122" s="460" t="e">
        <f t="shared" si="22"/>
        <v>#DIV/0!</v>
      </c>
      <c r="I122" s="460" t="e">
        <f t="shared" si="23"/>
        <v>#DIV/0!</v>
      </c>
    </row>
    <row r="123" spans="3:9" ht="12.75">
      <c r="C123" s="98">
        <v>120</v>
      </c>
      <c r="D123" s="440" t="e">
        <f>[1]!Edate(D122,1)</f>
        <v>#NAME?</v>
      </c>
      <c r="E123" s="441" t="e">
        <f t="shared" si="21"/>
        <v>#NAME?</v>
      </c>
      <c r="F123" s="460" t="e">
        <f>'Commercial Sizing'!$J$12/12</f>
        <v>#DIV/0!</v>
      </c>
      <c r="G123" s="460" t="e">
        <f>I122*(E123/360)*'Commercial Sizing'!$J$11</f>
        <v>#DIV/0!</v>
      </c>
      <c r="H123" s="460" t="e">
        <f t="shared" si="22"/>
        <v>#DIV/0!</v>
      </c>
      <c r="I123" s="460" t="e">
        <f t="shared" si="23"/>
        <v>#DIV/0!</v>
      </c>
    </row>
    <row r="124" spans="3:9" ht="12.75">
      <c r="C124" s="98">
        <v>121</v>
      </c>
      <c r="D124" s="440" t="e">
        <f>[1]!Edate(D123,1)</f>
        <v>#NAME?</v>
      </c>
      <c r="E124" s="441" t="e">
        <f t="shared" si="21"/>
        <v>#NAME?</v>
      </c>
      <c r="F124" s="460" t="e">
        <f>'Commercial Sizing'!$J$12/12</f>
        <v>#DIV/0!</v>
      </c>
      <c r="G124" s="460" t="e">
        <f>I123*(E124/360)*'Commercial Sizing'!$J$11</f>
        <v>#DIV/0!</v>
      </c>
      <c r="H124" s="460" t="e">
        <f t="shared" si="22"/>
        <v>#DIV/0!</v>
      </c>
      <c r="I124" s="460" t="e">
        <f t="shared" si="23"/>
        <v>#DIV/0!</v>
      </c>
    </row>
    <row r="125" spans="3:9" ht="12.75">
      <c r="C125" s="98">
        <v>122</v>
      </c>
      <c r="D125" s="440" t="e">
        <f>[1]!Edate(D124,1)</f>
        <v>#NAME?</v>
      </c>
      <c r="E125" s="441" t="e">
        <f t="shared" si="21"/>
        <v>#NAME?</v>
      </c>
      <c r="F125" s="460" t="e">
        <f>'Commercial Sizing'!$J$12/12</f>
        <v>#DIV/0!</v>
      </c>
      <c r="G125" s="460" t="e">
        <f>I124*(E125/360)*'Commercial Sizing'!$J$11</f>
        <v>#DIV/0!</v>
      </c>
      <c r="H125" s="460" t="e">
        <f t="shared" si="22"/>
        <v>#DIV/0!</v>
      </c>
      <c r="I125" s="460" t="e">
        <f t="shared" si="23"/>
        <v>#DIV/0!</v>
      </c>
    </row>
    <row r="126" spans="3:9" ht="12.75">
      <c r="C126" s="98">
        <v>123</v>
      </c>
      <c r="D126" s="440" t="e">
        <f>[1]!Edate(D125,1)</f>
        <v>#NAME?</v>
      </c>
      <c r="E126" s="441" t="e">
        <f t="shared" si="21"/>
        <v>#NAME?</v>
      </c>
      <c r="F126" s="460" t="e">
        <f>'Commercial Sizing'!$J$12/12</f>
        <v>#DIV/0!</v>
      </c>
      <c r="G126" s="460" t="e">
        <f>I125*(E126/360)*'Commercial Sizing'!$J$11</f>
        <v>#DIV/0!</v>
      </c>
      <c r="H126" s="460" t="e">
        <f t="shared" si="22"/>
        <v>#DIV/0!</v>
      </c>
      <c r="I126" s="460" t="e">
        <f t="shared" si="23"/>
        <v>#DIV/0!</v>
      </c>
    </row>
    <row r="127" spans="3:9" ht="12.75">
      <c r="C127" s="98">
        <v>124</v>
      </c>
      <c r="D127" s="440" t="e">
        <f>[1]!Edate(D126,1)</f>
        <v>#NAME?</v>
      </c>
      <c r="E127" s="441" t="e">
        <f t="shared" si="21"/>
        <v>#NAME?</v>
      </c>
      <c r="F127" s="460" t="e">
        <f>'Commercial Sizing'!$J$12/12</f>
        <v>#DIV/0!</v>
      </c>
      <c r="G127" s="460" t="e">
        <f>I126*(E127/360)*'Commercial Sizing'!$J$11</f>
        <v>#DIV/0!</v>
      </c>
      <c r="H127" s="460" t="e">
        <f t="shared" si="22"/>
        <v>#DIV/0!</v>
      </c>
      <c r="I127" s="460" t="e">
        <f t="shared" si="23"/>
        <v>#DIV/0!</v>
      </c>
    </row>
    <row r="128" spans="3:9" ht="12.75">
      <c r="C128" s="98">
        <v>125</v>
      </c>
      <c r="D128" s="440" t="e">
        <f>[1]!Edate(D127,1)</f>
        <v>#NAME?</v>
      </c>
      <c r="E128" s="441" t="e">
        <f t="shared" si="21"/>
        <v>#NAME?</v>
      </c>
      <c r="F128" s="460" t="e">
        <f>'Commercial Sizing'!$J$12/12</f>
        <v>#DIV/0!</v>
      </c>
      <c r="G128" s="460" t="e">
        <f>I127*(E128/360)*'Commercial Sizing'!$J$11</f>
        <v>#DIV/0!</v>
      </c>
      <c r="H128" s="460" t="e">
        <f t="shared" si="22"/>
        <v>#DIV/0!</v>
      </c>
      <c r="I128" s="460" t="e">
        <f t="shared" si="23"/>
        <v>#DIV/0!</v>
      </c>
    </row>
    <row r="129" spans="3:9" ht="12.75">
      <c r="C129" s="98">
        <v>126</v>
      </c>
      <c r="D129" s="440" t="e">
        <f>[1]!Edate(D128,1)</f>
        <v>#NAME?</v>
      </c>
      <c r="E129" s="441" t="e">
        <f t="shared" si="21"/>
        <v>#NAME?</v>
      </c>
      <c r="F129" s="460" t="e">
        <f>'Commercial Sizing'!$J$12/12</f>
        <v>#DIV/0!</v>
      </c>
      <c r="G129" s="460" t="e">
        <f>I128*(E129/360)*'Commercial Sizing'!$J$11</f>
        <v>#DIV/0!</v>
      </c>
      <c r="H129" s="460" t="e">
        <f t="shared" si="22"/>
        <v>#DIV/0!</v>
      </c>
      <c r="I129" s="460" t="e">
        <f t="shared" si="23"/>
        <v>#DIV/0!</v>
      </c>
    </row>
    <row r="130" spans="3:9" ht="12.75">
      <c r="C130" s="98">
        <v>127</v>
      </c>
      <c r="D130" s="440" t="e">
        <f>[1]!Edate(D129,1)</f>
        <v>#NAME?</v>
      </c>
      <c r="E130" s="441" t="e">
        <f t="shared" si="21"/>
        <v>#NAME?</v>
      </c>
      <c r="F130" s="460" t="e">
        <f>'Commercial Sizing'!$J$12/12</f>
        <v>#DIV/0!</v>
      </c>
      <c r="G130" s="460" t="e">
        <f>I129*(E130/360)*'Commercial Sizing'!$J$11</f>
        <v>#DIV/0!</v>
      </c>
      <c r="H130" s="460" t="e">
        <f t="shared" si="22"/>
        <v>#DIV/0!</v>
      </c>
      <c r="I130" s="460" t="e">
        <f t="shared" si="23"/>
        <v>#DIV/0!</v>
      </c>
    </row>
    <row r="131" spans="3:9" ht="12.75">
      <c r="C131" s="98">
        <v>128</v>
      </c>
      <c r="D131" s="440" t="e">
        <f>[1]!Edate(D130,1)</f>
        <v>#NAME?</v>
      </c>
      <c r="E131" s="441" t="e">
        <f t="shared" si="21"/>
        <v>#NAME?</v>
      </c>
      <c r="F131" s="460" t="e">
        <f>'Commercial Sizing'!$J$12/12</f>
        <v>#DIV/0!</v>
      </c>
      <c r="G131" s="460" t="e">
        <f>I130*(E131/360)*'Commercial Sizing'!$J$11</f>
        <v>#DIV/0!</v>
      </c>
      <c r="H131" s="460" t="e">
        <f t="shared" si="22"/>
        <v>#DIV/0!</v>
      </c>
      <c r="I131" s="460" t="e">
        <f t="shared" si="23"/>
        <v>#DIV/0!</v>
      </c>
    </row>
    <row r="132" spans="3:9" ht="12.75">
      <c r="C132" s="98">
        <v>129</v>
      </c>
      <c r="D132" s="440" t="e">
        <f>[1]!Edate(D131,1)</f>
        <v>#NAME?</v>
      </c>
      <c r="E132" s="441" t="e">
        <f t="shared" si="21"/>
        <v>#NAME?</v>
      </c>
      <c r="F132" s="460" t="e">
        <f>'Commercial Sizing'!$J$12/12</f>
        <v>#DIV/0!</v>
      </c>
      <c r="G132" s="460" t="e">
        <f>I131*(E132/360)*'Commercial Sizing'!$J$11</f>
        <v>#DIV/0!</v>
      </c>
      <c r="H132" s="460" t="e">
        <f t="shared" si="22"/>
        <v>#DIV/0!</v>
      </c>
      <c r="I132" s="460" t="e">
        <f t="shared" si="23"/>
        <v>#DIV/0!</v>
      </c>
    </row>
    <row r="133" spans="3:9" ht="12.75">
      <c r="C133" s="98">
        <v>130</v>
      </c>
      <c r="D133" s="440" t="e">
        <f>[1]!Edate(D132,1)</f>
        <v>#NAME?</v>
      </c>
      <c r="E133" s="441" t="e">
        <f aca="true" t="shared" si="24" ref="E133:E148">D134-D133</f>
        <v>#NAME?</v>
      </c>
      <c r="F133" s="460" t="e">
        <f>'Commercial Sizing'!$J$12/12</f>
        <v>#DIV/0!</v>
      </c>
      <c r="G133" s="460" t="e">
        <f>I132*(E133/360)*'Commercial Sizing'!$J$11</f>
        <v>#DIV/0!</v>
      </c>
      <c r="H133" s="460" t="e">
        <f aca="true" t="shared" si="25" ref="H133:H148">F133-G133</f>
        <v>#DIV/0!</v>
      </c>
      <c r="I133" s="460" t="e">
        <f aca="true" t="shared" si="26" ref="I133:I148">I132-H133</f>
        <v>#DIV/0!</v>
      </c>
    </row>
    <row r="134" spans="3:9" ht="12.75">
      <c r="C134" s="98">
        <v>131</v>
      </c>
      <c r="D134" s="440" t="e">
        <f>[1]!Edate(D133,1)</f>
        <v>#NAME?</v>
      </c>
      <c r="E134" s="441" t="e">
        <f t="shared" si="24"/>
        <v>#NAME?</v>
      </c>
      <c r="F134" s="460" t="e">
        <f>'Commercial Sizing'!$J$12/12</f>
        <v>#DIV/0!</v>
      </c>
      <c r="G134" s="460" t="e">
        <f>I133*(E134/360)*'Commercial Sizing'!$J$11</f>
        <v>#DIV/0!</v>
      </c>
      <c r="H134" s="460" t="e">
        <f t="shared" si="25"/>
        <v>#DIV/0!</v>
      </c>
      <c r="I134" s="460" t="e">
        <f t="shared" si="26"/>
        <v>#DIV/0!</v>
      </c>
    </row>
    <row r="135" spans="3:9" ht="12.75">
      <c r="C135" s="98">
        <v>132</v>
      </c>
      <c r="D135" s="440" t="e">
        <f>[1]!Edate(D134,1)</f>
        <v>#NAME?</v>
      </c>
      <c r="E135" s="441" t="e">
        <f t="shared" si="24"/>
        <v>#NAME?</v>
      </c>
      <c r="F135" s="460" t="e">
        <f>'Commercial Sizing'!$J$12/12</f>
        <v>#DIV/0!</v>
      </c>
      <c r="G135" s="460" t="e">
        <f>I134*(E135/360)*'Commercial Sizing'!$J$11</f>
        <v>#DIV/0!</v>
      </c>
      <c r="H135" s="460" t="e">
        <f t="shared" si="25"/>
        <v>#DIV/0!</v>
      </c>
      <c r="I135" s="460" t="e">
        <f t="shared" si="26"/>
        <v>#DIV/0!</v>
      </c>
    </row>
    <row r="136" spans="3:9" ht="12.75">
      <c r="C136" s="98">
        <v>133</v>
      </c>
      <c r="D136" s="440" t="e">
        <f>[1]!Edate(D135,1)</f>
        <v>#NAME?</v>
      </c>
      <c r="E136" s="441" t="e">
        <f t="shared" si="24"/>
        <v>#NAME?</v>
      </c>
      <c r="F136" s="460" t="e">
        <f>'Commercial Sizing'!$J$12/12</f>
        <v>#DIV/0!</v>
      </c>
      <c r="G136" s="460" t="e">
        <f>I135*(E136/360)*'Commercial Sizing'!$J$11</f>
        <v>#DIV/0!</v>
      </c>
      <c r="H136" s="460" t="e">
        <f t="shared" si="25"/>
        <v>#DIV/0!</v>
      </c>
      <c r="I136" s="460" t="e">
        <f t="shared" si="26"/>
        <v>#DIV/0!</v>
      </c>
    </row>
    <row r="137" spans="3:9" ht="12.75">
      <c r="C137" s="98">
        <v>134</v>
      </c>
      <c r="D137" s="440" t="e">
        <f>[1]!Edate(D136,1)</f>
        <v>#NAME?</v>
      </c>
      <c r="E137" s="441" t="e">
        <f t="shared" si="24"/>
        <v>#NAME?</v>
      </c>
      <c r="F137" s="460" t="e">
        <f>'Commercial Sizing'!$J$12/12</f>
        <v>#DIV/0!</v>
      </c>
      <c r="G137" s="460" t="e">
        <f>I136*(E137/360)*'Commercial Sizing'!$J$11</f>
        <v>#DIV/0!</v>
      </c>
      <c r="H137" s="460" t="e">
        <f t="shared" si="25"/>
        <v>#DIV/0!</v>
      </c>
      <c r="I137" s="460" t="e">
        <f t="shared" si="26"/>
        <v>#DIV/0!</v>
      </c>
    </row>
    <row r="138" spans="3:9" ht="12.75">
      <c r="C138" s="98">
        <v>135</v>
      </c>
      <c r="D138" s="440" t="e">
        <f>[1]!Edate(D137,1)</f>
        <v>#NAME?</v>
      </c>
      <c r="E138" s="441" t="e">
        <f t="shared" si="24"/>
        <v>#NAME?</v>
      </c>
      <c r="F138" s="460" t="e">
        <f>'Commercial Sizing'!$J$12/12</f>
        <v>#DIV/0!</v>
      </c>
      <c r="G138" s="460" t="e">
        <f>I137*(E138/360)*'Commercial Sizing'!$J$11</f>
        <v>#DIV/0!</v>
      </c>
      <c r="H138" s="460" t="e">
        <f t="shared" si="25"/>
        <v>#DIV/0!</v>
      </c>
      <c r="I138" s="460" t="e">
        <f t="shared" si="26"/>
        <v>#DIV/0!</v>
      </c>
    </row>
    <row r="139" spans="3:9" ht="12.75">
      <c r="C139" s="98">
        <v>136</v>
      </c>
      <c r="D139" s="440" t="e">
        <f>[1]!Edate(D138,1)</f>
        <v>#NAME?</v>
      </c>
      <c r="E139" s="441" t="e">
        <f t="shared" si="24"/>
        <v>#NAME?</v>
      </c>
      <c r="F139" s="460" t="e">
        <f>'Commercial Sizing'!$J$12/12</f>
        <v>#DIV/0!</v>
      </c>
      <c r="G139" s="460" t="e">
        <f>I138*(E139/360)*'Commercial Sizing'!$J$11</f>
        <v>#DIV/0!</v>
      </c>
      <c r="H139" s="460" t="e">
        <f t="shared" si="25"/>
        <v>#DIV/0!</v>
      </c>
      <c r="I139" s="460" t="e">
        <f t="shared" si="26"/>
        <v>#DIV/0!</v>
      </c>
    </row>
    <row r="140" spans="3:9" ht="12.75">
      <c r="C140" s="98">
        <v>137</v>
      </c>
      <c r="D140" s="440" t="e">
        <f>[1]!Edate(D139,1)</f>
        <v>#NAME?</v>
      </c>
      <c r="E140" s="441" t="e">
        <f t="shared" si="24"/>
        <v>#NAME?</v>
      </c>
      <c r="F140" s="460" t="e">
        <f>'Commercial Sizing'!$J$12/12</f>
        <v>#DIV/0!</v>
      </c>
      <c r="G140" s="460" t="e">
        <f>I139*(E140/360)*'Commercial Sizing'!$J$11</f>
        <v>#DIV/0!</v>
      </c>
      <c r="H140" s="460" t="e">
        <f t="shared" si="25"/>
        <v>#DIV/0!</v>
      </c>
      <c r="I140" s="460" t="e">
        <f t="shared" si="26"/>
        <v>#DIV/0!</v>
      </c>
    </row>
    <row r="141" spans="3:9" ht="12.75">
      <c r="C141" s="98">
        <v>138</v>
      </c>
      <c r="D141" s="440" t="e">
        <f>[1]!Edate(D140,1)</f>
        <v>#NAME?</v>
      </c>
      <c r="E141" s="441" t="e">
        <f t="shared" si="24"/>
        <v>#NAME?</v>
      </c>
      <c r="F141" s="460" t="e">
        <f>'Commercial Sizing'!$J$12/12</f>
        <v>#DIV/0!</v>
      </c>
      <c r="G141" s="460" t="e">
        <f>I140*(E141/360)*'Commercial Sizing'!$J$11</f>
        <v>#DIV/0!</v>
      </c>
      <c r="H141" s="460" t="e">
        <f t="shared" si="25"/>
        <v>#DIV/0!</v>
      </c>
      <c r="I141" s="460" t="e">
        <f t="shared" si="26"/>
        <v>#DIV/0!</v>
      </c>
    </row>
    <row r="142" spans="3:9" ht="12.75">
      <c r="C142" s="98">
        <v>139</v>
      </c>
      <c r="D142" s="440" t="e">
        <f>[1]!Edate(D141,1)</f>
        <v>#NAME?</v>
      </c>
      <c r="E142" s="441" t="e">
        <f t="shared" si="24"/>
        <v>#NAME?</v>
      </c>
      <c r="F142" s="460" t="e">
        <f>'Commercial Sizing'!$J$12/12</f>
        <v>#DIV/0!</v>
      </c>
      <c r="G142" s="460" t="e">
        <f>I141*(E142/360)*'Commercial Sizing'!$J$11</f>
        <v>#DIV/0!</v>
      </c>
      <c r="H142" s="460" t="e">
        <f t="shared" si="25"/>
        <v>#DIV/0!</v>
      </c>
      <c r="I142" s="460" t="e">
        <f t="shared" si="26"/>
        <v>#DIV/0!</v>
      </c>
    </row>
    <row r="143" spans="3:9" ht="12.75">
      <c r="C143" s="98">
        <v>140</v>
      </c>
      <c r="D143" s="440" t="e">
        <f>[1]!Edate(D142,1)</f>
        <v>#NAME?</v>
      </c>
      <c r="E143" s="441" t="e">
        <f t="shared" si="24"/>
        <v>#NAME?</v>
      </c>
      <c r="F143" s="460" t="e">
        <f>'Commercial Sizing'!$J$12/12</f>
        <v>#DIV/0!</v>
      </c>
      <c r="G143" s="460" t="e">
        <f>I142*(E143/360)*'Commercial Sizing'!$J$11</f>
        <v>#DIV/0!</v>
      </c>
      <c r="H143" s="460" t="e">
        <f t="shared" si="25"/>
        <v>#DIV/0!</v>
      </c>
      <c r="I143" s="460" t="e">
        <f t="shared" si="26"/>
        <v>#DIV/0!</v>
      </c>
    </row>
    <row r="144" spans="3:9" ht="12.75">
      <c r="C144" s="98">
        <v>141</v>
      </c>
      <c r="D144" s="440" t="e">
        <f>[1]!Edate(D143,1)</f>
        <v>#NAME?</v>
      </c>
      <c r="E144" s="441" t="e">
        <f t="shared" si="24"/>
        <v>#NAME?</v>
      </c>
      <c r="F144" s="460" t="e">
        <f>'Commercial Sizing'!$J$12/12</f>
        <v>#DIV/0!</v>
      </c>
      <c r="G144" s="460" t="e">
        <f>I143*(E144/360)*'Commercial Sizing'!$J$11</f>
        <v>#DIV/0!</v>
      </c>
      <c r="H144" s="460" t="e">
        <f t="shared" si="25"/>
        <v>#DIV/0!</v>
      </c>
      <c r="I144" s="460" t="e">
        <f t="shared" si="26"/>
        <v>#DIV/0!</v>
      </c>
    </row>
    <row r="145" spans="3:9" ht="12.75">
      <c r="C145" s="98">
        <v>142</v>
      </c>
      <c r="D145" s="440" t="e">
        <f>[1]!Edate(D144,1)</f>
        <v>#NAME?</v>
      </c>
      <c r="E145" s="441" t="e">
        <f t="shared" si="24"/>
        <v>#NAME?</v>
      </c>
      <c r="F145" s="460" t="e">
        <f>'Commercial Sizing'!$J$12/12</f>
        <v>#DIV/0!</v>
      </c>
      <c r="G145" s="460" t="e">
        <f>I144*(E145/360)*'Commercial Sizing'!$J$11</f>
        <v>#DIV/0!</v>
      </c>
      <c r="H145" s="460" t="e">
        <f t="shared" si="25"/>
        <v>#DIV/0!</v>
      </c>
      <c r="I145" s="460" t="e">
        <f t="shared" si="26"/>
        <v>#DIV/0!</v>
      </c>
    </row>
    <row r="146" spans="3:9" ht="12.75">
      <c r="C146" s="98">
        <v>143</v>
      </c>
      <c r="D146" s="440" t="e">
        <f>[1]!Edate(D145,1)</f>
        <v>#NAME?</v>
      </c>
      <c r="E146" s="441" t="e">
        <f t="shared" si="24"/>
        <v>#NAME?</v>
      </c>
      <c r="F146" s="460" t="e">
        <f>'Commercial Sizing'!$J$12/12</f>
        <v>#DIV/0!</v>
      </c>
      <c r="G146" s="460" t="e">
        <f>I145*(E146/360)*'Commercial Sizing'!$J$11</f>
        <v>#DIV/0!</v>
      </c>
      <c r="H146" s="460" t="e">
        <f t="shared" si="25"/>
        <v>#DIV/0!</v>
      </c>
      <c r="I146" s="460" t="e">
        <f t="shared" si="26"/>
        <v>#DIV/0!</v>
      </c>
    </row>
    <row r="147" spans="3:9" ht="12.75">
      <c r="C147" s="98">
        <v>144</v>
      </c>
      <c r="D147" s="440" t="e">
        <f>[1]!Edate(D146,1)</f>
        <v>#NAME?</v>
      </c>
      <c r="E147" s="441" t="e">
        <f t="shared" si="24"/>
        <v>#NAME?</v>
      </c>
      <c r="F147" s="460" t="e">
        <f>'Commercial Sizing'!$J$12/12</f>
        <v>#DIV/0!</v>
      </c>
      <c r="G147" s="460" t="e">
        <f>I146*(E147/360)*'Commercial Sizing'!$J$11</f>
        <v>#DIV/0!</v>
      </c>
      <c r="H147" s="460" t="e">
        <f t="shared" si="25"/>
        <v>#DIV/0!</v>
      </c>
      <c r="I147" s="460" t="e">
        <f t="shared" si="26"/>
        <v>#DIV/0!</v>
      </c>
    </row>
    <row r="148" spans="3:9" ht="12.75">
      <c r="C148" s="98">
        <v>145</v>
      </c>
      <c r="D148" s="440" t="e">
        <f>[1]!Edate(D147,1)</f>
        <v>#NAME?</v>
      </c>
      <c r="E148" s="441" t="e">
        <f t="shared" si="24"/>
        <v>#NAME?</v>
      </c>
      <c r="F148" s="460" t="e">
        <f>'Commercial Sizing'!$J$12/12</f>
        <v>#DIV/0!</v>
      </c>
      <c r="G148" s="460" t="e">
        <f>I147*(E148/360)*'Commercial Sizing'!$J$11</f>
        <v>#DIV/0!</v>
      </c>
      <c r="H148" s="460" t="e">
        <f t="shared" si="25"/>
        <v>#DIV/0!</v>
      </c>
      <c r="I148" s="460" t="e">
        <f t="shared" si="26"/>
        <v>#DIV/0!</v>
      </c>
    </row>
    <row r="149" spans="3:9" ht="12.75">
      <c r="C149" s="98">
        <v>146</v>
      </c>
      <c r="D149" s="440" t="e">
        <f>[1]!Edate(D148,1)</f>
        <v>#NAME?</v>
      </c>
      <c r="E149" s="441" t="e">
        <f aca="true" t="shared" si="27" ref="E149:E164">D150-D149</f>
        <v>#NAME?</v>
      </c>
      <c r="F149" s="460" t="e">
        <f>'Commercial Sizing'!$J$12/12</f>
        <v>#DIV/0!</v>
      </c>
      <c r="G149" s="460" t="e">
        <f>I148*(E149/360)*'Commercial Sizing'!$J$11</f>
        <v>#DIV/0!</v>
      </c>
      <c r="H149" s="460" t="e">
        <f aca="true" t="shared" si="28" ref="H149:H164">F149-G149</f>
        <v>#DIV/0!</v>
      </c>
      <c r="I149" s="460" t="e">
        <f aca="true" t="shared" si="29" ref="I149:I164">I148-H149</f>
        <v>#DIV/0!</v>
      </c>
    </row>
    <row r="150" spans="3:9" ht="12.75">
      <c r="C150" s="98">
        <v>147</v>
      </c>
      <c r="D150" s="440" t="e">
        <f>[1]!Edate(D149,1)</f>
        <v>#NAME?</v>
      </c>
      <c r="E150" s="441" t="e">
        <f t="shared" si="27"/>
        <v>#NAME?</v>
      </c>
      <c r="F150" s="460" t="e">
        <f>'Commercial Sizing'!$J$12/12</f>
        <v>#DIV/0!</v>
      </c>
      <c r="G150" s="460" t="e">
        <f>I149*(E150/360)*'Commercial Sizing'!$J$11</f>
        <v>#DIV/0!</v>
      </c>
      <c r="H150" s="460" t="e">
        <f t="shared" si="28"/>
        <v>#DIV/0!</v>
      </c>
      <c r="I150" s="460" t="e">
        <f t="shared" si="29"/>
        <v>#DIV/0!</v>
      </c>
    </row>
    <row r="151" spans="3:9" ht="12.75">
      <c r="C151" s="98">
        <v>148</v>
      </c>
      <c r="D151" s="440" t="e">
        <f>[1]!Edate(D150,1)</f>
        <v>#NAME?</v>
      </c>
      <c r="E151" s="441" t="e">
        <f t="shared" si="27"/>
        <v>#NAME?</v>
      </c>
      <c r="F151" s="460" t="e">
        <f>'Commercial Sizing'!$J$12/12</f>
        <v>#DIV/0!</v>
      </c>
      <c r="G151" s="460" t="e">
        <f>I150*(E151/360)*'Commercial Sizing'!$J$11</f>
        <v>#DIV/0!</v>
      </c>
      <c r="H151" s="460" t="e">
        <f t="shared" si="28"/>
        <v>#DIV/0!</v>
      </c>
      <c r="I151" s="460" t="e">
        <f t="shared" si="29"/>
        <v>#DIV/0!</v>
      </c>
    </row>
    <row r="152" spans="3:9" ht="12.75">
      <c r="C152" s="98">
        <v>149</v>
      </c>
      <c r="D152" s="440" t="e">
        <f>[1]!Edate(D151,1)</f>
        <v>#NAME?</v>
      </c>
      <c r="E152" s="441" t="e">
        <f t="shared" si="27"/>
        <v>#NAME?</v>
      </c>
      <c r="F152" s="460" t="e">
        <f>'Commercial Sizing'!$J$12/12</f>
        <v>#DIV/0!</v>
      </c>
      <c r="G152" s="460" t="e">
        <f>I151*(E152/360)*'Commercial Sizing'!$J$11</f>
        <v>#DIV/0!</v>
      </c>
      <c r="H152" s="460" t="e">
        <f t="shared" si="28"/>
        <v>#DIV/0!</v>
      </c>
      <c r="I152" s="460" t="e">
        <f t="shared" si="29"/>
        <v>#DIV/0!</v>
      </c>
    </row>
    <row r="153" spans="3:9" ht="12.75">
      <c r="C153" s="98">
        <v>150</v>
      </c>
      <c r="D153" s="440" t="e">
        <f>[1]!Edate(D152,1)</f>
        <v>#NAME?</v>
      </c>
      <c r="E153" s="441" t="e">
        <f t="shared" si="27"/>
        <v>#NAME?</v>
      </c>
      <c r="F153" s="460" t="e">
        <f>'Commercial Sizing'!$J$12/12</f>
        <v>#DIV/0!</v>
      </c>
      <c r="G153" s="460" t="e">
        <f>I152*(E153/360)*'Commercial Sizing'!$J$11</f>
        <v>#DIV/0!</v>
      </c>
      <c r="H153" s="460" t="e">
        <f t="shared" si="28"/>
        <v>#DIV/0!</v>
      </c>
      <c r="I153" s="460" t="e">
        <f t="shared" si="29"/>
        <v>#DIV/0!</v>
      </c>
    </row>
    <row r="154" spans="3:9" ht="12.75">
      <c r="C154" s="98">
        <v>151</v>
      </c>
      <c r="D154" s="440" t="e">
        <f>[1]!Edate(D153,1)</f>
        <v>#NAME?</v>
      </c>
      <c r="E154" s="441" t="e">
        <f t="shared" si="27"/>
        <v>#NAME?</v>
      </c>
      <c r="F154" s="460" t="e">
        <f>'Commercial Sizing'!$J$12/12</f>
        <v>#DIV/0!</v>
      </c>
      <c r="G154" s="460" t="e">
        <f>I153*(E154/360)*'Commercial Sizing'!$J$11</f>
        <v>#DIV/0!</v>
      </c>
      <c r="H154" s="460" t="e">
        <f t="shared" si="28"/>
        <v>#DIV/0!</v>
      </c>
      <c r="I154" s="460" t="e">
        <f t="shared" si="29"/>
        <v>#DIV/0!</v>
      </c>
    </row>
    <row r="155" spans="3:9" ht="12.75">
      <c r="C155" s="98">
        <v>152</v>
      </c>
      <c r="D155" s="440" t="e">
        <f>[1]!Edate(D154,1)</f>
        <v>#NAME?</v>
      </c>
      <c r="E155" s="441" t="e">
        <f t="shared" si="27"/>
        <v>#NAME?</v>
      </c>
      <c r="F155" s="460" t="e">
        <f>'Commercial Sizing'!$J$12/12</f>
        <v>#DIV/0!</v>
      </c>
      <c r="G155" s="460" t="e">
        <f>I154*(E155/360)*'Commercial Sizing'!$J$11</f>
        <v>#DIV/0!</v>
      </c>
      <c r="H155" s="460" t="e">
        <f t="shared" si="28"/>
        <v>#DIV/0!</v>
      </c>
      <c r="I155" s="460" t="e">
        <f t="shared" si="29"/>
        <v>#DIV/0!</v>
      </c>
    </row>
    <row r="156" spans="3:9" ht="12.75">
      <c r="C156" s="98">
        <v>153</v>
      </c>
      <c r="D156" s="440" t="e">
        <f>[1]!Edate(D155,1)</f>
        <v>#NAME?</v>
      </c>
      <c r="E156" s="441" t="e">
        <f t="shared" si="27"/>
        <v>#NAME?</v>
      </c>
      <c r="F156" s="460" t="e">
        <f>'Commercial Sizing'!$J$12/12</f>
        <v>#DIV/0!</v>
      </c>
      <c r="G156" s="460" t="e">
        <f>I155*(E156/360)*'Commercial Sizing'!$J$11</f>
        <v>#DIV/0!</v>
      </c>
      <c r="H156" s="460" t="e">
        <f t="shared" si="28"/>
        <v>#DIV/0!</v>
      </c>
      <c r="I156" s="460" t="e">
        <f t="shared" si="29"/>
        <v>#DIV/0!</v>
      </c>
    </row>
    <row r="157" spans="3:9" ht="12.75">
      <c r="C157" s="98">
        <v>154</v>
      </c>
      <c r="D157" s="440" t="e">
        <f>[1]!Edate(D156,1)</f>
        <v>#NAME?</v>
      </c>
      <c r="E157" s="441" t="e">
        <f t="shared" si="27"/>
        <v>#NAME?</v>
      </c>
      <c r="F157" s="460" t="e">
        <f>'Commercial Sizing'!$J$12/12</f>
        <v>#DIV/0!</v>
      </c>
      <c r="G157" s="460" t="e">
        <f>I156*(E157/360)*'Commercial Sizing'!$J$11</f>
        <v>#DIV/0!</v>
      </c>
      <c r="H157" s="460" t="e">
        <f t="shared" si="28"/>
        <v>#DIV/0!</v>
      </c>
      <c r="I157" s="460" t="e">
        <f t="shared" si="29"/>
        <v>#DIV/0!</v>
      </c>
    </row>
    <row r="158" spans="3:9" ht="12.75">
      <c r="C158" s="98">
        <v>155</v>
      </c>
      <c r="D158" s="440" t="e">
        <f>[1]!Edate(D157,1)</f>
        <v>#NAME?</v>
      </c>
      <c r="E158" s="441" t="e">
        <f t="shared" si="27"/>
        <v>#NAME?</v>
      </c>
      <c r="F158" s="460" t="e">
        <f>'Commercial Sizing'!$J$12/12</f>
        <v>#DIV/0!</v>
      </c>
      <c r="G158" s="460" t="e">
        <f>I157*(E158/360)*'Commercial Sizing'!$J$11</f>
        <v>#DIV/0!</v>
      </c>
      <c r="H158" s="460" t="e">
        <f t="shared" si="28"/>
        <v>#DIV/0!</v>
      </c>
      <c r="I158" s="460" t="e">
        <f t="shared" si="29"/>
        <v>#DIV/0!</v>
      </c>
    </row>
    <row r="159" spans="3:9" ht="12.75">
      <c r="C159" s="98">
        <v>156</v>
      </c>
      <c r="D159" s="440" t="e">
        <f>[1]!Edate(D158,1)</f>
        <v>#NAME?</v>
      </c>
      <c r="E159" s="441" t="e">
        <f t="shared" si="27"/>
        <v>#NAME?</v>
      </c>
      <c r="F159" s="460" t="e">
        <f>'Commercial Sizing'!$J$12/12</f>
        <v>#DIV/0!</v>
      </c>
      <c r="G159" s="460" t="e">
        <f>I158*(E159/360)*'Commercial Sizing'!$J$11</f>
        <v>#DIV/0!</v>
      </c>
      <c r="H159" s="460" t="e">
        <f t="shared" si="28"/>
        <v>#DIV/0!</v>
      </c>
      <c r="I159" s="460" t="e">
        <f t="shared" si="29"/>
        <v>#DIV/0!</v>
      </c>
    </row>
    <row r="160" spans="3:9" ht="12.75">
      <c r="C160" s="98">
        <v>157</v>
      </c>
      <c r="D160" s="440" t="e">
        <f>[1]!Edate(D159,1)</f>
        <v>#NAME?</v>
      </c>
      <c r="E160" s="441" t="e">
        <f t="shared" si="27"/>
        <v>#NAME?</v>
      </c>
      <c r="F160" s="460" t="e">
        <f>'Commercial Sizing'!$J$12/12</f>
        <v>#DIV/0!</v>
      </c>
      <c r="G160" s="460" t="e">
        <f>I159*(E160/360)*'Commercial Sizing'!$J$11</f>
        <v>#DIV/0!</v>
      </c>
      <c r="H160" s="460" t="e">
        <f t="shared" si="28"/>
        <v>#DIV/0!</v>
      </c>
      <c r="I160" s="460" t="e">
        <f t="shared" si="29"/>
        <v>#DIV/0!</v>
      </c>
    </row>
    <row r="161" spans="3:9" ht="12.75">
      <c r="C161" s="98">
        <v>158</v>
      </c>
      <c r="D161" s="440" t="e">
        <f>[1]!Edate(D160,1)</f>
        <v>#NAME?</v>
      </c>
      <c r="E161" s="441" t="e">
        <f t="shared" si="27"/>
        <v>#NAME?</v>
      </c>
      <c r="F161" s="460" t="e">
        <f>'Commercial Sizing'!$J$12/12</f>
        <v>#DIV/0!</v>
      </c>
      <c r="G161" s="460" t="e">
        <f>I160*(E161/360)*'Commercial Sizing'!$J$11</f>
        <v>#DIV/0!</v>
      </c>
      <c r="H161" s="460" t="e">
        <f t="shared" si="28"/>
        <v>#DIV/0!</v>
      </c>
      <c r="I161" s="460" t="e">
        <f t="shared" si="29"/>
        <v>#DIV/0!</v>
      </c>
    </row>
    <row r="162" spans="3:9" ht="12.75">
      <c r="C162" s="98">
        <v>159</v>
      </c>
      <c r="D162" s="440" t="e">
        <f>[1]!Edate(D161,1)</f>
        <v>#NAME?</v>
      </c>
      <c r="E162" s="441" t="e">
        <f t="shared" si="27"/>
        <v>#NAME?</v>
      </c>
      <c r="F162" s="460" t="e">
        <f>'Commercial Sizing'!$J$12/12</f>
        <v>#DIV/0!</v>
      </c>
      <c r="G162" s="460" t="e">
        <f>I161*(E162/360)*'Commercial Sizing'!$J$11</f>
        <v>#DIV/0!</v>
      </c>
      <c r="H162" s="460" t="e">
        <f t="shared" si="28"/>
        <v>#DIV/0!</v>
      </c>
      <c r="I162" s="460" t="e">
        <f t="shared" si="29"/>
        <v>#DIV/0!</v>
      </c>
    </row>
    <row r="163" spans="3:9" ht="12.75">
      <c r="C163" s="98">
        <v>160</v>
      </c>
      <c r="D163" s="440" t="e">
        <f>[1]!Edate(D162,1)</f>
        <v>#NAME?</v>
      </c>
      <c r="E163" s="441" t="e">
        <f t="shared" si="27"/>
        <v>#NAME?</v>
      </c>
      <c r="F163" s="460" t="e">
        <f>'Commercial Sizing'!$J$12/12</f>
        <v>#DIV/0!</v>
      </c>
      <c r="G163" s="460" t="e">
        <f>I162*(E163/360)*'Commercial Sizing'!$J$11</f>
        <v>#DIV/0!</v>
      </c>
      <c r="H163" s="460" t="e">
        <f t="shared" si="28"/>
        <v>#DIV/0!</v>
      </c>
      <c r="I163" s="460" t="e">
        <f t="shared" si="29"/>
        <v>#DIV/0!</v>
      </c>
    </row>
    <row r="164" spans="3:9" ht="12.75">
      <c r="C164" s="98">
        <v>161</v>
      </c>
      <c r="D164" s="440" t="e">
        <f>[1]!Edate(D163,1)</f>
        <v>#NAME?</v>
      </c>
      <c r="E164" s="441" t="e">
        <f t="shared" si="27"/>
        <v>#NAME?</v>
      </c>
      <c r="F164" s="460" t="e">
        <f>'Commercial Sizing'!$J$12/12</f>
        <v>#DIV/0!</v>
      </c>
      <c r="G164" s="460" t="e">
        <f>I163*(E164/360)*'Commercial Sizing'!$J$11</f>
        <v>#DIV/0!</v>
      </c>
      <c r="H164" s="460" t="e">
        <f t="shared" si="28"/>
        <v>#DIV/0!</v>
      </c>
      <c r="I164" s="460" t="e">
        <f t="shared" si="29"/>
        <v>#DIV/0!</v>
      </c>
    </row>
    <row r="165" spans="3:9" ht="12.75">
      <c r="C165" s="98">
        <v>162</v>
      </c>
      <c r="D165" s="440" t="e">
        <f>[1]!Edate(D164,1)</f>
        <v>#NAME?</v>
      </c>
      <c r="E165" s="441" t="e">
        <f aca="true" t="shared" si="30" ref="E165:E180">D166-D165</f>
        <v>#NAME?</v>
      </c>
      <c r="F165" s="460" t="e">
        <f>'Commercial Sizing'!$J$12/12</f>
        <v>#DIV/0!</v>
      </c>
      <c r="G165" s="460" t="e">
        <f>I164*(E165/360)*'Commercial Sizing'!$J$11</f>
        <v>#DIV/0!</v>
      </c>
      <c r="H165" s="460" t="e">
        <f aca="true" t="shared" si="31" ref="H165:H180">F165-G165</f>
        <v>#DIV/0!</v>
      </c>
      <c r="I165" s="460" t="e">
        <f aca="true" t="shared" si="32" ref="I165:I180">I164-H165</f>
        <v>#DIV/0!</v>
      </c>
    </row>
    <row r="166" spans="3:9" ht="12.75">
      <c r="C166" s="98">
        <v>163</v>
      </c>
      <c r="D166" s="440" t="e">
        <f>[1]!Edate(D165,1)</f>
        <v>#NAME?</v>
      </c>
      <c r="E166" s="441" t="e">
        <f t="shared" si="30"/>
        <v>#NAME?</v>
      </c>
      <c r="F166" s="460" t="e">
        <f>'Commercial Sizing'!$J$12/12</f>
        <v>#DIV/0!</v>
      </c>
      <c r="G166" s="460" t="e">
        <f>I165*(E166/360)*'Commercial Sizing'!$J$11</f>
        <v>#DIV/0!</v>
      </c>
      <c r="H166" s="460" t="e">
        <f t="shared" si="31"/>
        <v>#DIV/0!</v>
      </c>
      <c r="I166" s="460" t="e">
        <f t="shared" si="32"/>
        <v>#DIV/0!</v>
      </c>
    </row>
    <row r="167" spans="3:9" ht="12.75">
      <c r="C167" s="98">
        <v>164</v>
      </c>
      <c r="D167" s="440" t="e">
        <f>[1]!Edate(D166,1)</f>
        <v>#NAME?</v>
      </c>
      <c r="E167" s="441" t="e">
        <f t="shared" si="30"/>
        <v>#NAME?</v>
      </c>
      <c r="F167" s="460" t="e">
        <f>'Commercial Sizing'!$J$12/12</f>
        <v>#DIV/0!</v>
      </c>
      <c r="G167" s="460" t="e">
        <f>I166*(E167/360)*'Commercial Sizing'!$J$11</f>
        <v>#DIV/0!</v>
      </c>
      <c r="H167" s="460" t="e">
        <f t="shared" si="31"/>
        <v>#DIV/0!</v>
      </c>
      <c r="I167" s="460" t="e">
        <f t="shared" si="32"/>
        <v>#DIV/0!</v>
      </c>
    </row>
    <row r="168" spans="3:9" ht="12.75">
      <c r="C168" s="98">
        <v>165</v>
      </c>
      <c r="D168" s="440" t="e">
        <f>[1]!Edate(D167,1)</f>
        <v>#NAME?</v>
      </c>
      <c r="E168" s="441" t="e">
        <f t="shared" si="30"/>
        <v>#NAME?</v>
      </c>
      <c r="F168" s="460" t="e">
        <f>'Commercial Sizing'!$J$12/12</f>
        <v>#DIV/0!</v>
      </c>
      <c r="G168" s="460" t="e">
        <f>I167*(E168/360)*'Commercial Sizing'!$J$11</f>
        <v>#DIV/0!</v>
      </c>
      <c r="H168" s="460" t="e">
        <f t="shared" si="31"/>
        <v>#DIV/0!</v>
      </c>
      <c r="I168" s="460" t="e">
        <f t="shared" si="32"/>
        <v>#DIV/0!</v>
      </c>
    </row>
    <row r="169" spans="3:9" ht="12.75">
      <c r="C169" s="98">
        <v>166</v>
      </c>
      <c r="D169" s="440" t="e">
        <f>[1]!Edate(D168,1)</f>
        <v>#NAME?</v>
      </c>
      <c r="E169" s="441" t="e">
        <f t="shared" si="30"/>
        <v>#NAME?</v>
      </c>
      <c r="F169" s="460" t="e">
        <f>'Commercial Sizing'!$J$12/12</f>
        <v>#DIV/0!</v>
      </c>
      <c r="G169" s="460" t="e">
        <f>I168*(E169/360)*'Commercial Sizing'!$J$11</f>
        <v>#DIV/0!</v>
      </c>
      <c r="H169" s="460" t="e">
        <f t="shared" si="31"/>
        <v>#DIV/0!</v>
      </c>
      <c r="I169" s="460" t="e">
        <f t="shared" si="32"/>
        <v>#DIV/0!</v>
      </c>
    </row>
    <row r="170" spans="3:9" ht="12.75">
      <c r="C170" s="98">
        <v>167</v>
      </c>
      <c r="D170" s="440" t="e">
        <f>[1]!Edate(D169,1)</f>
        <v>#NAME?</v>
      </c>
      <c r="E170" s="441" t="e">
        <f t="shared" si="30"/>
        <v>#NAME?</v>
      </c>
      <c r="F170" s="460" t="e">
        <f>'Commercial Sizing'!$J$12/12</f>
        <v>#DIV/0!</v>
      </c>
      <c r="G170" s="460" t="e">
        <f>I169*(E170/360)*'Commercial Sizing'!$J$11</f>
        <v>#DIV/0!</v>
      </c>
      <c r="H170" s="460" t="e">
        <f t="shared" si="31"/>
        <v>#DIV/0!</v>
      </c>
      <c r="I170" s="460" t="e">
        <f t="shared" si="32"/>
        <v>#DIV/0!</v>
      </c>
    </row>
    <row r="171" spans="3:9" ht="12.75">
      <c r="C171" s="98">
        <v>168</v>
      </c>
      <c r="D171" s="440" t="e">
        <f>[1]!Edate(D170,1)</f>
        <v>#NAME?</v>
      </c>
      <c r="E171" s="441" t="e">
        <f t="shared" si="30"/>
        <v>#NAME?</v>
      </c>
      <c r="F171" s="460" t="e">
        <f>'Commercial Sizing'!$J$12/12</f>
        <v>#DIV/0!</v>
      </c>
      <c r="G171" s="460" t="e">
        <f>I170*(E171/360)*'Commercial Sizing'!$J$11</f>
        <v>#DIV/0!</v>
      </c>
      <c r="H171" s="460" t="e">
        <f t="shared" si="31"/>
        <v>#DIV/0!</v>
      </c>
      <c r="I171" s="460" t="e">
        <f t="shared" si="32"/>
        <v>#DIV/0!</v>
      </c>
    </row>
    <row r="172" spans="3:9" ht="12.75">
      <c r="C172" s="98">
        <v>169</v>
      </c>
      <c r="D172" s="440" t="e">
        <f>[1]!Edate(D171,1)</f>
        <v>#NAME?</v>
      </c>
      <c r="E172" s="441" t="e">
        <f t="shared" si="30"/>
        <v>#NAME?</v>
      </c>
      <c r="F172" s="460" t="e">
        <f>'Commercial Sizing'!$J$12/12</f>
        <v>#DIV/0!</v>
      </c>
      <c r="G172" s="460" t="e">
        <f>I171*(E172/360)*'Commercial Sizing'!$J$11</f>
        <v>#DIV/0!</v>
      </c>
      <c r="H172" s="460" t="e">
        <f t="shared" si="31"/>
        <v>#DIV/0!</v>
      </c>
      <c r="I172" s="460" t="e">
        <f t="shared" si="32"/>
        <v>#DIV/0!</v>
      </c>
    </row>
    <row r="173" spans="3:9" ht="12.75">
      <c r="C173" s="98">
        <v>170</v>
      </c>
      <c r="D173" s="440" t="e">
        <f>[1]!Edate(D172,1)</f>
        <v>#NAME?</v>
      </c>
      <c r="E173" s="441" t="e">
        <f t="shared" si="30"/>
        <v>#NAME?</v>
      </c>
      <c r="F173" s="460" t="e">
        <f>'Commercial Sizing'!$J$12/12</f>
        <v>#DIV/0!</v>
      </c>
      <c r="G173" s="460" t="e">
        <f>I172*(E173/360)*'Commercial Sizing'!$J$11</f>
        <v>#DIV/0!</v>
      </c>
      <c r="H173" s="460" t="e">
        <f t="shared" si="31"/>
        <v>#DIV/0!</v>
      </c>
      <c r="I173" s="460" t="e">
        <f t="shared" si="32"/>
        <v>#DIV/0!</v>
      </c>
    </row>
    <row r="174" spans="3:9" ht="12.75">
      <c r="C174" s="98">
        <v>171</v>
      </c>
      <c r="D174" s="440" t="e">
        <f>[1]!Edate(D173,1)</f>
        <v>#NAME?</v>
      </c>
      <c r="E174" s="441" t="e">
        <f t="shared" si="30"/>
        <v>#NAME?</v>
      </c>
      <c r="F174" s="460" t="e">
        <f>'Commercial Sizing'!$J$12/12</f>
        <v>#DIV/0!</v>
      </c>
      <c r="G174" s="460" t="e">
        <f>I173*(E174/360)*'Commercial Sizing'!$J$11</f>
        <v>#DIV/0!</v>
      </c>
      <c r="H174" s="460" t="e">
        <f t="shared" si="31"/>
        <v>#DIV/0!</v>
      </c>
      <c r="I174" s="460" t="e">
        <f t="shared" si="32"/>
        <v>#DIV/0!</v>
      </c>
    </row>
    <row r="175" spans="3:9" ht="12.75">
      <c r="C175" s="98">
        <v>172</v>
      </c>
      <c r="D175" s="440" t="e">
        <f>[1]!Edate(D174,1)</f>
        <v>#NAME?</v>
      </c>
      <c r="E175" s="441" t="e">
        <f t="shared" si="30"/>
        <v>#NAME?</v>
      </c>
      <c r="F175" s="460" t="e">
        <f>'Commercial Sizing'!$J$12/12</f>
        <v>#DIV/0!</v>
      </c>
      <c r="G175" s="460" t="e">
        <f>I174*(E175/360)*'Commercial Sizing'!$J$11</f>
        <v>#DIV/0!</v>
      </c>
      <c r="H175" s="460" t="e">
        <f t="shared" si="31"/>
        <v>#DIV/0!</v>
      </c>
      <c r="I175" s="460" t="e">
        <f t="shared" si="32"/>
        <v>#DIV/0!</v>
      </c>
    </row>
    <row r="176" spans="3:9" ht="12.75">
      <c r="C176" s="98">
        <v>173</v>
      </c>
      <c r="D176" s="440" t="e">
        <f>[1]!Edate(D175,1)</f>
        <v>#NAME?</v>
      </c>
      <c r="E176" s="441" t="e">
        <f t="shared" si="30"/>
        <v>#NAME?</v>
      </c>
      <c r="F176" s="460" t="e">
        <f>'Commercial Sizing'!$J$12/12</f>
        <v>#DIV/0!</v>
      </c>
      <c r="G176" s="460" t="e">
        <f>I175*(E176/360)*'Commercial Sizing'!$J$11</f>
        <v>#DIV/0!</v>
      </c>
      <c r="H176" s="460" t="e">
        <f t="shared" si="31"/>
        <v>#DIV/0!</v>
      </c>
      <c r="I176" s="460" t="e">
        <f t="shared" si="32"/>
        <v>#DIV/0!</v>
      </c>
    </row>
    <row r="177" spans="3:9" ht="12.75">
      <c r="C177" s="98">
        <v>174</v>
      </c>
      <c r="D177" s="440" t="e">
        <f>[1]!Edate(D176,1)</f>
        <v>#NAME?</v>
      </c>
      <c r="E177" s="441" t="e">
        <f t="shared" si="30"/>
        <v>#NAME?</v>
      </c>
      <c r="F177" s="460" t="e">
        <f>'Commercial Sizing'!$J$12/12</f>
        <v>#DIV/0!</v>
      </c>
      <c r="G177" s="460" t="e">
        <f>I176*(E177/360)*'Commercial Sizing'!$J$11</f>
        <v>#DIV/0!</v>
      </c>
      <c r="H177" s="460" t="e">
        <f t="shared" si="31"/>
        <v>#DIV/0!</v>
      </c>
      <c r="I177" s="460" t="e">
        <f t="shared" si="32"/>
        <v>#DIV/0!</v>
      </c>
    </row>
    <row r="178" spans="3:9" ht="12.75">
      <c r="C178" s="98">
        <v>175</v>
      </c>
      <c r="D178" s="440" t="e">
        <f>[1]!Edate(D177,1)</f>
        <v>#NAME?</v>
      </c>
      <c r="E178" s="441" t="e">
        <f t="shared" si="30"/>
        <v>#NAME?</v>
      </c>
      <c r="F178" s="460" t="e">
        <f>'Commercial Sizing'!$J$12/12</f>
        <v>#DIV/0!</v>
      </c>
      <c r="G178" s="460" t="e">
        <f>I177*(E178/360)*'Commercial Sizing'!$J$11</f>
        <v>#DIV/0!</v>
      </c>
      <c r="H178" s="460" t="e">
        <f t="shared" si="31"/>
        <v>#DIV/0!</v>
      </c>
      <c r="I178" s="460" t="e">
        <f t="shared" si="32"/>
        <v>#DIV/0!</v>
      </c>
    </row>
    <row r="179" spans="3:9" ht="12.75">
      <c r="C179" s="98">
        <v>176</v>
      </c>
      <c r="D179" s="440" t="e">
        <f>[1]!Edate(D178,1)</f>
        <v>#NAME?</v>
      </c>
      <c r="E179" s="441" t="e">
        <f t="shared" si="30"/>
        <v>#NAME?</v>
      </c>
      <c r="F179" s="460" t="e">
        <f>'Commercial Sizing'!$J$12/12</f>
        <v>#DIV/0!</v>
      </c>
      <c r="G179" s="460" t="e">
        <f>I178*(E179/360)*'Commercial Sizing'!$J$11</f>
        <v>#DIV/0!</v>
      </c>
      <c r="H179" s="460" t="e">
        <f t="shared" si="31"/>
        <v>#DIV/0!</v>
      </c>
      <c r="I179" s="460" t="e">
        <f t="shared" si="32"/>
        <v>#DIV/0!</v>
      </c>
    </row>
    <row r="180" spans="3:9" ht="12.75">
      <c r="C180" s="98">
        <v>177</v>
      </c>
      <c r="D180" s="440" t="e">
        <f>[1]!Edate(D179,1)</f>
        <v>#NAME?</v>
      </c>
      <c r="E180" s="441" t="e">
        <f t="shared" si="30"/>
        <v>#NAME?</v>
      </c>
      <c r="F180" s="460" t="e">
        <f>'Commercial Sizing'!$J$12/12</f>
        <v>#DIV/0!</v>
      </c>
      <c r="G180" s="460" t="e">
        <f>I179*(E180/360)*'Commercial Sizing'!$J$11</f>
        <v>#DIV/0!</v>
      </c>
      <c r="H180" s="460" t="e">
        <f t="shared" si="31"/>
        <v>#DIV/0!</v>
      </c>
      <c r="I180" s="460" t="e">
        <f t="shared" si="32"/>
        <v>#DIV/0!</v>
      </c>
    </row>
    <row r="181" spans="3:9" ht="12.75">
      <c r="C181" s="98">
        <v>178</v>
      </c>
      <c r="D181" s="440" t="e">
        <f>[1]!Edate(D180,1)</f>
        <v>#NAME?</v>
      </c>
      <c r="E181" s="441" t="e">
        <f aca="true" t="shared" si="33" ref="E181:E196">D182-D181</f>
        <v>#NAME?</v>
      </c>
      <c r="F181" s="460" t="e">
        <f>'Commercial Sizing'!$J$12/12</f>
        <v>#DIV/0!</v>
      </c>
      <c r="G181" s="460" t="e">
        <f>I180*(E181/360)*'Commercial Sizing'!$J$11</f>
        <v>#DIV/0!</v>
      </c>
      <c r="H181" s="460" t="e">
        <f aca="true" t="shared" si="34" ref="H181:H196">F181-G181</f>
        <v>#DIV/0!</v>
      </c>
      <c r="I181" s="460" t="e">
        <f aca="true" t="shared" si="35" ref="I181:I196">I180-H181</f>
        <v>#DIV/0!</v>
      </c>
    </row>
    <row r="182" spans="3:9" ht="12.75">
      <c r="C182" s="98">
        <v>179</v>
      </c>
      <c r="D182" s="440" t="e">
        <f>[1]!Edate(D181,1)</f>
        <v>#NAME?</v>
      </c>
      <c r="E182" s="441" t="e">
        <f t="shared" si="33"/>
        <v>#NAME?</v>
      </c>
      <c r="F182" s="460" t="e">
        <f>'Commercial Sizing'!$J$12/12</f>
        <v>#DIV/0!</v>
      </c>
      <c r="G182" s="460" t="e">
        <f>I181*(E182/360)*'Commercial Sizing'!$J$11</f>
        <v>#DIV/0!</v>
      </c>
      <c r="H182" s="460" t="e">
        <f t="shared" si="34"/>
        <v>#DIV/0!</v>
      </c>
      <c r="I182" s="460" t="e">
        <f t="shared" si="35"/>
        <v>#DIV/0!</v>
      </c>
    </row>
    <row r="183" spans="3:9" ht="12.75">
      <c r="C183" s="98">
        <v>180</v>
      </c>
      <c r="D183" s="440" t="e">
        <f>[1]!Edate(D182,1)</f>
        <v>#NAME?</v>
      </c>
      <c r="E183" s="441" t="e">
        <f t="shared" si="33"/>
        <v>#NAME?</v>
      </c>
      <c r="F183" s="460" t="e">
        <f>'Commercial Sizing'!$J$12/12</f>
        <v>#DIV/0!</v>
      </c>
      <c r="G183" s="460" t="e">
        <f>I182*(E183/360)*'Commercial Sizing'!$J$11</f>
        <v>#DIV/0!</v>
      </c>
      <c r="H183" s="460" t="e">
        <f t="shared" si="34"/>
        <v>#DIV/0!</v>
      </c>
      <c r="I183" s="460" t="e">
        <f t="shared" si="35"/>
        <v>#DIV/0!</v>
      </c>
    </row>
    <row r="184" spans="3:9" ht="12.75">
      <c r="C184" s="98">
        <v>181</v>
      </c>
      <c r="D184" s="440" t="e">
        <f>[1]!Edate(D183,1)</f>
        <v>#NAME?</v>
      </c>
      <c r="E184" s="441" t="e">
        <f t="shared" si="33"/>
        <v>#NAME?</v>
      </c>
      <c r="F184" s="460" t="e">
        <f>'Commercial Sizing'!$J$12/12</f>
        <v>#DIV/0!</v>
      </c>
      <c r="G184" s="460" t="e">
        <f>I183*(E184/360)*'Commercial Sizing'!$J$11</f>
        <v>#DIV/0!</v>
      </c>
      <c r="H184" s="460" t="e">
        <f t="shared" si="34"/>
        <v>#DIV/0!</v>
      </c>
      <c r="I184" s="460" t="e">
        <f t="shared" si="35"/>
        <v>#DIV/0!</v>
      </c>
    </row>
    <row r="185" spans="3:9" ht="12.75">
      <c r="C185" s="98">
        <v>182</v>
      </c>
      <c r="D185" s="440" t="e">
        <f>[1]!Edate(D184,1)</f>
        <v>#NAME?</v>
      </c>
      <c r="E185" s="441" t="e">
        <f t="shared" si="33"/>
        <v>#NAME?</v>
      </c>
      <c r="F185" s="460" t="e">
        <f>'Commercial Sizing'!$J$12/12</f>
        <v>#DIV/0!</v>
      </c>
      <c r="G185" s="460" t="e">
        <f>I184*(E185/360)*'Commercial Sizing'!$J$11</f>
        <v>#DIV/0!</v>
      </c>
      <c r="H185" s="460" t="e">
        <f t="shared" si="34"/>
        <v>#DIV/0!</v>
      </c>
      <c r="I185" s="460" t="e">
        <f t="shared" si="35"/>
        <v>#DIV/0!</v>
      </c>
    </row>
    <row r="186" spans="3:9" ht="12.75">
      <c r="C186" s="98">
        <v>183</v>
      </c>
      <c r="D186" s="440" t="e">
        <f>[1]!Edate(D185,1)</f>
        <v>#NAME?</v>
      </c>
      <c r="E186" s="441" t="e">
        <f t="shared" si="33"/>
        <v>#NAME?</v>
      </c>
      <c r="F186" s="460" t="e">
        <f>'Commercial Sizing'!$J$12/12</f>
        <v>#DIV/0!</v>
      </c>
      <c r="G186" s="460" t="e">
        <f>I185*(E186/360)*'Commercial Sizing'!$J$11</f>
        <v>#DIV/0!</v>
      </c>
      <c r="H186" s="460" t="e">
        <f t="shared" si="34"/>
        <v>#DIV/0!</v>
      </c>
      <c r="I186" s="460" t="e">
        <f t="shared" si="35"/>
        <v>#DIV/0!</v>
      </c>
    </row>
    <row r="187" spans="3:9" ht="12.75">
      <c r="C187" s="98">
        <v>184</v>
      </c>
      <c r="D187" s="440" t="e">
        <f>[1]!Edate(D186,1)</f>
        <v>#NAME?</v>
      </c>
      <c r="E187" s="441" t="e">
        <f t="shared" si="33"/>
        <v>#NAME?</v>
      </c>
      <c r="F187" s="460" t="e">
        <f>'Commercial Sizing'!$J$12/12</f>
        <v>#DIV/0!</v>
      </c>
      <c r="G187" s="460" t="e">
        <f>I186*(E187/360)*'Commercial Sizing'!$J$11</f>
        <v>#DIV/0!</v>
      </c>
      <c r="H187" s="460" t="e">
        <f t="shared" si="34"/>
        <v>#DIV/0!</v>
      </c>
      <c r="I187" s="460" t="e">
        <f t="shared" si="35"/>
        <v>#DIV/0!</v>
      </c>
    </row>
    <row r="188" spans="3:9" ht="12.75">
      <c r="C188" s="98">
        <v>185</v>
      </c>
      <c r="D188" s="440" t="e">
        <f>[1]!Edate(D187,1)</f>
        <v>#NAME?</v>
      </c>
      <c r="E188" s="441" t="e">
        <f t="shared" si="33"/>
        <v>#NAME?</v>
      </c>
      <c r="F188" s="460" t="e">
        <f>'Commercial Sizing'!$J$12/12</f>
        <v>#DIV/0!</v>
      </c>
      <c r="G188" s="460" t="e">
        <f>I187*(E188/360)*'Commercial Sizing'!$J$11</f>
        <v>#DIV/0!</v>
      </c>
      <c r="H188" s="460" t="e">
        <f t="shared" si="34"/>
        <v>#DIV/0!</v>
      </c>
      <c r="I188" s="460" t="e">
        <f t="shared" si="35"/>
        <v>#DIV/0!</v>
      </c>
    </row>
    <row r="189" spans="3:9" ht="12.75">
      <c r="C189" s="98">
        <v>186</v>
      </c>
      <c r="D189" s="440" t="e">
        <f>[1]!Edate(D188,1)</f>
        <v>#NAME?</v>
      </c>
      <c r="E189" s="441" t="e">
        <f t="shared" si="33"/>
        <v>#NAME?</v>
      </c>
      <c r="F189" s="460" t="e">
        <f>'Commercial Sizing'!$J$12/12</f>
        <v>#DIV/0!</v>
      </c>
      <c r="G189" s="460" t="e">
        <f>I188*(E189/360)*'Commercial Sizing'!$J$11</f>
        <v>#DIV/0!</v>
      </c>
      <c r="H189" s="460" t="e">
        <f t="shared" si="34"/>
        <v>#DIV/0!</v>
      </c>
      <c r="I189" s="460" t="e">
        <f t="shared" si="35"/>
        <v>#DIV/0!</v>
      </c>
    </row>
    <row r="190" spans="3:9" ht="12.75">
      <c r="C190" s="98">
        <v>187</v>
      </c>
      <c r="D190" s="440" t="e">
        <f>[1]!Edate(D189,1)</f>
        <v>#NAME?</v>
      </c>
      <c r="E190" s="441" t="e">
        <f t="shared" si="33"/>
        <v>#NAME?</v>
      </c>
      <c r="F190" s="460" t="e">
        <f>'Commercial Sizing'!$J$12/12</f>
        <v>#DIV/0!</v>
      </c>
      <c r="G190" s="460" t="e">
        <f>I189*(E190/360)*'Commercial Sizing'!$J$11</f>
        <v>#DIV/0!</v>
      </c>
      <c r="H190" s="460" t="e">
        <f t="shared" si="34"/>
        <v>#DIV/0!</v>
      </c>
      <c r="I190" s="460" t="e">
        <f t="shared" si="35"/>
        <v>#DIV/0!</v>
      </c>
    </row>
    <row r="191" spans="3:9" ht="12.75">
      <c r="C191" s="98">
        <v>188</v>
      </c>
      <c r="D191" s="440" t="e">
        <f>[1]!Edate(D190,1)</f>
        <v>#NAME?</v>
      </c>
      <c r="E191" s="441" t="e">
        <f t="shared" si="33"/>
        <v>#NAME?</v>
      </c>
      <c r="F191" s="460" t="e">
        <f>'Commercial Sizing'!$J$12/12</f>
        <v>#DIV/0!</v>
      </c>
      <c r="G191" s="460" t="e">
        <f>I190*(E191/360)*'Commercial Sizing'!$J$11</f>
        <v>#DIV/0!</v>
      </c>
      <c r="H191" s="460" t="e">
        <f t="shared" si="34"/>
        <v>#DIV/0!</v>
      </c>
      <c r="I191" s="460" t="e">
        <f t="shared" si="35"/>
        <v>#DIV/0!</v>
      </c>
    </row>
    <row r="192" spans="3:9" ht="12.75">
      <c r="C192" s="98">
        <v>189</v>
      </c>
      <c r="D192" s="440" t="e">
        <f>[1]!Edate(D191,1)</f>
        <v>#NAME?</v>
      </c>
      <c r="E192" s="441" t="e">
        <f t="shared" si="33"/>
        <v>#NAME?</v>
      </c>
      <c r="F192" s="460" t="e">
        <f>'Commercial Sizing'!$J$12/12</f>
        <v>#DIV/0!</v>
      </c>
      <c r="G192" s="460" t="e">
        <f>I191*(E192/360)*'Commercial Sizing'!$J$11</f>
        <v>#DIV/0!</v>
      </c>
      <c r="H192" s="460" t="e">
        <f t="shared" si="34"/>
        <v>#DIV/0!</v>
      </c>
      <c r="I192" s="460" t="e">
        <f t="shared" si="35"/>
        <v>#DIV/0!</v>
      </c>
    </row>
    <row r="193" spans="3:9" ht="12.75">
      <c r="C193" s="98">
        <v>190</v>
      </c>
      <c r="D193" s="440" t="e">
        <f>[1]!Edate(D192,1)</f>
        <v>#NAME?</v>
      </c>
      <c r="E193" s="441" t="e">
        <f t="shared" si="33"/>
        <v>#NAME?</v>
      </c>
      <c r="F193" s="460" t="e">
        <f>'Commercial Sizing'!$J$12/12</f>
        <v>#DIV/0!</v>
      </c>
      <c r="G193" s="460" t="e">
        <f>I192*(E193/360)*'Commercial Sizing'!$J$11</f>
        <v>#DIV/0!</v>
      </c>
      <c r="H193" s="460" t="e">
        <f t="shared" si="34"/>
        <v>#DIV/0!</v>
      </c>
      <c r="I193" s="460" t="e">
        <f t="shared" si="35"/>
        <v>#DIV/0!</v>
      </c>
    </row>
    <row r="194" spans="3:9" ht="12.75">
      <c r="C194" s="98">
        <v>191</v>
      </c>
      <c r="D194" s="440" t="e">
        <f>[1]!Edate(D193,1)</f>
        <v>#NAME?</v>
      </c>
      <c r="E194" s="441" t="e">
        <f t="shared" si="33"/>
        <v>#NAME?</v>
      </c>
      <c r="F194" s="460" t="e">
        <f>'Commercial Sizing'!$J$12/12</f>
        <v>#DIV/0!</v>
      </c>
      <c r="G194" s="460" t="e">
        <f>I193*(E194/360)*'Commercial Sizing'!$J$11</f>
        <v>#DIV/0!</v>
      </c>
      <c r="H194" s="460" t="e">
        <f t="shared" si="34"/>
        <v>#DIV/0!</v>
      </c>
      <c r="I194" s="460" t="e">
        <f t="shared" si="35"/>
        <v>#DIV/0!</v>
      </c>
    </row>
    <row r="195" spans="3:9" ht="12.75">
      <c r="C195" s="98">
        <v>192</v>
      </c>
      <c r="D195" s="440" t="e">
        <f>[1]!Edate(D194,1)</f>
        <v>#NAME?</v>
      </c>
      <c r="E195" s="441" t="e">
        <f t="shared" si="33"/>
        <v>#NAME?</v>
      </c>
      <c r="F195" s="460" t="e">
        <f>'Commercial Sizing'!$J$12/12</f>
        <v>#DIV/0!</v>
      </c>
      <c r="G195" s="460" t="e">
        <f>I194*(E195/360)*'Commercial Sizing'!$J$11</f>
        <v>#DIV/0!</v>
      </c>
      <c r="H195" s="460" t="e">
        <f t="shared" si="34"/>
        <v>#DIV/0!</v>
      </c>
      <c r="I195" s="460" t="e">
        <f t="shared" si="35"/>
        <v>#DIV/0!</v>
      </c>
    </row>
    <row r="196" spans="3:9" ht="12.75">
      <c r="C196" s="98">
        <v>193</v>
      </c>
      <c r="D196" s="440" t="e">
        <f>[1]!Edate(D195,1)</f>
        <v>#NAME?</v>
      </c>
      <c r="E196" s="441" t="e">
        <f t="shared" si="33"/>
        <v>#NAME?</v>
      </c>
      <c r="F196" s="460" t="e">
        <f>'Commercial Sizing'!$J$12/12</f>
        <v>#DIV/0!</v>
      </c>
      <c r="G196" s="460" t="e">
        <f>I195*(E196/360)*'Commercial Sizing'!$J$11</f>
        <v>#DIV/0!</v>
      </c>
      <c r="H196" s="460" t="e">
        <f t="shared" si="34"/>
        <v>#DIV/0!</v>
      </c>
      <c r="I196" s="460" t="e">
        <f t="shared" si="35"/>
        <v>#DIV/0!</v>
      </c>
    </row>
    <row r="197" spans="3:9" ht="12.75">
      <c r="C197" s="98">
        <v>194</v>
      </c>
      <c r="D197" s="440" t="e">
        <f>[1]!Edate(D196,1)</f>
        <v>#NAME?</v>
      </c>
      <c r="E197" s="441" t="e">
        <f aca="true" t="shared" si="36" ref="E197:E212">D198-D197</f>
        <v>#NAME?</v>
      </c>
      <c r="F197" s="460" t="e">
        <f>'Commercial Sizing'!$J$12/12</f>
        <v>#DIV/0!</v>
      </c>
      <c r="G197" s="460" t="e">
        <f>I196*(E197/360)*'Commercial Sizing'!$J$11</f>
        <v>#DIV/0!</v>
      </c>
      <c r="H197" s="460" t="e">
        <f aca="true" t="shared" si="37" ref="H197:H212">F197-G197</f>
        <v>#DIV/0!</v>
      </c>
      <c r="I197" s="460" t="e">
        <f aca="true" t="shared" si="38" ref="I197:I212">I196-H197</f>
        <v>#DIV/0!</v>
      </c>
    </row>
    <row r="198" spans="3:9" ht="12.75">
      <c r="C198" s="98">
        <v>195</v>
      </c>
      <c r="D198" s="440" t="e">
        <f>[1]!Edate(D197,1)</f>
        <v>#NAME?</v>
      </c>
      <c r="E198" s="441" t="e">
        <f t="shared" si="36"/>
        <v>#NAME?</v>
      </c>
      <c r="F198" s="460" t="e">
        <f>'Commercial Sizing'!$J$12/12</f>
        <v>#DIV/0!</v>
      </c>
      <c r="G198" s="460" t="e">
        <f>I197*(E198/360)*'Commercial Sizing'!$J$11</f>
        <v>#DIV/0!</v>
      </c>
      <c r="H198" s="460" t="e">
        <f t="shared" si="37"/>
        <v>#DIV/0!</v>
      </c>
      <c r="I198" s="460" t="e">
        <f t="shared" si="38"/>
        <v>#DIV/0!</v>
      </c>
    </row>
    <row r="199" spans="3:9" ht="12.75">
      <c r="C199" s="98">
        <v>196</v>
      </c>
      <c r="D199" s="440" t="e">
        <f>[1]!Edate(D198,1)</f>
        <v>#NAME?</v>
      </c>
      <c r="E199" s="441" t="e">
        <f t="shared" si="36"/>
        <v>#NAME?</v>
      </c>
      <c r="F199" s="460" t="e">
        <f>'Commercial Sizing'!$J$12/12</f>
        <v>#DIV/0!</v>
      </c>
      <c r="G199" s="460" t="e">
        <f>I198*(E199/360)*'Commercial Sizing'!$J$11</f>
        <v>#DIV/0!</v>
      </c>
      <c r="H199" s="460" t="e">
        <f t="shared" si="37"/>
        <v>#DIV/0!</v>
      </c>
      <c r="I199" s="460" t="e">
        <f t="shared" si="38"/>
        <v>#DIV/0!</v>
      </c>
    </row>
    <row r="200" spans="3:9" ht="12.75">
      <c r="C200" s="98">
        <v>197</v>
      </c>
      <c r="D200" s="440" t="e">
        <f>[1]!Edate(D199,1)</f>
        <v>#NAME?</v>
      </c>
      <c r="E200" s="441" t="e">
        <f t="shared" si="36"/>
        <v>#NAME?</v>
      </c>
      <c r="F200" s="460" t="e">
        <f>'Commercial Sizing'!$J$12/12</f>
        <v>#DIV/0!</v>
      </c>
      <c r="G200" s="460" t="e">
        <f>I199*(E200/360)*'Commercial Sizing'!$J$11</f>
        <v>#DIV/0!</v>
      </c>
      <c r="H200" s="460" t="e">
        <f t="shared" si="37"/>
        <v>#DIV/0!</v>
      </c>
      <c r="I200" s="460" t="e">
        <f t="shared" si="38"/>
        <v>#DIV/0!</v>
      </c>
    </row>
    <row r="201" spans="3:9" ht="12.75">
      <c r="C201" s="98">
        <v>198</v>
      </c>
      <c r="D201" s="440" t="e">
        <f>[1]!Edate(D200,1)</f>
        <v>#NAME?</v>
      </c>
      <c r="E201" s="441" t="e">
        <f t="shared" si="36"/>
        <v>#NAME?</v>
      </c>
      <c r="F201" s="460" t="e">
        <f>'Commercial Sizing'!$J$12/12</f>
        <v>#DIV/0!</v>
      </c>
      <c r="G201" s="460" t="e">
        <f>I200*(E201/360)*'Commercial Sizing'!$J$11</f>
        <v>#DIV/0!</v>
      </c>
      <c r="H201" s="460" t="e">
        <f t="shared" si="37"/>
        <v>#DIV/0!</v>
      </c>
      <c r="I201" s="460" t="e">
        <f t="shared" si="38"/>
        <v>#DIV/0!</v>
      </c>
    </row>
    <row r="202" spans="3:9" ht="12.75">
      <c r="C202" s="98">
        <v>199</v>
      </c>
      <c r="D202" s="440" t="e">
        <f>[1]!Edate(D201,1)</f>
        <v>#NAME?</v>
      </c>
      <c r="E202" s="441" t="e">
        <f t="shared" si="36"/>
        <v>#NAME?</v>
      </c>
      <c r="F202" s="460" t="e">
        <f>'Commercial Sizing'!$J$12/12</f>
        <v>#DIV/0!</v>
      </c>
      <c r="G202" s="460" t="e">
        <f>I201*(E202/360)*'Commercial Sizing'!$J$11</f>
        <v>#DIV/0!</v>
      </c>
      <c r="H202" s="460" t="e">
        <f t="shared" si="37"/>
        <v>#DIV/0!</v>
      </c>
      <c r="I202" s="460" t="e">
        <f t="shared" si="38"/>
        <v>#DIV/0!</v>
      </c>
    </row>
    <row r="203" spans="3:9" ht="12.75">
      <c r="C203" s="98">
        <v>200</v>
      </c>
      <c r="D203" s="440" t="e">
        <f>[1]!Edate(D202,1)</f>
        <v>#NAME?</v>
      </c>
      <c r="E203" s="441" t="e">
        <f t="shared" si="36"/>
        <v>#NAME?</v>
      </c>
      <c r="F203" s="460" t="e">
        <f>'Commercial Sizing'!$J$12/12</f>
        <v>#DIV/0!</v>
      </c>
      <c r="G203" s="460" t="e">
        <f>I202*(E203/360)*'Commercial Sizing'!$J$11</f>
        <v>#DIV/0!</v>
      </c>
      <c r="H203" s="460" t="e">
        <f t="shared" si="37"/>
        <v>#DIV/0!</v>
      </c>
      <c r="I203" s="460" t="e">
        <f t="shared" si="38"/>
        <v>#DIV/0!</v>
      </c>
    </row>
    <row r="204" spans="3:9" ht="12.75">
      <c r="C204" s="98">
        <v>201</v>
      </c>
      <c r="D204" s="440" t="e">
        <f>[1]!Edate(D203,1)</f>
        <v>#NAME?</v>
      </c>
      <c r="E204" s="441" t="e">
        <f t="shared" si="36"/>
        <v>#NAME?</v>
      </c>
      <c r="F204" s="460" t="e">
        <f>'Commercial Sizing'!$J$12/12</f>
        <v>#DIV/0!</v>
      </c>
      <c r="G204" s="460" t="e">
        <f>I203*(E204/360)*'Commercial Sizing'!$J$11</f>
        <v>#DIV/0!</v>
      </c>
      <c r="H204" s="460" t="e">
        <f t="shared" si="37"/>
        <v>#DIV/0!</v>
      </c>
      <c r="I204" s="460" t="e">
        <f t="shared" si="38"/>
        <v>#DIV/0!</v>
      </c>
    </row>
    <row r="205" spans="3:9" ht="12.75">
      <c r="C205" s="98">
        <v>202</v>
      </c>
      <c r="D205" s="440" t="e">
        <f>[1]!Edate(D204,1)</f>
        <v>#NAME?</v>
      </c>
      <c r="E205" s="441" t="e">
        <f t="shared" si="36"/>
        <v>#NAME?</v>
      </c>
      <c r="F205" s="460" t="e">
        <f>'Commercial Sizing'!$J$12/12</f>
        <v>#DIV/0!</v>
      </c>
      <c r="G205" s="460" t="e">
        <f>I204*(E205/360)*'Commercial Sizing'!$J$11</f>
        <v>#DIV/0!</v>
      </c>
      <c r="H205" s="460" t="e">
        <f t="shared" si="37"/>
        <v>#DIV/0!</v>
      </c>
      <c r="I205" s="460" t="e">
        <f t="shared" si="38"/>
        <v>#DIV/0!</v>
      </c>
    </row>
    <row r="206" spans="3:9" ht="12.75">
      <c r="C206" s="98">
        <v>203</v>
      </c>
      <c r="D206" s="440" t="e">
        <f>[1]!Edate(D205,1)</f>
        <v>#NAME?</v>
      </c>
      <c r="E206" s="441" t="e">
        <f t="shared" si="36"/>
        <v>#NAME?</v>
      </c>
      <c r="F206" s="460" t="e">
        <f>'Commercial Sizing'!$J$12/12</f>
        <v>#DIV/0!</v>
      </c>
      <c r="G206" s="460" t="e">
        <f>I205*(E206/360)*'Commercial Sizing'!$J$11</f>
        <v>#DIV/0!</v>
      </c>
      <c r="H206" s="460" t="e">
        <f t="shared" si="37"/>
        <v>#DIV/0!</v>
      </c>
      <c r="I206" s="460" t="e">
        <f t="shared" si="38"/>
        <v>#DIV/0!</v>
      </c>
    </row>
    <row r="207" spans="3:9" ht="12.75">
      <c r="C207" s="98">
        <v>204</v>
      </c>
      <c r="D207" s="440" t="e">
        <f>[1]!Edate(D206,1)</f>
        <v>#NAME?</v>
      </c>
      <c r="E207" s="441" t="e">
        <f t="shared" si="36"/>
        <v>#NAME?</v>
      </c>
      <c r="F207" s="460" t="e">
        <f>'Commercial Sizing'!$J$12/12</f>
        <v>#DIV/0!</v>
      </c>
      <c r="G207" s="460" t="e">
        <f>I206*(E207/360)*'Commercial Sizing'!$J$11</f>
        <v>#DIV/0!</v>
      </c>
      <c r="H207" s="460" t="e">
        <f t="shared" si="37"/>
        <v>#DIV/0!</v>
      </c>
      <c r="I207" s="460" t="e">
        <f t="shared" si="38"/>
        <v>#DIV/0!</v>
      </c>
    </row>
    <row r="208" spans="3:9" ht="12.75">
      <c r="C208" s="98">
        <v>205</v>
      </c>
      <c r="D208" s="440" t="e">
        <f>[1]!Edate(D207,1)</f>
        <v>#NAME?</v>
      </c>
      <c r="E208" s="441" t="e">
        <f t="shared" si="36"/>
        <v>#NAME?</v>
      </c>
      <c r="F208" s="460" t="e">
        <f>'Commercial Sizing'!$J$12/12</f>
        <v>#DIV/0!</v>
      </c>
      <c r="G208" s="460" t="e">
        <f>I207*(E208/360)*'Commercial Sizing'!$J$11</f>
        <v>#DIV/0!</v>
      </c>
      <c r="H208" s="460" t="e">
        <f t="shared" si="37"/>
        <v>#DIV/0!</v>
      </c>
      <c r="I208" s="460" t="e">
        <f t="shared" si="38"/>
        <v>#DIV/0!</v>
      </c>
    </row>
    <row r="209" spans="3:9" ht="12.75">
      <c r="C209" s="98">
        <v>206</v>
      </c>
      <c r="D209" s="440" t="e">
        <f>[1]!Edate(D208,1)</f>
        <v>#NAME?</v>
      </c>
      <c r="E209" s="441" t="e">
        <f t="shared" si="36"/>
        <v>#NAME?</v>
      </c>
      <c r="F209" s="460" t="e">
        <f>'Commercial Sizing'!$J$12/12</f>
        <v>#DIV/0!</v>
      </c>
      <c r="G209" s="460" t="e">
        <f>I208*(E209/360)*'Commercial Sizing'!$J$11</f>
        <v>#DIV/0!</v>
      </c>
      <c r="H209" s="460" t="e">
        <f t="shared" si="37"/>
        <v>#DIV/0!</v>
      </c>
      <c r="I209" s="460" t="e">
        <f t="shared" si="38"/>
        <v>#DIV/0!</v>
      </c>
    </row>
    <row r="210" spans="3:9" ht="12.75">
      <c r="C210" s="98">
        <v>207</v>
      </c>
      <c r="D210" s="440" t="e">
        <f>[1]!Edate(D209,1)</f>
        <v>#NAME?</v>
      </c>
      <c r="E210" s="441" t="e">
        <f t="shared" si="36"/>
        <v>#NAME?</v>
      </c>
      <c r="F210" s="460" t="e">
        <f>'Commercial Sizing'!$J$12/12</f>
        <v>#DIV/0!</v>
      </c>
      <c r="G210" s="460" t="e">
        <f>I209*(E210/360)*'Commercial Sizing'!$J$11</f>
        <v>#DIV/0!</v>
      </c>
      <c r="H210" s="460" t="e">
        <f t="shared" si="37"/>
        <v>#DIV/0!</v>
      </c>
      <c r="I210" s="460" t="e">
        <f t="shared" si="38"/>
        <v>#DIV/0!</v>
      </c>
    </row>
    <row r="211" spans="3:9" ht="12.75">
      <c r="C211" s="98">
        <v>208</v>
      </c>
      <c r="D211" s="440" t="e">
        <f>[1]!Edate(D210,1)</f>
        <v>#NAME?</v>
      </c>
      <c r="E211" s="441" t="e">
        <f t="shared" si="36"/>
        <v>#NAME?</v>
      </c>
      <c r="F211" s="460" t="e">
        <f>'Commercial Sizing'!$J$12/12</f>
        <v>#DIV/0!</v>
      </c>
      <c r="G211" s="460" t="e">
        <f>I210*(E211/360)*'Commercial Sizing'!$J$11</f>
        <v>#DIV/0!</v>
      </c>
      <c r="H211" s="460" t="e">
        <f t="shared" si="37"/>
        <v>#DIV/0!</v>
      </c>
      <c r="I211" s="460" t="e">
        <f t="shared" si="38"/>
        <v>#DIV/0!</v>
      </c>
    </row>
    <row r="212" spans="3:9" ht="12.75">
      <c r="C212" s="98">
        <v>209</v>
      </c>
      <c r="D212" s="440" t="e">
        <f>[1]!Edate(D211,1)</f>
        <v>#NAME?</v>
      </c>
      <c r="E212" s="441" t="e">
        <f t="shared" si="36"/>
        <v>#NAME?</v>
      </c>
      <c r="F212" s="460" t="e">
        <f>'Commercial Sizing'!$J$12/12</f>
        <v>#DIV/0!</v>
      </c>
      <c r="G212" s="460" t="e">
        <f>I211*(E212/360)*'Commercial Sizing'!$J$11</f>
        <v>#DIV/0!</v>
      </c>
      <c r="H212" s="460" t="e">
        <f t="shared" si="37"/>
        <v>#DIV/0!</v>
      </c>
      <c r="I212" s="460" t="e">
        <f t="shared" si="38"/>
        <v>#DIV/0!</v>
      </c>
    </row>
    <row r="213" spans="3:9" ht="12.75">
      <c r="C213" s="98">
        <v>210</v>
      </c>
      <c r="D213" s="440" t="e">
        <f>[1]!Edate(D212,1)</f>
        <v>#NAME?</v>
      </c>
      <c r="E213" s="441" t="e">
        <f aca="true" t="shared" si="39" ref="E213:E228">D214-D213</f>
        <v>#NAME?</v>
      </c>
      <c r="F213" s="460" t="e">
        <f>'Commercial Sizing'!$J$12/12</f>
        <v>#DIV/0!</v>
      </c>
      <c r="G213" s="460" t="e">
        <f>I212*(E213/360)*'Commercial Sizing'!$J$11</f>
        <v>#DIV/0!</v>
      </c>
      <c r="H213" s="460" t="e">
        <f aca="true" t="shared" si="40" ref="H213:H228">F213-G213</f>
        <v>#DIV/0!</v>
      </c>
      <c r="I213" s="460" t="e">
        <f aca="true" t="shared" si="41" ref="I213:I228">I212-H213</f>
        <v>#DIV/0!</v>
      </c>
    </row>
    <row r="214" spans="3:9" ht="12.75">
      <c r="C214" s="98">
        <v>211</v>
      </c>
      <c r="D214" s="440" t="e">
        <f>[1]!Edate(D213,1)</f>
        <v>#NAME?</v>
      </c>
      <c r="E214" s="441" t="e">
        <f t="shared" si="39"/>
        <v>#NAME?</v>
      </c>
      <c r="F214" s="460" t="e">
        <f>'Commercial Sizing'!$J$12/12</f>
        <v>#DIV/0!</v>
      </c>
      <c r="G214" s="460" t="e">
        <f>I213*(E214/360)*'Commercial Sizing'!$J$11</f>
        <v>#DIV/0!</v>
      </c>
      <c r="H214" s="460" t="e">
        <f t="shared" si="40"/>
        <v>#DIV/0!</v>
      </c>
      <c r="I214" s="460" t="e">
        <f t="shared" si="41"/>
        <v>#DIV/0!</v>
      </c>
    </row>
    <row r="215" spans="3:9" ht="12.75">
      <c r="C215" s="98">
        <v>212</v>
      </c>
      <c r="D215" s="440" t="e">
        <f>[1]!Edate(D214,1)</f>
        <v>#NAME?</v>
      </c>
      <c r="E215" s="441" t="e">
        <f t="shared" si="39"/>
        <v>#NAME?</v>
      </c>
      <c r="F215" s="460" t="e">
        <f>'Commercial Sizing'!$J$12/12</f>
        <v>#DIV/0!</v>
      </c>
      <c r="G215" s="460" t="e">
        <f>I214*(E215/360)*'Commercial Sizing'!$J$11</f>
        <v>#DIV/0!</v>
      </c>
      <c r="H215" s="460" t="e">
        <f t="shared" si="40"/>
        <v>#DIV/0!</v>
      </c>
      <c r="I215" s="460" t="e">
        <f t="shared" si="41"/>
        <v>#DIV/0!</v>
      </c>
    </row>
    <row r="216" spans="3:9" ht="12.75">
      <c r="C216" s="98">
        <v>213</v>
      </c>
      <c r="D216" s="440" t="e">
        <f>[1]!Edate(D215,1)</f>
        <v>#NAME?</v>
      </c>
      <c r="E216" s="441" t="e">
        <f t="shared" si="39"/>
        <v>#NAME?</v>
      </c>
      <c r="F216" s="460" t="e">
        <f>'Commercial Sizing'!$J$12/12</f>
        <v>#DIV/0!</v>
      </c>
      <c r="G216" s="460" t="e">
        <f>I215*(E216/360)*'Commercial Sizing'!$J$11</f>
        <v>#DIV/0!</v>
      </c>
      <c r="H216" s="460" t="e">
        <f t="shared" si="40"/>
        <v>#DIV/0!</v>
      </c>
      <c r="I216" s="460" t="e">
        <f t="shared" si="41"/>
        <v>#DIV/0!</v>
      </c>
    </row>
    <row r="217" spans="3:9" ht="12.75">
      <c r="C217" s="98">
        <v>214</v>
      </c>
      <c r="D217" s="440" t="e">
        <f>[1]!Edate(D216,1)</f>
        <v>#NAME?</v>
      </c>
      <c r="E217" s="441" t="e">
        <f t="shared" si="39"/>
        <v>#NAME?</v>
      </c>
      <c r="F217" s="460" t="e">
        <f>'Commercial Sizing'!$J$12/12</f>
        <v>#DIV/0!</v>
      </c>
      <c r="G217" s="460" t="e">
        <f>I216*(E217/360)*'Commercial Sizing'!$J$11</f>
        <v>#DIV/0!</v>
      </c>
      <c r="H217" s="460" t="e">
        <f t="shared" si="40"/>
        <v>#DIV/0!</v>
      </c>
      <c r="I217" s="460" t="e">
        <f t="shared" si="41"/>
        <v>#DIV/0!</v>
      </c>
    </row>
    <row r="218" spans="3:9" ht="12.75">
      <c r="C218" s="98">
        <v>215</v>
      </c>
      <c r="D218" s="440" t="e">
        <f>[1]!Edate(D217,1)</f>
        <v>#NAME?</v>
      </c>
      <c r="E218" s="441" t="e">
        <f t="shared" si="39"/>
        <v>#NAME?</v>
      </c>
      <c r="F218" s="460" t="e">
        <f>'Commercial Sizing'!$J$12/12</f>
        <v>#DIV/0!</v>
      </c>
      <c r="G218" s="460" t="e">
        <f>I217*(E218/360)*'Commercial Sizing'!$J$11</f>
        <v>#DIV/0!</v>
      </c>
      <c r="H218" s="460" t="e">
        <f t="shared" si="40"/>
        <v>#DIV/0!</v>
      </c>
      <c r="I218" s="460" t="e">
        <f t="shared" si="41"/>
        <v>#DIV/0!</v>
      </c>
    </row>
    <row r="219" spans="3:9" ht="12.75">
      <c r="C219" s="98">
        <v>216</v>
      </c>
      <c r="D219" s="440" t="e">
        <f>[1]!Edate(D218,1)</f>
        <v>#NAME?</v>
      </c>
      <c r="E219" s="441" t="e">
        <f t="shared" si="39"/>
        <v>#NAME?</v>
      </c>
      <c r="F219" s="460" t="e">
        <f>'Commercial Sizing'!$J$12/12</f>
        <v>#DIV/0!</v>
      </c>
      <c r="G219" s="460" t="e">
        <f>I218*(E219/360)*'Commercial Sizing'!$J$11</f>
        <v>#DIV/0!</v>
      </c>
      <c r="H219" s="460" t="e">
        <f t="shared" si="40"/>
        <v>#DIV/0!</v>
      </c>
      <c r="I219" s="460" t="e">
        <f t="shared" si="41"/>
        <v>#DIV/0!</v>
      </c>
    </row>
    <row r="220" spans="3:9" ht="12.75">
      <c r="C220" s="98">
        <v>217</v>
      </c>
      <c r="D220" s="440" t="e">
        <f>[1]!Edate(D219,1)</f>
        <v>#NAME?</v>
      </c>
      <c r="E220" s="441" t="e">
        <f t="shared" si="39"/>
        <v>#NAME?</v>
      </c>
      <c r="F220" s="460" t="e">
        <f>'Commercial Sizing'!$J$12/12</f>
        <v>#DIV/0!</v>
      </c>
      <c r="G220" s="460" t="e">
        <f>I219*(E220/360)*'Commercial Sizing'!$J$11</f>
        <v>#DIV/0!</v>
      </c>
      <c r="H220" s="460" t="e">
        <f t="shared" si="40"/>
        <v>#DIV/0!</v>
      </c>
      <c r="I220" s="460" t="e">
        <f t="shared" si="41"/>
        <v>#DIV/0!</v>
      </c>
    </row>
    <row r="221" spans="3:9" ht="12.75">
      <c r="C221" s="98">
        <v>218</v>
      </c>
      <c r="D221" s="440" t="e">
        <f>[1]!Edate(D220,1)</f>
        <v>#NAME?</v>
      </c>
      <c r="E221" s="441" t="e">
        <f t="shared" si="39"/>
        <v>#NAME?</v>
      </c>
      <c r="F221" s="460" t="e">
        <f>'Commercial Sizing'!$J$12/12</f>
        <v>#DIV/0!</v>
      </c>
      <c r="G221" s="460" t="e">
        <f>I220*(E221/360)*'Commercial Sizing'!$J$11</f>
        <v>#DIV/0!</v>
      </c>
      <c r="H221" s="460" t="e">
        <f t="shared" si="40"/>
        <v>#DIV/0!</v>
      </c>
      <c r="I221" s="460" t="e">
        <f t="shared" si="41"/>
        <v>#DIV/0!</v>
      </c>
    </row>
    <row r="222" spans="3:9" ht="12.75">
      <c r="C222" s="98">
        <v>219</v>
      </c>
      <c r="D222" s="440" t="e">
        <f>[1]!Edate(D221,1)</f>
        <v>#NAME?</v>
      </c>
      <c r="E222" s="441" t="e">
        <f t="shared" si="39"/>
        <v>#NAME?</v>
      </c>
      <c r="F222" s="460" t="e">
        <f>'Commercial Sizing'!$J$12/12</f>
        <v>#DIV/0!</v>
      </c>
      <c r="G222" s="460" t="e">
        <f>I221*(E222/360)*'Commercial Sizing'!$J$11</f>
        <v>#DIV/0!</v>
      </c>
      <c r="H222" s="460" t="e">
        <f t="shared" si="40"/>
        <v>#DIV/0!</v>
      </c>
      <c r="I222" s="460" t="e">
        <f t="shared" si="41"/>
        <v>#DIV/0!</v>
      </c>
    </row>
    <row r="223" spans="3:9" ht="12.75">
      <c r="C223" s="98">
        <v>220</v>
      </c>
      <c r="D223" s="440" t="e">
        <f>[1]!Edate(D222,1)</f>
        <v>#NAME?</v>
      </c>
      <c r="E223" s="441" t="e">
        <f t="shared" si="39"/>
        <v>#NAME?</v>
      </c>
      <c r="F223" s="460" t="e">
        <f>'Commercial Sizing'!$J$12/12</f>
        <v>#DIV/0!</v>
      </c>
      <c r="G223" s="460" t="e">
        <f>I222*(E223/360)*'Commercial Sizing'!$J$11</f>
        <v>#DIV/0!</v>
      </c>
      <c r="H223" s="460" t="e">
        <f t="shared" si="40"/>
        <v>#DIV/0!</v>
      </c>
      <c r="I223" s="460" t="e">
        <f t="shared" si="41"/>
        <v>#DIV/0!</v>
      </c>
    </row>
    <row r="224" spans="3:9" ht="12.75">
      <c r="C224" s="98">
        <v>221</v>
      </c>
      <c r="D224" s="440" t="e">
        <f>[1]!Edate(D223,1)</f>
        <v>#NAME?</v>
      </c>
      <c r="E224" s="441" t="e">
        <f t="shared" si="39"/>
        <v>#NAME?</v>
      </c>
      <c r="F224" s="460" t="e">
        <f>'Commercial Sizing'!$J$12/12</f>
        <v>#DIV/0!</v>
      </c>
      <c r="G224" s="460" t="e">
        <f>I223*(E224/360)*'Commercial Sizing'!$J$11</f>
        <v>#DIV/0!</v>
      </c>
      <c r="H224" s="460" t="e">
        <f t="shared" si="40"/>
        <v>#DIV/0!</v>
      </c>
      <c r="I224" s="460" t="e">
        <f t="shared" si="41"/>
        <v>#DIV/0!</v>
      </c>
    </row>
    <row r="225" spans="3:9" ht="12.75">
      <c r="C225" s="98">
        <v>222</v>
      </c>
      <c r="D225" s="440" t="e">
        <f>[1]!Edate(D224,1)</f>
        <v>#NAME?</v>
      </c>
      <c r="E225" s="441" t="e">
        <f t="shared" si="39"/>
        <v>#NAME?</v>
      </c>
      <c r="F225" s="460" t="e">
        <f>'Commercial Sizing'!$J$12/12</f>
        <v>#DIV/0!</v>
      </c>
      <c r="G225" s="460" t="e">
        <f>I224*(E225/360)*'Commercial Sizing'!$J$11</f>
        <v>#DIV/0!</v>
      </c>
      <c r="H225" s="460" t="e">
        <f t="shared" si="40"/>
        <v>#DIV/0!</v>
      </c>
      <c r="I225" s="460" t="e">
        <f t="shared" si="41"/>
        <v>#DIV/0!</v>
      </c>
    </row>
    <row r="226" spans="3:9" ht="12.75">
      <c r="C226" s="98">
        <v>223</v>
      </c>
      <c r="D226" s="440" t="e">
        <f>[1]!Edate(D225,1)</f>
        <v>#NAME?</v>
      </c>
      <c r="E226" s="441" t="e">
        <f t="shared" si="39"/>
        <v>#NAME?</v>
      </c>
      <c r="F226" s="460" t="e">
        <f>'Commercial Sizing'!$J$12/12</f>
        <v>#DIV/0!</v>
      </c>
      <c r="G226" s="460" t="e">
        <f>I225*(E226/360)*'Commercial Sizing'!$J$11</f>
        <v>#DIV/0!</v>
      </c>
      <c r="H226" s="460" t="e">
        <f t="shared" si="40"/>
        <v>#DIV/0!</v>
      </c>
      <c r="I226" s="460" t="e">
        <f t="shared" si="41"/>
        <v>#DIV/0!</v>
      </c>
    </row>
    <row r="227" spans="3:9" ht="12.75">
      <c r="C227" s="98">
        <v>224</v>
      </c>
      <c r="D227" s="440" t="e">
        <f>[1]!Edate(D226,1)</f>
        <v>#NAME?</v>
      </c>
      <c r="E227" s="441" t="e">
        <f t="shared" si="39"/>
        <v>#NAME?</v>
      </c>
      <c r="F227" s="460" t="e">
        <f>'Commercial Sizing'!$J$12/12</f>
        <v>#DIV/0!</v>
      </c>
      <c r="G227" s="460" t="e">
        <f>I226*(E227/360)*'Commercial Sizing'!$J$11</f>
        <v>#DIV/0!</v>
      </c>
      <c r="H227" s="460" t="e">
        <f t="shared" si="40"/>
        <v>#DIV/0!</v>
      </c>
      <c r="I227" s="460" t="e">
        <f t="shared" si="41"/>
        <v>#DIV/0!</v>
      </c>
    </row>
    <row r="228" spans="3:9" ht="12.75">
      <c r="C228" s="98">
        <v>225</v>
      </c>
      <c r="D228" s="440" t="e">
        <f>[1]!Edate(D227,1)</f>
        <v>#NAME?</v>
      </c>
      <c r="E228" s="441" t="e">
        <f t="shared" si="39"/>
        <v>#NAME?</v>
      </c>
      <c r="F228" s="460" t="e">
        <f>'Commercial Sizing'!$J$12/12</f>
        <v>#DIV/0!</v>
      </c>
      <c r="G228" s="460" t="e">
        <f>I227*(E228/360)*'Commercial Sizing'!$J$11</f>
        <v>#DIV/0!</v>
      </c>
      <c r="H228" s="460" t="e">
        <f t="shared" si="40"/>
        <v>#DIV/0!</v>
      </c>
      <c r="I228" s="460" t="e">
        <f t="shared" si="41"/>
        <v>#DIV/0!</v>
      </c>
    </row>
    <row r="229" spans="3:9" ht="12.75">
      <c r="C229" s="98">
        <v>226</v>
      </c>
      <c r="D229" s="440" t="e">
        <f>[1]!Edate(D228,1)</f>
        <v>#NAME?</v>
      </c>
      <c r="E229" s="441" t="e">
        <f aca="true" t="shared" si="42" ref="E229:E244">D230-D229</f>
        <v>#NAME?</v>
      </c>
      <c r="F229" s="460" t="e">
        <f>'Commercial Sizing'!$J$12/12</f>
        <v>#DIV/0!</v>
      </c>
      <c r="G229" s="460" t="e">
        <f>I228*(E229/360)*'Commercial Sizing'!$J$11</f>
        <v>#DIV/0!</v>
      </c>
      <c r="H229" s="460" t="e">
        <f aca="true" t="shared" si="43" ref="H229:H244">F229-G229</f>
        <v>#DIV/0!</v>
      </c>
      <c r="I229" s="460" t="e">
        <f aca="true" t="shared" si="44" ref="I229:I244">I228-H229</f>
        <v>#DIV/0!</v>
      </c>
    </row>
    <row r="230" spans="3:9" ht="12.75">
      <c r="C230" s="98">
        <v>227</v>
      </c>
      <c r="D230" s="440" t="e">
        <f>[1]!Edate(D229,1)</f>
        <v>#NAME?</v>
      </c>
      <c r="E230" s="441" t="e">
        <f t="shared" si="42"/>
        <v>#NAME?</v>
      </c>
      <c r="F230" s="460" t="e">
        <f>'Commercial Sizing'!$J$12/12</f>
        <v>#DIV/0!</v>
      </c>
      <c r="G230" s="460" t="e">
        <f>I229*(E230/360)*'Commercial Sizing'!$J$11</f>
        <v>#DIV/0!</v>
      </c>
      <c r="H230" s="460" t="e">
        <f t="shared" si="43"/>
        <v>#DIV/0!</v>
      </c>
      <c r="I230" s="460" t="e">
        <f t="shared" si="44"/>
        <v>#DIV/0!</v>
      </c>
    </row>
    <row r="231" spans="3:9" ht="12.75">
      <c r="C231" s="98">
        <v>228</v>
      </c>
      <c r="D231" s="440" t="e">
        <f>[1]!Edate(D230,1)</f>
        <v>#NAME?</v>
      </c>
      <c r="E231" s="441" t="e">
        <f t="shared" si="42"/>
        <v>#NAME?</v>
      </c>
      <c r="F231" s="460" t="e">
        <f>'Commercial Sizing'!$J$12/12</f>
        <v>#DIV/0!</v>
      </c>
      <c r="G231" s="460" t="e">
        <f>I230*(E231/360)*'Commercial Sizing'!$J$11</f>
        <v>#DIV/0!</v>
      </c>
      <c r="H231" s="460" t="e">
        <f t="shared" si="43"/>
        <v>#DIV/0!</v>
      </c>
      <c r="I231" s="460" t="e">
        <f t="shared" si="44"/>
        <v>#DIV/0!</v>
      </c>
    </row>
    <row r="232" spans="3:9" ht="12.75">
      <c r="C232" s="98">
        <v>229</v>
      </c>
      <c r="D232" s="440" t="e">
        <f>[1]!Edate(D231,1)</f>
        <v>#NAME?</v>
      </c>
      <c r="E232" s="441" t="e">
        <f t="shared" si="42"/>
        <v>#NAME?</v>
      </c>
      <c r="F232" s="460" t="e">
        <f>'Commercial Sizing'!$J$12/12</f>
        <v>#DIV/0!</v>
      </c>
      <c r="G232" s="460" t="e">
        <f>I231*(E232/360)*'Commercial Sizing'!$J$11</f>
        <v>#DIV/0!</v>
      </c>
      <c r="H232" s="460" t="e">
        <f t="shared" si="43"/>
        <v>#DIV/0!</v>
      </c>
      <c r="I232" s="460" t="e">
        <f t="shared" si="44"/>
        <v>#DIV/0!</v>
      </c>
    </row>
    <row r="233" spans="3:9" ht="12.75">
      <c r="C233" s="98">
        <v>230</v>
      </c>
      <c r="D233" s="440" t="e">
        <f>[1]!Edate(D232,1)</f>
        <v>#NAME?</v>
      </c>
      <c r="E233" s="441" t="e">
        <f t="shared" si="42"/>
        <v>#NAME?</v>
      </c>
      <c r="F233" s="460" t="e">
        <f>'Commercial Sizing'!$J$12/12</f>
        <v>#DIV/0!</v>
      </c>
      <c r="G233" s="460" t="e">
        <f>I232*(E233/360)*'Commercial Sizing'!$J$11</f>
        <v>#DIV/0!</v>
      </c>
      <c r="H233" s="460" t="e">
        <f t="shared" si="43"/>
        <v>#DIV/0!</v>
      </c>
      <c r="I233" s="460" t="e">
        <f t="shared" si="44"/>
        <v>#DIV/0!</v>
      </c>
    </row>
    <row r="234" spans="3:9" ht="12.75">
      <c r="C234" s="98">
        <v>231</v>
      </c>
      <c r="D234" s="440" t="e">
        <f>[1]!Edate(D233,1)</f>
        <v>#NAME?</v>
      </c>
      <c r="E234" s="441" t="e">
        <f t="shared" si="42"/>
        <v>#NAME?</v>
      </c>
      <c r="F234" s="460" t="e">
        <f>'Commercial Sizing'!$J$12/12</f>
        <v>#DIV/0!</v>
      </c>
      <c r="G234" s="460" t="e">
        <f>I233*(E234/360)*'Commercial Sizing'!$J$11</f>
        <v>#DIV/0!</v>
      </c>
      <c r="H234" s="460" t="e">
        <f t="shared" si="43"/>
        <v>#DIV/0!</v>
      </c>
      <c r="I234" s="460" t="e">
        <f t="shared" si="44"/>
        <v>#DIV/0!</v>
      </c>
    </row>
    <row r="235" spans="3:9" ht="12.75">
      <c r="C235" s="98">
        <v>232</v>
      </c>
      <c r="D235" s="440" t="e">
        <f>[1]!Edate(D234,1)</f>
        <v>#NAME?</v>
      </c>
      <c r="E235" s="441" t="e">
        <f t="shared" si="42"/>
        <v>#NAME?</v>
      </c>
      <c r="F235" s="460" t="e">
        <f>'Commercial Sizing'!$J$12/12</f>
        <v>#DIV/0!</v>
      </c>
      <c r="G235" s="460" t="e">
        <f>I234*(E235/360)*'Commercial Sizing'!$J$11</f>
        <v>#DIV/0!</v>
      </c>
      <c r="H235" s="460" t="e">
        <f t="shared" si="43"/>
        <v>#DIV/0!</v>
      </c>
      <c r="I235" s="460" t="e">
        <f t="shared" si="44"/>
        <v>#DIV/0!</v>
      </c>
    </row>
    <row r="236" spans="3:9" ht="12.75">
      <c r="C236" s="98">
        <v>233</v>
      </c>
      <c r="D236" s="440" t="e">
        <f>[1]!Edate(D235,1)</f>
        <v>#NAME?</v>
      </c>
      <c r="E236" s="441" t="e">
        <f t="shared" si="42"/>
        <v>#NAME?</v>
      </c>
      <c r="F236" s="460" t="e">
        <f>'Commercial Sizing'!$J$12/12</f>
        <v>#DIV/0!</v>
      </c>
      <c r="G236" s="460" t="e">
        <f>I235*(E236/360)*'Commercial Sizing'!$J$11</f>
        <v>#DIV/0!</v>
      </c>
      <c r="H236" s="460" t="e">
        <f t="shared" si="43"/>
        <v>#DIV/0!</v>
      </c>
      <c r="I236" s="460" t="e">
        <f t="shared" si="44"/>
        <v>#DIV/0!</v>
      </c>
    </row>
    <row r="237" spans="3:9" ht="12.75">
      <c r="C237" s="98">
        <v>234</v>
      </c>
      <c r="D237" s="440" t="e">
        <f>[1]!Edate(D236,1)</f>
        <v>#NAME?</v>
      </c>
      <c r="E237" s="441" t="e">
        <f t="shared" si="42"/>
        <v>#NAME?</v>
      </c>
      <c r="F237" s="460" t="e">
        <f>'Commercial Sizing'!$J$12/12</f>
        <v>#DIV/0!</v>
      </c>
      <c r="G237" s="460" t="e">
        <f>I236*(E237/360)*'Commercial Sizing'!$J$11</f>
        <v>#DIV/0!</v>
      </c>
      <c r="H237" s="460" t="e">
        <f t="shared" si="43"/>
        <v>#DIV/0!</v>
      </c>
      <c r="I237" s="460" t="e">
        <f t="shared" si="44"/>
        <v>#DIV/0!</v>
      </c>
    </row>
    <row r="238" spans="3:9" ht="12.75">
      <c r="C238" s="98">
        <v>235</v>
      </c>
      <c r="D238" s="440" t="e">
        <f>[1]!Edate(D237,1)</f>
        <v>#NAME?</v>
      </c>
      <c r="E238" s="441" t="e">
        <f t="shared" si="42"/>
        <v>#NAME?</v>
      </c>
      <c r="F238" s="460" t="e">
        <f>'Commercial Sizing'!$J$12/12</f>
        <v>#DIV/0!</v>
      </c>
      <c r="G238" s="460" t="e">
        <f>I237*(E238/360)*'Commercial Sizing'!$J$11</f>
        <v>#DIV/0!</v>
      </c>
      <c r="H238" s="460" t="e">
        <f t="shared" si="43"/>
        <v>#DIV/0!</v>
      </c>
      <c r="I238" s="460" t="e">
        <f t="shared" si="44"/>
        <v>#DIV/0!</v>
      </c>
    </row>
    <row r="239" spans="3:9" ht="12.75">
      <c r="C239" s="98">
        <v>236</v>
      </c>
      <c r="D239" s="440" t="e">
        <f>[1]!Edate(D238,1)</f>
        <v>#NAME?</v>
      </c>
      <c r="E239" s="441" t="e">
        <f t="shared" si="42"/>
        <v>#NAME?</v>
      </c>
      <c r="F239" s="460" t="e">
        <f>'Commercial Sizing'!$J$12/12</f>
        <v>#DIV/0!</v>
      </c>
      <c r="G239" s="460" t="e">
        <f>I238*(E239/360)*'Commercial Sizing'!$J$11</f>
        <v>#DIV/0!</v>
      </c>
      <c r="H239" s="460" t="e">
        <f t="shared" si="43"/>
        <v>#DIV/0!</v>
      </c>
      <c r="I239" s="460" t="e">
        <f t="shared" si="44"/>
        <v>#DIV/0!</v>
      </c>
    </row>
    <row r="240" spans="3:9" ht="12.75">
      <c r="C240" s="98">
        <v>237</v>
      </c>
      <c r="D240" s="440" t="e">
        <f>[1]!Edate(D239,1)</f>
        <v>#NAME?</v>
      </c>
      <c r="E240" s="441" t="e">
        <f t="shared" si="42"/>
        <v>#NAME?</v>
      </c>
      <c r="F240" s="460" t="e">
        <f>'Commercial Sizing'!$J$12/12</f>
        <v>#DIV/0!</v>
      </c>
      <c r="G240" s="460" t="e">
        <f>I239*(E240/360)*'Commercial Sizing'!$J$11</f>
        <v>#DIV/0!</v>
      </c>
      <c r="H240" s="460" t="e">
        <f t="shared" si="43"/>
        <v>#DIV/0!</v>
      </c>
      <c r="I240" s="460" t="e">
        <f t="shared" si="44"/>
        <v>#DIV/0!</v>
      </c>
    </row>
    <row r="241" spans="3:9" ht="12.75">
      <c r="C241" s="98">
        <v>238</v>
      </c>
      <c r="D241" s="440" t="e">
        <f>[1]!Edate(D240,1)</f>
        <v>#NAME?</v>
      </c>
      <c r="E241" s="441" t="e">
        <f t="shared" si="42"/>
        <v>#NAME?</v>
      </c>
      <c r="F241" s="460" t="e">
        <f>'Commercial Sizing'!$J$12/12</f>
        <v>#DIV/0!</v>
      </c>
      <c r="G241" s="460" t="e">
        <f>I240*(E241/360)*'Commercial Sizing'!$J$11</f>
        <v>#DIV/0!</v>
      </c>
      <c r="H241" s="460" t="e">
        <f t="shared" si="43"/>
        <v>#DIV/0!</v>
      </c>
      <c r="I241" s="460" t="e">
        <f t="shared" si="44"/>
        <v>#DIV/0!</v>
      </c>
    </row>
    <row r="242" spans="3:9" ht="12.75">
      <c r="C242" s="98">
        <v>239</v>
      </c>
      <c r="D242" s="440" t="e">
        <f>[1]!Edate(D241,1)</f>
        <v>#NAME?</v>
      </c>
      <c r="E242" s="441" t="e">
        <f t="shared" si="42"/>
        <v>#NAME?</v>
      </c>
      <c r="F242" s="460" t="e">
        <f>'Commercial Sizing'!$J$12/12</f>
        <v>#DIV/0!</v>
      </c>
      <c r="G242" s="460" t="e">
        <f>I241*(E242/360)*'Commercial Sizing'!$J$11</f>
        <v>#DIV/0!</v>
      </c>
      <c r="H242" s="460" t="e">
        <f t="shared" si="43"/>
        <v>#DIV/0!</v>
      </c>
      <c r="I242" s="460" t="e">
        <f t="shared" si="44"/>
        <v>#DIV/0!</v>
      </c>
    </row>
    <row r="243" spans="3:9" ht="12.75">
      <c r="C243" s="98">
        <v>240</v>
      </c>
      <c r="D243" s="440" t="e">
        <f>[1]!Edate(D242,1)</f>
        <v>#NAME?</v>
      </c>
      <c r="E243" s="441" t="e">
        <f t="shared" si="42"/>
        <v>#NAME?</v>
      </c>
      <c r="F243" s="460" t="e">
        <f>'Commercial Sizing'!$J$12/12</f>
        <v>#DIV/0!</v>
      </c>
      <c r="G243" s="460" t="e">
        <f>I242*(E243/360)*'Commercial Sizing'!$J$11</f>
        <v>#DIV/0!</v>
      </c>
      <c r="H243" s="460" t="e">
        <f t="shared" si="43"/>
        <v>#DIV/0!</v>
      </c>
      <c r="I243" s="460" t="e">
        <f t="shared" si="44"/>
        <v>#DIV/0!</v>
      </c>
    </row>
    <row r="244" spans="3:9" ht="12.75">
      <c r="C244" s="98">
        <v>241</v>
      </c>
      <c r="D244" s="440" t="e">
        <f>[1]!Edate(D243,1)</f>
        <v>#NAME?</v>
      </c>
      <c r="E244" s="441" t="e">
        <f t="shared" si="42"/>
        <v>#NAME?</v>
      </c>
      <c r="F244" s="460" t="e">
        <f>'Commercial Sizing'!$J$12/12</f>
        <v>#DIV/0!</v>
      </c>
      <c r="G244" s="460" t="e">
        <f>I243*(E244/360)*'Commercial Sizing'!$J$11</f>
        <v>#DIV/0!</v>
      </c>
      <c r="H244" s="460" t="e">
        <f t="shared" si="43"/>
        <v>#DIV/0!</v>
      </c>
      <c r="I244" s="460" t="e">
        <f t="shared" si="44"/>
        <v>#DIV/0!</v>
      </c>
    </row>
    <row r="245" spans="3:9" ht="12.75">
      <c r="C245" s="98">
        <v>242</v>
      </c>
      <c r="D245" s="440" t="e">
        <f>[1]!Edate(D244,1)</f>
        <v>#NAME?</v>
      </c>
      <c r="E245" s="441" t="e">
        <f aca="true" t="shared" si="45" ref="E245:E260">D246-D245</f>
        <v>#NAME?</v>
      </c>
      <c r="F245" s="460" t="e">
        <f>'Commercial Sizing'!$J$12/12</f>
        <v>#DIV/0!</v>
      </c>
      <c r="G245" s="460" t="e">
        <f>I244*(E245/360)*'Commercial Sizing'!$J$11</f>
        <v>#DIV/0!</v>
      </c>
      <c r="H245" s="460" t="e">
        <f aca="true" t="shared" si="46" ref="H245:H260">F245-G245</f>
        <v>#DIV/0!</v>
      </c>
      <c r="I245" s="460" t="e">
        <f aca="true" t="shared" si="47" ref="I245:I260">I244-H245</f>
        <v>#DIV/0!</v>
      </c>
    </row>
    <row r="246" spans="3:9" ht="12.75">
      <c r="C246" s="98">
        <v>243</v>
      </c>
      <c r="D246" s="440" t="e">
        <f>[1]!Edate(D245,1)</f>
        <v>#NAME?</v>
      </c>
      <c r="E246" s="441" t="e">
        <f t="shared" si="45"/>
        <v>#NAME?</v>
      </c>
      <c r="F246" s="460" t="e">
        <f>'Commercial Sizing'!$J$12/12</f>
        <v>#DIV/0!</v>
      </c>
      <c r="G246" s="460" t="e">
        <f>I245*(E246/360)*'Commercial Sizing'!$J$11</f>
        <v>#DIV/0!</v>
      </c>
      <c r="H246" s="460" t="e">
        <f t="shared" si="46"/>
        <v>#DIV/0!</v>
      </c>
      <c r="I246" s="460" t="e">
        <f t="shared" si="47"/>
        <v>#DIV/0!</v>
      </c>
    </row>
    <row r="247" spans="3:9" ht="12.75">
      <c r="C247" s="98">
        <v>244</v>
      </c>
      <c r="D247" s="440" t="e">
        <f>[1]!Edate(D246,1)</f>
        <v>#NAME?</v>
      </c>
      <c r="E247" s="441" t="e">
        <f t="shared" si="45"/>
        <v>#NAME?</v>
      </c>
      <c r="F247" s="460" t="e">
        <f>'Commercial Sizing'!$J$12/12</f>
        <v>#DIV/0!</v>
      </c>
      <c r="G247" s="460" t="e">
        <f>I246*(E247/360)*'Commercial Sizing'!$J$11</f>
        <v>#DIV/0!</v>
      </c>
      <c r="H247" s="460" t="e">
        <f t="shared" si="46"/>
        <v>#DIV/0!</v>
      </c>
      <c r="I247" s="460" t="e">
        <f t="shared" si="47"/>
        <v>#DIV/0!</v>
      </c>
    </row>
    <row r="248" spans="3:9" ht="12.75">
      <c r="C248" s="98">
        <v>245</v>
      </c>
      <c r="D248" s="440" t="e">
        <f>[1]!Edate(D247,1)</f>
        <v>#NAME?</v>
      </c>
      <c r="E248" s="441" t="e">
        <f t="shared" si="45"/>
        <v>#NAME?</v>
      </c>
      <c r="F248" s="460" t="e">
        <f>'Commercial Sizing'!$J$12/12</f>
        <v>#DIV/0!</v>
      </c>
      <c r="G248" s="460" t="e">
        <f>I247*(E248/360)*'Commercial Sizing'!$J$11</f>
        <v>#DIV/0!</v>
      </c>
      <c r="H248" s="460" t="e">
        <f t="shared" si="46"/>
        <v>#DIV/0!</v>
      </c>
      <c r="I248" s="460" t="e">
        <f t="shared" si="47"/>
        <v>#DIV/0!</v>
      </c>
    </row>
    <row r="249" spans="3:9" ht="12.75">
      <c r="C249" s="98">
        <v>246</v>
      </c>
      <c r="D249" s="440" t="e">
        <f>[1]!Edate(D248,1)</f>
        <v>#NAME?</v>
      </c>
      <c r="E249" s="441" t="e">
        <f t="shared" si="45"/>
        <v>#NAME?</v>
      </c>
      <c r="F249" s="460" t="e">
        <f>'Commercial Sizing'!$J$12/12</f>
        <v>#DIV/0!</v>
      </c>
      <c r="G249" s="460" t="e">
        <f>I248*(E249/360)*'Commercial Sizing'!$J$11</f>
        <v>#DIV/0!</v>
      </c>
      <c r="H249" s="460" t="e">
        <f t="shared" si="46"/>
        <v>#DIV/0!</v>
      </c>
      <c r="I249" s="460" t="e">
        <f t="shared" si="47"/>
        <v>#DIV/0!</v>
      </c>
    </row>
    <row r="250" spans="3:9" ht="12.75">
      <c r="C250" s="98">
        <v>247</v>
      </c>
      <c r="D250" s="440" t="e">
        <f>[1]!Edate(D249,1)</f>
        <v>#NAME?</v>
      </c>
      <c r="E250" s="441" t="e">
        <f t="shared" si="45"/>
        <v>#NAME?</v>
      </c>
      <c r="F250" s="460" t="e">
        <f>'Commercial Sizing'!$J$12/12</f>
        <v>#DIV/0!</v>
      </c>
      <c r="G250" s="460" t="e">
        <f>I249*(E250/360)*'Commercial Sizing'!$J$11</f>
        <v>#DIV/0!</v>
      </c>
      <c r="H250" s="460" t="e">
        <f t="shared" si="46"/>
        <v>#DIV/0!</v>
      </c>
      <c r="I250" s="460" t="e">
        <f t="shared" si="47"/>
        <v>#DIV/0!</v>
      </c>
    </row>
    <row r="251" spans="3:9" ht="12.75">
      <c r="C251" s="98">
        <v>248</v>
      </c>
      <c r="D251" s="440" t="e">
        <f>[1]!Edate(D250,1)</f>
        <v>#NAME?</v>
      </c>
      <c r="E251" s="441" t="e">
        <f t="shared" si="45"/>
        <v>#NAME?</v>
      </c>
      <c r="F251" s="460" t="e">
        <f>'Commercial Sizing'!$J$12/12</f>
        <v>#DIV/0!</v>
      </c>
      <c r="G251" s="460" t="e">
        <f>I250*(E251/360)*'Commercial Sizing'!$J$11</f>
        <v>#DIV/0!</v>
      </c>
      <c r="H251" s="460" t="e">
        <f t="shared" si="46"/>
        <v>#DIV/0!</v>
      </c>
      <c r="I251" s="460" t="e">
        <f t="shared" si="47"/>
        <v>#DIV/0!</v>
      </c>
    </row>
    <row r="252" spans="3:9" ht="12.75">
      <c r="C252" s="98">
        <v>249</v>
      </c>
      <c r="D252" s="440" t="e">
        <f>[1]!Edate(D251,1)</f>
        <v>#NAME?</v>
      </c>
      <c r="E252" s="441" t="e">
        <f t="shared" si="45"/>
        <v>#NAME?</v>
      </c>
      <c r="F252" s="460" t="e">
        <f>'Commercial Sizing'!$J$12/12</f>
        <v>#DIV/0!</v>
      </c>
      <c r="G252" s="460" t="e">
        <f>I251*(E252/360)*'Commercial Sizing'!$J$11</f>
        <v>#DIV/0!</v>
      </c>
      <c r="H252" s="460" t="e">
        <f t="shared" si="46"/>
        <v>#DIV/0!</v>
      </c>
      <c r="I252" s="460" t="e">
        <f t="shared" si="47"/>
        <v>#DIV/0!</v>
      </c>
    </row>
    <row r="253" spans="3:9" ht="12.75">
      <c r="C253" s="98">
        <v>250</v>
      </c>
      <c r="D253" s="440" t="e">
        <f>[1]!Edate(D252,1)</f>
        <v>#NAME?</v>
      </c>
      <c r="E253" s="441" t="e">
        <f t="shared" si="45"/>
        <v>#NAME?</v>
      </c>
      <c r="F253" s="460" t="e">
        <f>'Commercial Sizing'!$J$12/12</f>
        <v>#DIV/0!</v>
      </c>
      <c r="G253" s="460" t="e">
        <f>I252*(E253/360)*'Commercial Sizing'!$J$11</f>
        <v>#DIV/0!</v>
      </c>
      <c r="H253" s="460" t="e">
        <f t="shared" si="46"/>
        <v>#DIV/0!</v>
      </c>
      <c r="I253" s="460" t="e">
        <f t="shared" si="47"/>
        <v>#DIV/0!</v>
      </c>
    </row>
    <row r="254" spans="3:9" ht="12.75">
      <c r="C254" s="98">
        <v>251</v>
      </c>
      <c r="D254" s="440" t="e">
        <f>[1]!Edate(D253,1)</f>
        <v>#NAME?</v>
      </c>
      <c r="E254" s="441" t="e">
        <f t="shared" si="45"/>
        <v>#NAME?</v>
      </c>
      <c r="F254" s="460" t="e">
        <f>'Commercial Sizing'!$J$12/12</f>
        <v>#DIV/0!</v>
      </c>
      <c r="G254" s="460" t="e">
        <f>I253*(E254/360)*'Commercial Sizing'!$J$11</f>
        <v>#DIV/0!</v>
      </c>
      <c r="H254" s="460" t="e">
        <f t="shared" si="46"/>
        <v>#DIV/0!</v>
      </c>
      <c r="I254" s="460" t="e">
        <f t="shared" si="47"/>
        <v>#DIV/0!</v>
      </c>
    </row>
    <row r="255" spans="3:9" ht="12.75">
      <c r="C255" s="98">
        <v>252</v>
      </c>
      <c r="D255" s="440" t="e">
        <f>[1]!Edate(D254,1)</f>
        <v>#NAME?</v>
      </c>
      <c r="E255" s="441" t="e">
        <f t="shared" si="45"/>
        <v>#NAME?</v>
      </c>
      <c r="F255" s="460" t="e">
        <f>'Commercial Sizing'!$J$12/12</f>
        <v>#DIV/0!</v>
      </c>
      <c r="G255" s="460" t="e">
        <f>I254*(E255/360)*'Commercial Sizing'!$J$11</f>
        <v>#DIV/0!</v>
      </c>
      <c r="H255" s="460" t="e">
        <f t="shared" si="46"/>
        <v>#DIV/0!</v>
      </c>
      <c r="I255" s="460" t="e">
        <f t="shared" si="47"/>
        <v>#DIV/0!</v>
      </c>
    </row>
    <row r="256" spans="3:9" ht="12.75">
      <c r="C256" s="98">
        <v>253</v>
      </c>
      <c r="D256" s="440" t="e">
        <f>[1]!Edate(D255,1)</f>
        <v>#NAME?</v>
      </c>
      <c r="E256" s="441" t="e">
        <f t="shared" si="45"/>
        <v>#NAME?</v>
      </c>
      <c r="F256" s="460" t="e">
        <f>'Commercial Sizing'!$J$12/12</f>
        <v>#DIV/0!</v>
      </c>
      <c r="G256" s="460" t="e">
        <f>I255*(E256/360)*'Commercial Sizing'!$J$11</f>
        <v>#DIV/0!</v>
      </c>
      <c r="H256" s="460" t="e">
        <f t="shared" si="46"/>
        <v>#DIV/0!</v>
      </c>
      <c r="I256" s="460" t="e">
        <f t="shared" si="47"/>
        <v>#DIV/0!</v>
      </c>
    </row>
    <row r="257" spans="3:9" ht="12.75">
      <c r="C257" s="98">
        <v>254</v>
      </c>
      <c r="D257" s="440" t="e">
        <f>[1]!Edate(D256,1)</f>
        <v>#NAME?</v>
      </c>
      <c r="E257" s="441" t="e">
        <f t="shared" si="45"/>
        <v>#NAME?</v>
      </c>
      <c r="F257" s="460" t="e">
        <f>'Commercial Sizing'!$J$12/12</f>
        <v>#DIV/0!</v>
      </c>
      <c r="G257" s="460" t="e">
        <f>I256*(E257/360)*'Commercial Sizing'!$J$11</f>
        <v>#DIV/0!</v>
      </c>
      <c r="H257" s="460" t="e">
        <f t="shared" si="46"/>
        <v>#DIV/0!</v>
      </c>
      <c r="I257" s="460" t="e">
        <f t="shared" si="47"/>
        <v>#DIV/0!</v>
      </c>
    </row>
    <row r="258" spans="3:9" ht="12.75">
      <c r="C258" s="98">
        <v>255</v>
      </c>
      <c r="D258" s="440" t="e">
        <f>[1]!Edate(D257,1)</f>
        <v>#NAME?</v>
      </c>
      <c r="E258" s="441" t="e">
        <f t="shared" si="45"/>
        <v>#NAME?</v>
      </c>
      <c r="F258" s="460" t="e">
        <f>'Commercial Sizing'!$J$12/12</f>
        <v>#DIV/0!</v>
      </c>
      <c r="G258" s="460" t="e">
        <f>I257*(E258/360)*'Commercial Sizing'!$J$11</f>
        <v>#DIV/0!</v>
      </c>
      <c r="H258" s="460" t="e">
        <f t="shared" si="46"/>
        <v>#DIV/0!</v>
      </c>
      <c r="I258" s="460" t="e">
        <f t="shared" si="47"/>
        <v>#DIV/0!</v>
      </c>
    </row>
    <row r="259" spans="3:9" ht="12.75">
      <c r="C259" s="98">
        <v>256</v>
      </c>
      <c r="D259" s="440" t="e">
        <f>[1]!Edate(D258,1)</f>
        <v>#NAME?</v>
      </c>
      <c r="E259" s="441" t="e">
        <f t="shared" si="45"/>
        <v>#NAME?</v>
      </c>
      <c r="F259" s="460" t="e">
        <f>'Commercial Sizing'!$J$12/12</f>
        <v>#DIV/0!</v>
      </c>
      <c r="G259" s="460" t="e">
        <f>I258*(E259/360)*'Commercial Sizing'!$J$11</f>
        <v>#DIV/0!</v>
      </c>
      <c r="H259" s="460" t="e">
        <f t="shared" si="46"/>
        <v>#DIV/0!</v>
      </c>
      <c r="I259" s="460" t="e">
        <f t="shared" si="47"/>
        <v>#DIV/0!</v>
      </c>
    </row>
    <row r="260" spans="3:9" ht="12.75">
      <c r="C260" s="98">
        <v>257</v>
      </c>
      <c r="D260" s="440" t="e">
        <f>[1]!Edate(D259,1)</f>
        <v>#NAME?</v>
      </c>
      <c r="E260" s="441" t="e">
        <f t="shared" si="45"/>
        <v>#NAME?</v>
      </c>
      <c r="F260" s="460" t="e">
        <f>'Commercial Sizing'!$J$12/12</f>
        <v>#DIV/0!</v>
      </c>
      <c r="G260" s="460" t="e">
        <f>I259*(E260/360)*'Commercial Sizing'!$J$11</f>
        <v>#DIV/0!</v>
      </c>
      <c r="H260" s="460" t="e">
        <f t="shared" si="46"/>
        <v>#DIV/0!</v>
      </c>
      <c r="I260" s="460" t="e">
        <f t="shared" si="47"/>
        <v>#DIV/0!</v>
      </c>
    </row>
    <row r="261" spans="3:9" ht="12.75">
      <c r="C261" s="98">
        <v>258</v>
      </c>
      <c r="D261" s="440" t="e">
        <f>[1]!Edate(D260,1)</f>
        <v>#NAME?</v>
      </c>
      <c r="E261" s="441" t="e">
        <f aca="true" t="shared" si="48" ref="E261:E276">D262-D261</f>
        <v>#NAME?</v>
      </c>
      <c r="F261" s="460" t="e">
        <f>'Commercial Sizing'!$J$12/12</f>
        <v>#DIV/0!</v>
      </c>
      <c r="G261" s="460" t="e">
        <f>I260*(E261/360)*'Commercial Sizing'!$J$11</f>
        <v>#DIV/0!</v>
      </c>
      <c r="H261" s="460" t="e">
        <f aca="true" t="shared" si="49" ref="H261:H276">F261-G261</f>
        <v>#DIV/0!</v>
      </c>
      <c r="I261" s="460" t="e">
        <f aca="true" t="shared" si="50" ref="I261:I276">I260-H261</f>
        <v>#DIV/0!</v>
      </c>
    </row>
    <row r="262" spans="3:9" ht="12.75">
      <c r="C262" s="98">
        <v>259</v>
      </c>
      <c r="D262" s="440" t="e">
        <f>[1]!Edate(D261,1)</f>
        <v>#NAME?</v>
      </c>
      <c r="E262" s="441" t="e">
        <f t="shared" si="48"/>
        <v>#NAME?</v>
      </c>
      <c r="F262" s="460" t="e">
        <f>'Commercial Sizing'!$J$12/12</f>
        <v>#DIV/0!</v>
      </c>
      <c r="G262" s="460" t="e">
        <f>I261*(E262/360)*'Commercial Sizing'!$J$11</f>
        <v>#DIV/0!</v>
      </c>
      <c r="H262" s="460" t="e">
        <f t="shared" si="49"/>
        <v>#DIV/0!</v>
      </c>
      <c r="I262" s="460" t="e">
        <f t="shared" si="50"/>
        <v>#DIV/0!</v>
      </c>
    </row>
    <row r="263" spans="3:9" ht="12.75">
      <c r="C263" s="98">
        <v>260</v>
      </c>
      <c r="D263" s="440" t="e">
        <f>[1]!Edate(D262,1)</f>
        <v>#NAME?</v>
      </c>
      <c r="E263" s="441" t="e">
        <f t="shared" si="48"/>
        <v>#NAME?</v>
      </c>
      <c r="F263" s="460" t="e">
        <f>'Commercial Sizing'!$J$12/12</f>
        <v>#DIV/0!</v>
      </c>
      <c r="G263" s="460" t="e">
        <f>I262*(E263/360)*'Commercial Sizing'!$J$11</f>
        <v>#DIV/0!</v>
      </c>
      <c r="H263" s="460" t="e">
        <f t="shared" si="49"/>
        <v>#DIV/0!</v>
      </c>
      <c r="I263" s="460" t="e">
        <f t="shared" si="50"/>
        <v>#DIV/0!</v>
      </c>
    </row>
    <row r="264" spans="3:9" ht="12.75">
      <c r="C264" s="98">
        <v>261</v>
      </c>
      <c r="D264" s="440" t="e">
        <f>[1]!Edate(D263,1)</f>
        <v>#NAME?</v>
      </c>
      <c r="E264" s="441" t="e">
        <f t="shared" si="48"/>
        <v>#NAME?</v>
      </c>
      <c r="F264" s="460" t="e">
        <f>'Commercial Sizing'!$J$12/12</f>
        <v>#DIV/0!</v>
      </c>
      <c r="G264" s="460" t="e">
        <f>I263*(E264/360)*'Commercial Sizing'!$J$11</f>
        <v>#DIV/0!</v>
      </c>
      <c r="H264" s="460" t="e">
        <f t="shared" si="49"/>
        <v>#DIV/0!</v>
      </c>
      <c r="I264" s="460" t="e">
        <f t="shared" si="50"/>
        <v>#DIV/0!</v>
      </c>
    </row>
    <row r="265" spans="3:9" ht="12.75">
      <c r="C265" s="98">
        <v>262</v>
      </c>
      <c r="D265" s="440" t="e">
        <f>[1]!Edate(D264,1)</f>
        <v>#NAME?</v>
      </c>
      <c r="E265" s="441" t="e">
        <f t="shared" si="48"/>
        <v>#NAME?</v>
      </c>
      <c r="F265" s="460" t="e">
        <f>'Commercial Sizing'!$J$12/12</f>
        <v>#DIV/0!</v>
      </c>
      <c r="G265" s="460" t="e">
        <f>I264*(E265/360)*'Commercial Sizing'!$J$11</f>
        <v>#DIV/0!</v>
      </c>
      <c r="H265" s="460" t="e">
        <f t="shared" si="49"/>
        <v>#DIV/0!</v>
      </c>
      <c r="I265" s="460" t="e">
        <f t="shared" si="50"/>
        <v>#DIV/0!</v>
      </c>
    </row>
    <row r="266" spans="3:9" ht="12.75">
      <c r="C266" s="98">
        <v>263</v>
      </c>
      <c r="D266" s="440" t="e">
        <f>[1]!Edate(D265,1)</f>
        <v>#NAME?</v>
      </c>
      <c r="E266" s="441" t="e">
        <f t="shared" si="48"/>
        <v>#NAME?</v>
      </c>
      <c r="F266" s="460" t="e">
        <f>'Commercial Sizing'!$J$12/12</f>
        <v>#DIV/0!</v>
      </c>
      <c r="G266" s="460" t="e">
        <f>I265*(E266/360)*'Commercial Sizing'!$J$11</f>
        <v>#DIV/0!</v>
      </c>
      <c r="H266" s="460" t="e">
        <f t="shared" si="49"/>
        <v>#DIV/0!</v>
      </c>
      <c r="I266" s="460" t="e">
        <f t="shared" si="50"/>
        <v>#DIV/0!</v>
      </c>
    </row>
    <row r="267" spans="3:9" ht="12.75">
      <c r="C267" s="98">
        <v>264</v>
      </c>
      <c r="D267" s="440" t="e">
        <f>[1]!Edate(D266,1)</f>
        <v>#NAME?</v>
      </c>
      <c r="E267" s="441" t="e">
        <f t="shared" si="48"/>
        <v>#NAME?</v>
      </c>
      <c r="F267" s="460" t="e">
        <f>'Commercial Sizing'!$J$12/12</f>
        <v>#DIV/0!</v>
      </c>
      <c r="G267" s="460" t="e">
        <f>I266*(E267/360)*'Commercial Sizing'!$J$11</f>
        <v>#DIV/0!</v>
      </c>
      <c r="H267" s="460" t="e">
        <f t="shared" si="49"/>
        <v>#DIV/0!</v>
      </c>
      <c r="I267" s="460" t="e">
        <f t="shared" si="50"/>
        <v>#DIV/0!</v>
      </c>
    </row>
    <row r="268" spans="3:9" ht="12.75">
      <c r="C268" s="98">
        <v>265</v>
      </c>
      <c r="D268" s="440" t="e">
        <f>[1]!Edate(D267,1)</f>
        <v>#NAME?</v>
      </c>
      <c r="E268" s="441" t="e">
        <f t="shared" si="48"/>
        <v>#NAME?</v>
      </c>
      <c r="F268" s="460" t="e">
        <f>'Commercial Sizing'!$J$12/12</f>
        <v>#DIV/0!</v>
      </c>
      <c r="G268" s="460" t="e">
        <f>I267*(E268/360)*'Commercial Sizing'!$J$11</f>
        <v>#DIV/0!</v>
      </c>
      <c r="H268" s="460" t="e">
        <f t="shared" si="49"/>
        <v>#DIV/0!</v>
      </c>
      <c r="I268" s="460" t="e">
        <f t="shared" si="50"/>
        <v>#DIV/0!</v>
      </c>
    </row>
    <row r="269" spans="3:9" ht="12.75">
      <c r="C269" s="98">
        <v>266</v>
      </c>
      <c r="D269" s="440" t="e">
        <f>[1]!Edate(D268,1)</f>
        <v>#NAME?</v>
      </c>
      <c r="E269" s="441" t="e">
        <f t="shared" si="48"/>
        <v>#NAME?</v>
      </c>
      <c r="F269" s="460" t="e">
        <f>'Commercial Sizing'!$J$12/12</f>
        <v>#DIV/0!</v>
      </c>
      <c r="G269" s="460" t="e">
        <f>I268*(E269/360)*'Commercial Sizing'!$J$11</f>
        <v>#DIV/0!</v>
      </c>
      <c r="H269" s="460" t="e">
        <f t="shared" si="49"/>
        <v>#DIV/0!</v>
      </c>
      <c r="I269" s="460" t="e">
        <f t="shared" si="50"/>
        <v>#DIV/0!</v>
      </c>
    </row>
    <row r="270" spans="3:9" ht="12.75">
      <c r="C270" s="98">
        <v>267</v>
      </c>
      <c r="D270" s="440" t="e">
        <f>[1]!Edate(D269,1)</f>
        <v>#NAME?</v>
      </c>
      <c r="E270" s="441" t="e">
        <f t="shared" si="48"/>
        <v>#NAME?</v>
      </c>
      <c r="F270" s="460" t="e">
        <f>'Commercial Sizing'!$J$12/12</f>
        <v>#DIV/0!</v>
      </c>
      <c r="G270" s="460" t="e">
        <f>I269*(E270/360)*'Commercial Sizing'!$J$11</f>
        <v>#DIV/0!</v>
      </c>
      <c r="H270" s="460" t="e">
        <f t="shared" si="49"/>
        <v>#DIV/0!</v>
      </c>
      <c r="I270" s="460" t="e">
        <f t="shared" si="50"/>
        <v>#DIV/0!</v>
      </c>
    </row>
    <row r="271" spans="3:9" ht="12.75">
      <c r="C271" s="98">
        <v>268</v>
      </c>
      <c r="D271" s="440" t="e">
        <f>[1]!Edate(D270,1)</f>
        <v>#NAME?</v>
      </c>
      <c r="E271" s="441" t="e">
        <f t="shared" si="48"/>
        <v>#NAME?</v>
      </c>
      <c r="F271" s="460" t="e">
        <f>'Commercial Sizing'!$J$12/12</f>
        <v>#DIV/0!</v>
      </c>
      <c r="G271" s="460" t="e">
        <f>I270*(E271/360)*'Commercial Sizing'!$J$11</f>
        <v>#DIV/0!</v>
      </c>
      <c r="H271" s="460" t="e">
        <f t="shared" si="49"/>
        <v>#DIV/0!</v>
      </c>
      <c r="I271" s="460" t="e">
        <f t="shared" si="50"/>
        <v>#DIV/0!</v>
      </c>
    </row>
    <row r="272" spans="3:9" ht="12.75">
      <c r="C272" s="98">
        <v>269</v>
      </c>
      <c r="D272" s="440" t="e">
        <f>[1]!Edate(D271,1)</f>
        <v>#NAME?</v>
      </c>
      <c r="E272" s="441" t="e">
        <f t="shared" si="48"/>
        <v>#NAME?</v>
      </c>
      <c r="F272" s="460" t="e">
        <f>'Commercial Sizing'!$J$12/12</f>
        <v>#DIV/0!</v>
      </c>
      <c r="G272" s="460" t="e">
        <f>I271*(E272/360)*'Commercial Sizing'!$J$11</f>
        <v>#DIV/0!</v>
      </c>
      <c r="H272" s="460" t="e">
        <f t="shared" si="49"/>
        <v>#DIV/0!</v>
      </c>
      <c r="I272" s="460" t="e">
        <f t="shared" si="50"/>
        <v>#DIV/0!</v>
      </c>
    </row>
    <row r="273" spans="3:9" ht="12.75">
      <c r="C273" s="98">
        <v>270</v>
      </c>
      <c r="D273" s="440" t="e">
        <f>[1]!Edate(D272,1)</f>
        <v>#NAME?</v>
      </c>
      <c r="E273" s="441" t="e">
        <f t="shared" si="48"/>
        <v>#NAME?</v>
      </c>
      <c r="F273" s="460" t="e">
        <f>'Commercial Sizing'!$J$12/12</f>
        <v>#DIV/0!</v>
      </c>
      <c r="G273" s="460" t="e">
        <f>I272*(E273/360)*'Commercial Sizing'!$J$11</f>
        <v>#DIV/0!</v>
      </c>
      <c r="H273" s="460" t="e">
        <f t="shared" si="49"/>
        <v>#DIV/0!</v>
      </c>
      <c r="I273" s="460" t="e">
        <f t="shared" si="50"/>
        <v>#DIV/0!</v>
      </c>
    </row>
    <row r="274" spans="3:9" ht="12.75">
      <c r="C274" s="98">
        <v>271</v>
      </c>
      <c r="D274" s="440" t="e">
        <f>[1]!Edate(D273,1)</f>
        <v>#NAME?</v>
      </c>
      <c r="E274" s="441" t="e">
        <f t="shared" si="48"/>
        <v>#NAME?</v>
      </c>
      <c r="F274" s="460" t="e">
        <f>'Commercial Sizing'!$J$12/12</f>
        <v>#DIV/0!</v>
      </c>
      <c r="G274" s="460" t="e">
        <f>I273*(E274/360)*'Commercial Sizing'!$J$11</f>
        <v>#DIV/0!</v>
      </c>
      <c r="H274" s="460" t="e">
        <f t="shared" si="49"/>
        <v>#DIV/0!</v>
      </c>
      <c r="I274" s="460" t="e">
        <f t="shared" si="50"/>
        <v>#DIV/0!</v>
      </c>
    </row>
    <row r="275" spans="3:9" ht="12.75">
      <c r="C275" s="98">
        <v>272</v>
      </c>
      <c r="D275" s="440" t="e">
        <f>[1]!Edate(D274,1)</f>
        <v>#NAME?</v>
      </c>
      <c r="E275" s="441" t="e">
        <f t="shared" si="48"/>
        <v>#NAME?</v>
      </c>
      <c r="F275" s="460" t="e">
        <f>'Commercial Sizing'!$J$12/12</f>
        <v>#DIV/0!</v>
      </c>
      <c r="G275" s="460" t="e">
        <f>I274*(E275/360)*'Commercial Sizing'!$J$11</f>
        <v>#DIV/0!</v>
      </c>
      <c r="H275" s="460" t="e">
        <f t="shared" si="49"/>
        <v>#DIV/0!</v>
      </c>
      <c r="I275" s="460" t="e">
        <f t="shared" si="50"/>
        <v>#DIV/0!</v>
      </c>
    </row>
    <row r="276" spans="3:9" ht="12.75">
      <c r="C276" s="98">
        <v>273</v>
      </c>
      <c r="D276" s="440" t="e">
        <f>[1]!Edate(D275,1)</f>
        <v>#NAME?</v>
      </c>
      <c r="E276" s="441" t="e">
        <f t="shared" si="48"/>
        <v>#NAME?</v>
      </c>
      <c r="F276" s="460" t="e">
        <f>'Commercial Sizing'!$J$12/12</f>
        <v>#DIV/0!</v>
      </c>
      <c r="G276" s="460" t="e">
        <f>I275*(E276/360)*'Commercial Sizing'!$J$11</f>
        <v>#DIV/0!</v>
      </c>
      <c r="H276" s="460" t="e">
        <f t="shared" si="49"/>
        <v>#DIV/0!</v>
      </c>
      <c r="I276" s="460" t="e">
        <f t="shared" si="50"/>
        <v>#DIV/0!</v>
      </c>
    </row>
    <row r="277" spans="3:9" ht="12.75">
      <c r="C277" s="98">
        <v>274</v>
      </c>
      <c r="D277" s="440" t="e">
        <f>[1]!Edate(D276,1)</f>
        <v>#NAME?</v>
      </c>
      <c r="E277" s="441" t="e">
        <f aca="true" t="shared" si="51" ref="E277:E292">D278-D277</f>
        <v>#NAME?</v>
      </c>
      <c r="F277" s="460" t="e">
        <f>'Commercial Sizing'!$J$12/12</f>
        <v>#DIV/0!</v>
      </c>
      <c r="G277" s="460" t="e">
        <f>I276*(E277/360)*'Commercial Sizing'!$J$11</f>
        <v>#DIV/0!</v>
      </c>
      <c r="H277" s="460" t="e">
        <f aca="true" t="shared" si="52" ref="H277:H292">F277-G277</f>
        <v>#DIV/0!</v>
      </c>
      <c r="I277" s="460" t="e">
        <f aca="true" t="shared" si="53" ref="I277:I292">I276-H277</f>
        <v>#DIV/0!</v>
      </c>
    </row>
    <row r="278" spans="3:9" ht="12.75">
      <c r="C278" s="98">
        <v>275</v>
      </c>
      <c r="D278" s="440" t="e">
        <f>[1]!Edate(D277,1)</f>
        <v>#NAME?</v>
      </c>
      <c r="E278" s="441" t="e">
        <f t="shared" si="51"/>
        <v>#NAME?</v>
      </c>
      <c r="F278" s="460" t="e">
        <f>'Commercial Sizing'!$J$12/12</f>
        <v>#DIV/0!</v>
      </c>
      <c r="G278" s="460" t="e">
        <f>I277*(E278/360)*'Commercial Sizing'!$J$11</f>
        <v>#DIV/0!</v>
      </c>
      <c r="H278" s="460" t="e">
        <f t="shared" si="52"/>
        <v>#DIV/0!</v>
      </c>
      <c r="I278" s="460" t="e">
        <f t="shared" si="53"/>
        <v>#DIV/0!</v>
      </c>
    </row>
    <row r="279" spans="3:9" ht="12.75">
      <c r="C279" s="98">
        <v>276</v>
      </c>
      <c r="D279" s="440" t="e">
        <f>[1]!Edate(D278,1)</f>
        <v>#NAME?</v>
      </c>
      <c r="E279" s="441" t="e">
        <f t="shared" si="51"/>
        <v>#NAME?</v>
      </c>
      <c r="F279" s="460" t="e">
        <f>'Commercial Sizing'!$J$12/12</f>
        <v>#DIV/0!</v>
      </c>
      <c r="G279" s="460" t="e">
        <f>I278*(E279/360)*'Commercial Sizing'!$J$11</f>
        <v>#DIV/0!</v>
      </c>
      <c r="H279" s="460" t="e">
        <f t="shared" si="52"/>
        <v>#DIV/0!</v>
      </c>
      <c r="I279" s="460" t="e">
        <f t="shared" si="53"/>
        <v>#DIV/0!</v>
      </c>
    </row>
    <row r="280" spans="3:9" ht="12.75">
      <c r="C280" s="98">
        <v>277</v>
      </c>
      <c r="D280" s="440" t="e">
        <f>[1]!Edate(D279,1)</f>
        <v>#NAME?</v>
      </c>
      <c r="E280" s="441" t="e">
        <f t="shared" si="51"/>
        <v>#NAME?</v>
      </c>
      <c r="F280" s="460" t="e">
        <f>'Commercial Sizing'!$J$12/12</f>
        <v>#DIV/0!</v>
      </c>
      <c r="G280" s="460" t="e">
        <f>I279*(E280/360)*'Commercial Sizing'!$J$11</f>
        <v>#DIV/0!</v>
      </c>
      <c r="H280" s="460" t="e">
        <f t="shared" si="52"/>
        <v>#DIV/0!</v>
      </c>
      <c r="I280" s="460" t="e">
        <f t="shared" si="53"/>
        <v>#DIV/0!</v>
      </c>
    </row>
    <row r="281" spans="3:9" ht="12.75">
      <c r="C281" s="98">
        <v>278</v>
      </c>
      <c r="D281" s="440" t="e">
        <f>[1]!Edate(D280,1)</f>
        <v>#NAME?</v>
      </c>
      <c r="E281" s="441" t="e">
        <f t="shared" si="51"/>
        <v>#NAME?</v>
      </c>
      <c r="F281" s="460" t="e">
        <f>'Commercial Sizing'!$J$12/12</f>
        <v>#DIV/0!</v>
      </c>
      <c r="G281" s="460" t="e">
        <f>I280*(E281/360)*'Commercial Sizing'!$J$11</f>
        <v>#DIV/0!</v>
      </c>
      <c r="H281" s="460" t="e">
        <f t="shared" si="52"/>
        <v>#DIV/0!</v>
      </c>
      <c r="I281" s="460" t="e">
        <f t="shared" si="53"/>
        <v>#DIV/0!</v>
      </c>
    </row>
    <row r="282" spans="3:9" ht="12.75">
      <c r="C282" s="98">
        <v>279</v>
      </c>
      <c r="D282" s="440" t="e">
        <f>[1]!Edate(D281,1)</f>
        <v>#NAME?</v>
      </c>
      <c r="E282" s="441" t="e">
        <f t="shared" si="51"/>
        <v>#NAME?</v>
      </c>
      <c r="F282" s="460" t="e">
        <f>'Commercial Sizing'!$J$12/12</f>
        <v>#DIV/0!</v>
      </c>
      <c r="G282" s="460" t="e">
        <f>I281*(E282/360)*'Commercial Sizing'!$J$11</f>
        <v>#DIV/0!</v>
      </c>
      <c r="H282" s="460" t="e">
        <f t="shared" si="52"/>
        <v>#DIV/0!</v>
      </c>
      <c r="I282" s="460" t="e">
        <f t="shared" si="53"/>
        <v>#DIV/0!</v>
      </c>
    </row>
    <row r="283" spans="3:9" ht="12.75">
      <c r="C283" s="98">
        <v>280</v>
      </c>
      <c r="D283" s="440" t="e">
        <f>[1]!Edate(D282,1)</f>
        <v>#NAME?</v>
      </c>
      <c r="E283" s="441" t="e">
        <f t="shared" si="51"/>
        <v>#NAME?</v>
      </c>
      <c r="F283" s="460" t="e">
        <f>'Commercial Sizing'!$J$12/12</f>
        <v>#DIV/0!</v>
      </c>
      <c r="G283" s="460" t="e">
        <f>I282*(E283/360)*'Commercial Sizing'!$J$11</f>
        <v>#DIV/0!</v>
      </c>
      <c r="H283" s="460" t="e">
        <f t="shared" si="52"/>
        <v>#DIV/0!</v>
      </c>
      <c r="I283" s="460" t="e">
        <f t="shared" si="53"/>
        <v>#DIV/0!</v>
      </c>
    </row>
    <row r="284" spans="3:9" ht="12.75">
      <c r="C284" s="98">
        <v>281</v>
      </c>
      <c r="D284" s="440" t="e">
        <f>[1]!Edate(D283,1)</f>
        <v>#NAME?</v>
      </c>
      <c r="E284" s="441" t="e">
        <f t="shared" si="51"/>
        <v>#NAME?</v>
      </c>
      <c r="F284" s="460" t="e">
        <f>'Commercial Sizing'!$J$12/12</f>
        <v>#DIV/0!</v>
      </c>
      <c r="G284" s="460" t="e">
        <f>I283*(E284/360)*'Commercial Sizing'!$J$11</f>
        <v>#DIV/0!</v>
      </c>
      <c r="H284" s="460" t="e">
        <f t="shared" si="52"/>
        <v>#DIV/0!</v>
      </c>
      <c r="I284" s="460" t="e">
        <f t="shared" si="53"/>
        <v>#DIV/0!</v>
      </c>
    </row>
    <row r="285" spans="3:9" ht="12.75">
      <c r="C285" s="98">
        <v>282</v>
      </c>
      <c r="D285" s="440" t="e">
        <f>[1]!Edate(D284,1)</f>
        <v>#NAME?</v>
      </c>
      <c r="E285" s="441" t="e">
        <f t="shared" si="51"/>
        <v>#NAME?</v>
      </c>
      <c r="F285" s="460" t="e">
        <f>'Commercial Sizing'!$J$12/12</f>
        <v>#DIV/0!</v>
      </c>
      <c r="G285" s="460" t="e">
        <f>I284*(E285/360)*'Commercial Sizing'!$J$11</f>
        <v>#DIV/0!</v>
      </c>
      <c r="H285" s="460" t="e">
        <f t="shared" si="52"/>
        <v>#DIV/0!</v>
      </c>
      <c r="I285" s="460" t="e">
        <f t="shared" si="53"/>
        <v>#DIV/0!</v>
      </c>
    </row>
    <row r="286" spans="3:9" ht="12.75">
      <c r="C286" s="98">
        <v>283</v>
      </c>
      <c r="D286" s="440" t="e">
        <f>[1]!Edate(D285,1)</f>
        <v>#NAME?</v>
      </c>
      <c r="E286" s="441" t="e">
        <f t="shared" si="51"/>
        <v>#NAME?</v>
      </c>
      <c r="F286" s="460" t="e">
        <f>'Commercial Sizing'!$J$12/12</f>
        <v>#DIV/0!</v>
      </c>
      <c r="G286" s="460" t="e">
        <f>I285*(E286/360)*'Commercial Sizing'!$J$11</f>
        <v>#DIV/0!</v>
      </c>
      <c r="H286" s="460" t="e">
        <f t="shared" si="52"/>
        <v>#DIV/0!</v>
      </c>
      <c r="I286" s="460" t="e">
        <f t="shared" si="53"/>
        <v>#DIV/0!</v>
      </c>
    </row>
    <row r="287" spans="3:9" ht="12.75">
      <c r="C287" s="98">
        <v>284</v>
      </c>
      <c r="D287" s="440" t="e">
        <f>[1]!Edate(D286,1)</f>
        <v>#NAME?</v>
      </c>
      <c r="E287" s="441" t="e">
        <f t="shared" si="51"/>
        <v>#NAME?</v>
      </c>
      <c r="F287" s="460" t="e">
        <f>'Commercial Sizing'!$J$12/12</f>
        <v>#DIV/0!</v>
      </c>
      <c r="G287" s="460" t="e">
        <f>I286*(E287/360)*'Commercial Sizing'!$J$11</f>
        <v>#DIV/0!</v>
      </c>
      <c r="H287" s="460" t="e">
        <f t="shared" si="52"/>
        <v>#DIV/0!</v>
      </c>
      <c r="I287" s="460" t="e">
        <f t="shared" si="53"/>
        <v>#DIV/0!</v>
      </c>
    </row>
    <row r="288" spans="3:9" ht="12.75">
      <c r="C288" s="98">
        <v>285</v>
      </c>
      <c r="D288" s="440" t="e">
        <f>[1]!Edate(D287,1)</f>
        <v>#NAME?</v>
      </c>
      <c r="E288" s="441" t="e">
        <f t="shared" si="51"/>
        <v>#NAME?</v>
      </c>
      <c r="F288" s="460" t="e">
        <f>'Commercial Sizing'!$J$12/12</f>
        <v>#DIV/0!</v>
      </c>
      <c r="G288" s="460" t="e">
        <f>I287*(E288/360)*'Commercial Sizing'!$J$11</f>
        <v>#DIV/0!</v>
      </c>
      <c r="H288" s="460" t="e">
        <f t="shared" si="52"/>
        <v>#DIV/0!</v>
      </c>
      <c r="I288" s="460" t="e">
        <f t="shared" si="53"/>
        <v>#DIV/0!</v>
      </c>
    </row>
    <row r="289" spans="3:9" ht="12.75">
      <c r="C289" s="98">
        <v>286</v>
      </c>
      <c r="D289" s="440" t="e">
        <f>[1]!Edate(D288,1)</f>
        <v>#NAME?</v>
      </c>
      <c r="E289" s="441" t="e">
        <f t="shared" si="51"/>
        <v>#NAME?</v>
      </c>
      <c r="F289" s="460" t="e">
        <f>'Commercial Sizing'!$J$12/12</f>
        <v>#DIV/0!</v>
      </c>
      <c r="G289" s="460" t="e">
        <f>I288*(E289/360)*'Commercial Sizing'!$J$11</f>
        <v>#DIV/0!</v>
      </c>
      <c r="H289" s="460" t="e">
        <f t="shared" si="52"/>
        <v>#DIV/0!</v>
      </c>
      <c r="I289" s="460" t="e">
        <f t="shared" si="53"/>
        <v>#DIV/0!</v>
      </c>
    </row>
    <row r="290" spans="3:9" ht="12.75">
      <c r="C290" s="98">
        <v>287</v>
      </c>
      <c r="D290" s="440" t="e">
        <f>[1]!Edate(D289,1)</f>
        <v>#NAME?</v>
      </c>
      <c r="E290" s="441" t="e">
        <f t="shared" si="51"/>
        <v>#NAME?</v>
      </c>
      <c r="F290" s="460" t="e">
        <f>'Commercial Sizing'!$J$12/12</f>
        <v>#DIV/0!</v>
      </c>
      <c r="G290" s="460" t="e">
        <f>I289*(E290/360)*'Commercial Sizing'!$J$11</f>
        <v>#DIV/0!</v>
      </c>
      <c r="H290" s="460" t="e">
        <f t="shared" si="52"/>
        <v>#DIV/0!</v>
      </c>
      <c r="I290" s="460" t="e">
        <f t="shared" si="53"/>
        <v>#DIV/0!</v>
      </c>
    </row>
    <row r="291" spans="3:9" ht="12.75">
      <c r="C291" s="98">
        <v>288</v>
      </c>
      <c r="D291" s="440" t="e">
        <f>[1]!Edate(D290,1)</f>
        <v>#NAME?</v>
      </c>
      <c r="E291" s="441" t="e">
        <f t="shared" si="51"/>
        <v>#NAME?</v>
      </c>
      <c r="F291" s="460" t="e">
        <f>'Commercial Sizing'!$J$12/12</f>
        <v>#DIV/0!</v>
      </c>
      <c r="G291" s="460" t="e">
        <f>I290*(E291/360)*'Commercial Sizing'!$J$11</f>
        <v>#DIV/0!</v>
      </c>
      <c r="H291" s="460" t="e">
        <f t="shared" si="52"/>
        <v>#DIV/0!</v>
      </c>
      <c r="I291" s="460" t="e">
        <f t="shared" si="53"/>
        <v>#DIV/0!</v>
      </c>
    </row>
    <row r="292" spans="3:9" ht="12.75">
      <c r="C292" s="98">
        <v>289</v>
      </c>
      <c r="D292" s="440" t="e">
        <f>[1]!Edate(D291,1)</f>
        <v>#NAME?</v>
      </c>
      <c r="E292" s="441" t="e">
        <f t="shared" si="51"/>
        <v>#NAME?</v>
      </c>
      <c r="F292" s="460" t="e">
        <f>'Commercial Sizing'!$J$12/12</f>
        <v>#DIV/0!</v>
      </c>
      <c r="G292" s="460" t="e">
        <f>I291*(E292/360)*'Commercial Sizing'!$J$11</f>
        <v>#DIV/0!</v>
      </c>
      <c r="H292" s="460" t="e">
        <f t="shared" si="52"/>
        <v>#DIV/0!</v>
      </c>
      <c r="I292" s="460" t="e">
        <f t="shared" si="53"/>
        <v>#DIV/0!</v>
      </c>
    </row>
    <row r="293" spans="3:9" ht="12.75">
      <c r="C293" s="98">
        <v>290</v>
      </c>
      <c r="D293" s="440" t="e">
        <f>[1]!Edate(D292,1)</f>
        <v>#NAME?</v>
      </c>
      <c r="E293" s="441" t="e">
        <f aca="true" t="shared" si="54" ref="E293:E303">D294-D293</f>
        <v>#NAME?</v>
      </c>
      <c r="F293" s="460" t="e">
        <f>'Commercial Sizing'!$J$12/12</f>
        <v>#DIV/0!</v>
      </c>
      <c r="G293" s="460" t="e">
        <f>I292*(E293/360)*'Commercial Sizing'!$J$11</f>
        <v>#DIV/0!</v>
      </c>
      <c r="H293" s="460" t="e">
        <f aca="true" t="shared" si="55" ref="H293:H303">F293-G293</f>
        <v>#DIV/0!</v>
      </c>
      <c r="I293" s="460" t="e">
        <f aca="true" t="shared" si="56" ref="I293:I303">I292-H293</f>
        <v>#DIV/0!</v>
      </c>
    </row>
    <row r="294" spans="3:9" ht="12.75">
      <c r="C294" s="98">
        <v>291</v>
      </c>
      <c r="D294" s="440" t="e">
        <f>[1]!Edate(D293,1)</f>
        <v>#NAME?</v>
      </c>
      <c r="E294" s="441" t="e">
        <f t="shared" si="54"/>
        <v>#NAME?</v>
      </c>
      <c r="F294" s="460" t="e">
        <f>'Commercial Sizing'!$J$12/12</f>
        <v>#DIV/0!</v>
      </c>
      <c r="G294" s="460" t="e">
        <f>I293*(E294/360)*'Commercial Sizing'!$J$11</f>
        <v>#DIV/0!</v>
      </c>
      <c r="H294" s="460" t="e">
        <f t="shared" si="55"/>
        <v>#DIV/0!</v>
      </c>
      <c r="I294" s="460" t="e">
        <f t="shared" si="56"/>
        <v>#DIV/0!</v>
      </c>
    </row>
    <row r="295" spans="3:9" ht="12.75">
      <c r="C295" s="98">
        <v>292</v>
      </c>
      <c r="D295" s="440" t="e">
        <f>[1]!Edate(D294,1)</f>
        <v>#NAME?</v>
      </c>
      <c r="E295" s="441" t="e">
        <f t="shared" si="54"/>
        <v>#NAME?</v>
      </c>
      <c r="F295" s="460" t="e">
        <f>'Commercial Sizing'!$J$12/12</f>
        <v>#DIV/0!</v>
      </c>
      <c r="G295" s="460" t="e">
        <f>I294*(E295/360)*'Commercial Sizing'!$J$11</f>
        <v>#DIV/0!</v>
      </c>
      <c r="H295" s="460" t="e">
        <f t="shared" si="55"/>
        <v>#DIV/0!</v>
      </c>
      <c r="I295" s="460" t="e">
        <f t="shared" si="56"/>
        <v>#DIV/0!</v>
      </c>
    </row>
    <row r="296" spans="3:9" ht="12.75">
      <c r="C296" s="98">
        <v>293</v>
      </c>
      <c r="D296" s="440" t="e">
        <f>[1]!Edate(D295,1)</f>
        <v>#NAME?</v>
      </c>
      <c r="E296" s="441" t="e">
        <f t="shared" si="54"/>
        <v>#NAME?</v>
      </c>
      <c r="F296" s="460" t="e">
        <f>'Commercial Sizing'!$J$12/12</f>
        <v>#DIV/0!</v>
      </c>
      <c r="G296" s="460" t="e">
        <f>I295*(E296/360)*'Commercial Sizing'!$J$11</f>
        <v>#DIV/0!</v>
      </c>
      <c r="H296" s="460" t="e">
        <f t="shared" si="55"/>
        <v>#DIV/0!</v>
      </c>
      <c r="I296" s="460" t="e">
        <f t="shared" si="56"/>
        <v>#DIV/0!</v>
      </c>
    </row>
    <row r="297" spans="3:9" ht="12.75">
      <c r="C297" s="98">
        <v>294</v>
      </c>
      <c r="D297" s="440" t="e">
        <f>[1]!Edate(D296,1)</f>
        <v>#NAME?</v>
      </c>
      <c r="E297" s="441" t="e">
        <f t="shared" si="54"/>
        <v>#NAME?</v>
      </c>
      <c r="F297" s="460" t="e">
        <f>'Commercial Sizing'!$J$12/12</f>
        <v>#DIV/0!</v>
      </c>
      <c r="G297" s="460" t="e">
        <f>I296*(E297/360)*'Commercial Sizing'!$J$11</f>
        <v>#DIV/0!</v>
      </c>
      <c r="H297" s="460" t="e">
        <f t="shared" si="55"/>
        <v>#DIV/0!</v>
      </c>
      <c r="I297" s="460" t="e">
        <f t="shared" si="56"/>
        <v>#DIV/0!</v>
      </c>
    </row>
    <row r="298" spans="3:9" ht="12.75">
      <c r="C298" s="98">
        <v>295</v>
      </c>
      <c r="D298" s="440" t="e">
        <f>[1]!Edate(D297,1)</f>
        <v>#NAME?</v>
      </c>
      <c r="E298" s="441" t="e">
        <f t="shared" si="54"/>
        <v>#NAME?</v>
      </c>
      <c r="F298" s="460" t="e">
        <f>'Commercial Sizing'!$J$12/12</f>
        <v>#DIV/0!</v>
      </c>
      <c r="G298" s="460" t="e">
        <f>I297*(E298/360)*'Commercial Sizing'!$J$11</f>
        <v>#DIV/0!</v>
      </c>
      <c r="H298" s="460" t="e">
        <f t="shared" si="55"/>
        <v>#DIV/0!</v>
      </c>
      <c r="I298" s="460" t="e">
        <f t="shared" si="56"/>
        <v>#DIV/0!</v>
      </c>
    </row>
    <row r="299" spans="3:9" ht="12.75">
      <c r="C299" s="98">
        <v>296</v>
      </c>
      <c r="D299" s="440" t="e">
        <f>[1]!Edate(D298,1)</f>
        <v>#NAME?</v>
      </c>
      <c r="E299" s="441" t="e">
        <f t="shared" si="54"/>
        <v>#NAME?</v>
      </c>
      <c r="F299" s="460" t="e">
        <f>'Commercial Sizing'!$J$12/12</f>
        <v>#DIV/0!</v>
      </c>
      <c r="G299" s="460" t="e">
        <f>I298*(E299/360)*'Commercial Sizing'!$J$11</f>
        <v>#DIV/0!</v>
      </c>
      <c r="H299" s="460" t="e">
        <f t="shared" si="55"/>
        <v>#DIV/0!</v>
      </c>
      <c r="I299" s="460" t="e">
        <f t="shared" si="56"/>
        <v>#DIV/0!</v>
      </c>
    </row>
    <row r="300" spans="3:9" ht="12.75">
      <c r="C300" s="98">
        <v>297</v>
      </c>
      <c r="D300" s="440" t="e">
        <f>[1]!Edate(D299,1)</f>
        <v>#NAME?</v>
      </c>
      <c r="E300" s="441" t="e">
        <f t="shared" si="54"/>
        <v>#NAME?</v>
      </c>
      <c r="F300" s="460" t="e">
        <f>'Commercial Sizing'!$J$12/12</f>
        <v>#DIV/0!</v>
      </c>
      <c r="G300" s="460" t="e">
        <f>I299*(E300/360)*'Commercial Sizing'!$J$11</f>
        <v>#DIV/0!</v>
      </c>
      <c r="H300" s="460" t="e">
        <f t="shared" si="55"/>
        <v>#DIV/0!</v>
      </c>
      <c r="I300" s="460" t="e">
        <f t="shared" si="56"/>
        <v>#DIV/0!</v>
      </c>
    </row>
    <row r="301" spans="3:9" ht="12.75">
      <c r="C301" s="98">
        <v>298</v>
      </c>
      <c r="D301" s="440" t="e">
        <f>[1]!Edate(D300,1)</f>
        <v>#NAME?</v>
      </c>
      <c r="E301" s="441" t="e">
        <f t="shared" si="54"/>
        <v>#NAME?</v>
      </c>
      <c r="F301" s="460" t="e">
        <f>'Commercial Sizing'!$J$12/12</f>
        <v>#DIV/0!</v>
      </c>
      <c r="G301" s="460" t="e">
        <f>I300*(E301/360)*'Commercial Sizing'!$J$11</f>
        <v>#DIV/0!</v>
      </c>
      <c r="H301" s="460" t="e">
        <f t="shared" si="55"/>
        <v>#DIV/0!</v>
      </c>
      <c r="I301" s="460" t="e">
        <f t="shared" si="56"/>
        <v>#DIV/0!</v>
      </c>
    </row>
    <row r="302" spans="3:9" ht="12.75">
      <c r="C302" s="98">
        <v>299</v>
      </c>
      <c r="D302" s="440" t="e">
        <f>[1]!Edate(D301,1)</f>
        <v>#NAME?</v>
      </c>
      <c r="E302" s="441" t="e">
        <f t="shared" si="54"/>
        <v>#NAME?</v>
      </c>
      <c r="F302" s="460" t="e">
        <f>'Commercial Sizing'!$J$12/12</f>
        <v>#DIV/0!</v>
      </c>
      <c r="G302" s="460" t="e">
        <f>I301*(E302/360)*'Commercial Sizing'!$J$11</f>
        <v>#DIV/0!</v>
      </c>
      <c r="H302" s="460" t="e">
        <f t="shared" si="55"/>
        <v>#DIV/0!</v>
      </c>
      <c r="I302" s="460" t="e">
        <f t="shared" si="56"/>
        <v>#DIV/0!</v>
      </c>
    </row>
    <row r="303" spans="3:9" ht="12.75">
      <c r="C303" s="98">
        <v>300</v>
      </c>
      <c r="D303" s="440" t="e">
        <f>[1]!Edate(D302,1)</f>
        <v>#NAME?</v>
      </c>
      <c r="E303" s="441" t="e">
        <f t="shared" si="54"/>
        <v>#NAME?</v>
      </c>
      <c r="F303" s="460" t="e">
        <f>'Commercial Sizing'!$J$12/12</f>
        <v>#DIV/0!</v>
      </c>
      <c r="G303" s="460" t="e">
        <f>I302*(E303/360)*'Commercial Sizing'!$J$11</f>
        <v>#DIV/0!</v>
      </c>
      <c r="H303" s="460" t="e">
        <f t="shared" si="55"/>
        <v>#DIV/0!</v>
      </c>
      <c r="I303" s="460" t="e">
        <f t="shared" si="56"/>
        <v>#DIV/0!</v>
      </c>
    </row>
    <row r="304" ht="12.75">
      <c r="D304" s="440" t="e">
        <f>[1]!Edate(D303,1)</f>
        <v>#NAME?</v>
      </c>
    </row>
    <row r="305" ht="12.75">
      <c r="D305" s="440"/>
    </row>
    <row r="306" ht="12.75">
      <c r="D306" s="440"/>
    </row>
    <row r="307" ht="12.75">
      <c r="D307" s="440"/>
    </row>
    <row r="308" ht="12.75">
      <c r="D308" s="440"/>
    </row>
    <row r="309" ht="12.75">
      <c r="D309" s="440"/>
    </row>
    <row r="310" ht="12.75">
      <c r="D310" s="440"/>
    </row>
    <row r="311" ht="12.75">
      <c r="D311" s="440"/>
    </row>
    <row r="312" ht="12.75">
      <c r="D312" s="440"/>
    </row>
    <row r="313" ht="12.75">
      <c r="D313" s="440"/>
    </row>
    <row r="314" ht="12.75">
      <c r="D314" s="440"/>
    </row>
    <row r="315" ht="12.75">
      <c r="D315" s="440"/>
    </row>
  </sheetData>
  <sheetProtection sheet="1" objects="1" scenarios="1"/>
  <printOptions/>
  <pageMargins left="0.29" right="0.33" top="1" bottom="1" header="0.52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b16771</cp:lastModifiedBy>
  <cp:lastPrinted>2005-02-17T19:29:54Z</cp:lastPrinted>
  <dcterms:created xsi:type="dcterms:W3CDTF">1998-04-03T21:24:36Z</dcterms:created>
  <dcterms:modified xsi:type="dcterms:W3CDTF">2012-05-14T19:35:46Z</dcterms:modified>
  <cp:category/>
  <cp:version/>
  <cp:contentType/>
  <cp:contentStatus/>
</cp:coreProperties>
</file>