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autoCompressPictures="0"/>
  <bookViews>
    <workbookView xWindow="0" yWindow="460" windowWidth="11240" windowHeight="6580" firstSheet="1" activeTab="7"/>
  </bookViews>
  <sheets>
    <sheet name="Agency finances (Grader)" sheetId="2" state="hidden" r:id="rId1"/>
    <sheet name="Client's funnel analysis" sheetId="7" r:id="rId2"/>
    <sheet name="Value analysis" sheetId="6" r:id="rId3"/>
    <sheet name="Inbound Marketing Goals" sheetId="4" state="hidden" r:id="rId4"/>
    <sheet name="Pricing" sheetId="1" state="hidden" r:id="rId5"/>
    <sheet name="Plan" sheetId="5" r:id="rId6"/>
    <sheet name="Timeline of results (old)" sheetId="10" state="hidden" r:id="rId7"/>
    <sheet name="Timeline of results" sheetId="11" r:id="rId8"/>
    <sheet name="Plan &amp; Cost -original" sheetId="8" state="hidden" r:id="rId9"/>
  </sheets>
  <definedNames>
    <definedName name="_xlnm.Print_Area" localSheetId="3">'Inbound Marketing Goals'!$A$1:$P$38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8" i="11" l="1"/>
  <c r="K32" i="11"/>
  <c r="O7" i="11"/>
  <c r="O8" i="11"/>
  <c r="O9" i="11"/>
  <c r="O10" i="11"/>
  <c r="O11" i="11"/>
  <c r="O12" i="11"/>
  <c r="O13" i="11"/>
  <c r="O14" i="11"/>
  <c r="O15" i="11"/>
  <c r="O16" i="11"/>
  <c r="O17" i="11"/>
  <c r="O18" i="11"/>
  <c r="O19" i="11"/>
  <c r="O20" i="11"/>
  <c r="K33" i="11"/>
  <c r="K31" i="11"/>
  <c r="K30" i="11"/>
  <c r="K29" i="11"/>
  <c r="K28" i="11"/>
  <c r="D7" i="11"/>
  <c r="D21" i="11"/>
  <c r="G22" i="11"/>
  <c r="D15" i="11"/>
  <c r="C9" i="7"/>
  <c r="D12" i="11"/>
  <c r="D11" i="11"/>
  <c r="D10" i="11"/>
  <c r="P6" i="11"/>
  <c r="P7" i="11"/>
  <c r="G8" i="11"/>
  <c r="G16" i="11"/>
  <c r="F8" i="11"/>
  <c r="F16" i="11"/>
  <c r="F22" i="11"/>
  <c r="D27" i="11"/>
  <c r="O6" i="11"/>
  <c r="P8" i="11"/>
  <c r="I21" i="5"/>
  <c r="E6" i="7"/>
  <c r="E5" i="7"/>
  <c r="E4" i="7"/>
  <c r="E5" i="5"/>
  <c r="E4" i="5"/>
  <c r="E6" i="5"/>
  <c r="E7" i="5"/>
  <c r="G5" i="5"/>
  <c r="G4" i="5"/>
  <c r="G8" i="5"/>
  <c r="G10" i="5"/>
  <c r="O27" i="5"/>
  <c r="J37" i="5"/>
  <c r="G21" i="5"/>
  <c r="H37" i="5"/>
  <c r="E21" i="5"/>
  <c r="F37" i="5"/>
  <c r="C8" i="7"/>
  <c r="D9" i="7"/>
  <c r="D5" i="7"/>
  <c r="P27" i="5"/>
  <c r="P38" i="5"/>
  <c r="O38" i="5"/>
  <c r="N27" i="5"/>
  <c r="N38" i="5"/>
  <c r="D11" i="10"/>
  <c r="D10" i="10"/>
  <c r="D8" i="10"/>
  <c r="O6" i="10"/>
  <c r="D7" i="10"/>
  <c r="D15" i="10"/>
  <c r="P6" i="10"/>
  <c r="O7" i="10"/>
  <c r="P7" i="10"/>
  <c r="O8" i="10"/>
  <c r="F8" i="10"/>
  <c r="O23" i="5"/>
  <c r="P23" i="5"/>
  <c r="N23" i="5"/>
  <c r="I27" i="8"/>
  <c r="G27" i="8"/>
  <c r="E27" i="8"/>
  <c r="I25" i="8"/>
  <c r="G25" i="8"/>
  <c r="E25" i="8"/>
  <c r="I24" i="8"/>
  <c r="G24" i="8"/>
  <c r="E24" i="8"/>
  <c r="I23" i="8"/>
  <c r="G23" i="8"/>
  <c r="E23" i="8"/>
  <c r="I21" i="8"/>
  <c r="G21" i="8"/>
  <c r="E21" i="8"/>
  <c r="I20" i="8"/>
  <c r="G20" i="8"/>
  <c r="E20" i="8"/>
  <c r="I19" i="8"/>
  <c r="G19" i="8"/>
  <c r="E19" i="8"/>
  <c r="I17" i="8"/>
  <c r="G17" i="8"/>
  <c r="E17" i="8"/>
  <c r="I16" i="8"/>
  <c r="G16" i="8"/>
  <c r="E16" i="8"/>
  <c r="I15" i="8"/>
  <c r="G15" i="8"/>
  <c r="E15" i="8"/>
  <c r="H3" i="8"/>
  <c r="F3" i="8"/>
  <c r="D3" i="8"/>
  <c r="I4" i="5"/>
  <c r="C31" i="6"/>
  <c r="D8" i="7"/>
  <c r="C27" i="6"/>
  <c r="C9" i="6"/>
  <c r="C15" i="6"/>
  <c r="C19" i="6"/>
  <c r="C29" i="6"/>
  <c r="C32" i="6"/>
  <c r="E44" i="5"/>
  <c r="C23" i="2"/>
  <c r="C28" i="2"/>
  <c r="I28" i="8"/>
  <c r="G28" i="8"/>
  <c r="G29" i="8"/>
  <c r="I29" i="8"/>
  <c r="E28" i="8"/>
  <c r="E29" i="8"/>
  <c r="C12" i="2"/>
  <c r="E30" i="8"/>
  <c r="E31" i="8"/>
  <c r="G30" i="8"/>
  <c r="G31" i="8"/>
  <c r="I30" i="8"/>
  <c r="I31" i="8"/>
  <c r="D7" i="1"/>
  <c r="D10" i="1"/>
  <c r="E33" i="1"/>
  <c r="D5" i="1"/>
  <c r="E18" i="1"/>
  <c r="E9" i="1"/>
  <c r="C39" i="2"/>
  <c r="C7" i="2"/>
  <c r="C14" i="2"/>
  <c r="E27" i="1"/>
  <c r="E10" i="1"/>
  <c r="E14" i="1"/>
  <c r="E5" i="1"/>
  <c r="C17" i="2"/>
  <c r="E17" i="2"/>
  <c r="C34" i="2"/>
  <c r="E16" i="1"/>
  <c r="E19" i="1"/>
  <c r="F18" i="4"/>
  <c r="E25" i="1"/>
  <c r="E26" i="1"/>
  <c r="D13" i="1"/>
  <c r="D18" i="1"/>
  <c r="C40" i="2"/>
  <c r="E40" i="2"/>
  <c r="G25" i="4"/>
  <c r="F25" i="4"/>
  <c r="F32" i="4"/>
  <c r="D14" i="1"/>
  <c r="D16" i="1"/>
  <c r="D19" i="1"/>
  <c r="G32" i="4"/>
  <c r="D21" i="10"/>
  <c r="G22" i="10"/>
  <c r="G8" i="10"/>
  <c r="H4" i="8"/>
  <c r="H7" i="8"/>
  <c r="F4" i="8"/>
  <c r="F5" i="8"/>
  <c r="F6" i="8"/>
  <c r="H5" i="8"/>
  <c r="H6" i="8"/>
  <c r="I5" i="5"/>
  <c r="I8" i="5"/>
  <c r="F7" i="8"/>
  <c r="I14" i="5"/>
  <c r="P8" i="10"/>
  <c r="O9" i="10"/>
  <c r="O10" i="10"/>
  <c r="O11" i="10"/>
  <c r="D4" i="7"/>
  <c r="D12" i="10"/>
  <c r="F16" i="10"/>
  <c r="G16" i="10"/>
  <c r="F22" i="10"/>
  <c r="D27" i="10"/>
  <c r="I15" i="5"/>
  <c r="I16" i="5"/>
  <c r="D4" i="8"/>
  <c r="G6" i="5"/>
  <c r="G7" i="5"/>
  <c r="P9" i="10"/>
  <c r="P10" i="10"/>
  <c r="P11" i="10"/>
  <c r="D17" i="10"/>
  <c r="O12" i="10"/>
  <c r="O13" i="10"/>
  <c r="O14" i="10"/>
  <c r="O15" i="10"/>
  <c r="O16" i="10"/>
  <c r="O17" i="10"/>
  <c r="D16" i="10"/>
  <c r="D18" i="10"/>
  <c r="D7" i="8"/>
  <c r="D5" i="8"/>
  <c r="D6" i="8"/>
  <c r="E10" i="8"/>
  <c r="D22" i="10"/>
  <c r="O18" i="10"/>
  <c r="O19" i="10"/>
  <c r="O20" i="10"/>
  <c r="P12" i="10"/>
  <c r="P13" i="10"/>
  <c r="P14" i="10"/>
  <c r="P15" i="10"/>
  <c r="P16" i="10"/>
  <c r="P17" i="10"/>
  <c r="P18" i="10"/>
  <c r="P19" i="10"/>
  <c r="P20" i="10"/>
  <c r="D23" i="10"/>
  <c r="D29" i="10"/>
  <c r="D28" i="10"/>
  <c r="D24" i="10"/>
  <c r="D30" i="10"/>
  <c r="D16" i="11"/>
  <c r="D18" i="11"/>
  <c r="P9" i="11"/>
  <c r="P10" i="11"/>
  <c r="P11" i="11"/>
  <c r="E8" i="5"/>
  <c r="E18" i="5"/>
  <c r="G11" i="5"/>
  <c r="G12" i="5"/>
  <c r="I6" i="5"/>
  <c r="I7" i="5"/>
  <c r="D22" i="11"/>
  <c r="P12" i="11"/>
  <c r="P13" i="11"/>
  <c r="P14" i="11"/>
  <c r="P15" i="11"/>
  <c r="P16" i="11"/>
  <c r="P17" i="11"/>
  <c r="D17" i="11"/>
  <c r="I25" i="5"/>
  <c r="J25" i="5"/>
  <c r="I27" i="5"/>
  <c r="J27" i="5"/>
  <c r="I30" i="5"/>
  <c r="J30" i="5"/>
  <c r="I33" i="5"/>
  <c r="J33" i="5"/>
  <c r="I35" i="5"/>
  <c r="J35" i="5"/>
  <c r="G25" i="5"/>
  <c r="H25" i="5"/>
  <c r="G27" i="5"/>
  <c r="H27" i="5"/>
  <c r="G30" i="5"/>
  <c r="H30" i="5"/>
  <c r="G33" i="5"/>
  <c r="H33" i="5"/>
  <c r="G35" i="5"/>
  <c r="H35" i="5"/>
  <c r="E25" i="5"/>
  <c r="F25" i="5"/>
  <c r="E27" i="5"/>
  <c r="F27" i="5"/>
  <c r="E30" i="5"/>
  <c r="F30" i="5"/>
  <c r="E33" i="5"/>
  <c r="F33" i="5"/>
  <c r="G26" i="5"/>
  <c r="H26" i="5"/>
  <c r="G36" i="5"/>
  <c r="H36" i="5"/>
  <c r="E26" i="5"/>
  <c r="F26" i="5"/>
  <c r="E31" i="5"/>
  <c r="F31" i="5"/>
  <c r="E36" i="5"/>
  <c r="F36" i="5"/>
  <c r="E35" i="5"/>
  <c r="F35" i="5"/>
  <c r="I29" i="5"/>
  <c r="J29" i="5"/>
  <c r="I31" i="5"/>
  <c r="J31" i="5"/>
  <c r="I34" i="5"/>
  <c r="J34" i="5"/>
  <c r="I36" i="5"/>
  <c r="J36" i="5"/>
  <c r="G29" i="5"/>
  <c r="H29" i="5"/>
  <c r="G31" i="5"/>
  <c r="H31" i="5"/>
  <c r="G34" i="5"/>
  <c r="H34" i="5"/>
  <c r="E29" i="5"/>
  <c r="F29" i="5"/>
  <c r="E34" i="5"/>
  <c r="F34" i="5"/>
  <c r="I26" i="5"/>
  <c r="J26" i="5"/>
  <c r="D24" i="11"/>
  <c r="D30" i="11"/>
  <c r="D28" i="11"/>
  <c r="D23" i="11"/>
  <c r="D29" i="11"/>
  <c r="P18" i="11"/>
  <c r="P19" i="11"/>
  <c r="P20" i="11"/>
  <c r="F38" i="5"/>
  <c r="H38" i="5"/>
  <c r="J38" i="5"/>
  <c r="H39" i="5"/>
  <c r="G42" i="5"/>
  <c r="I42" i="5"/>
  <c r="J39" i="5"/>
  <c r="E45" i="5"/>
  <c r="E42" i="5"/>
  <c r="F39" i="5"/>
</calcChain>
</file>

<file path=xl/comments1.xml><?xml version="1.0" encoding="utf-8"?>
<comments xmlns="http://schemas.openxmlformats.org/spreadsheetml/2006/main">
  <authors>
    <author>Arjun Moorthy</author>
  </authors>
  <commentList>
    <comment ref="B15" authorId="0">
      <text>
        <r>
          <rPr>
            <b/>
            <sz val="9"/>
            <color indexed="81"/>
            <rFont val="Tahoma"/>
            <family val="2"/>
          </rPr>
          <t>Arjun Moorthy:</t>
        </r>
        <r>
          <rPr>
            <sz val="9"/>
            <color indexed="81"/>
            <rFont val="Tahoma"/>
            <family val="2"/>
          </rPr>
          <t xml:space="preserve">
FTEs calculation for freelancers can be calculated by adding all outsourced hours and dividing by 40 hrs/week</t>
        </r>
      </text>
    </comment>
    <comment ref="B17" authorId="0">
      <text>
        <r>
          <rPr>
            <b/>
            <sz val="9"/>
            <color indexed="81"/>
            <rFont val="Tahoma"/>
            <family val="2"/>
          </rPr>
          <t>Arjun Moorthy:</t>
        </r>
        <r>
          <rPr>
            <sz val="9"/>
            <color indexed="81"/>
            <rFont val="Tahoma"/>
            <family val="2"/>
          </rPr>
          <t xml:space="preserve">
Net Revenue is revenue after advertising and any pass-through expenses subtracted</t>
        </r>
      </text>
    </comment>
  </commentList>
</comments>
</file>

<file path=xl/comments2.xml><?xml version="1.0" encoding="utf-8"?>
<comments xmlns="http://schemas.openxmlformats.org/spreadsheetml/2006/main">
  <authors>
    <author>Arjun Moorthy</author>
  </authors>
  <commentList>
    <comment ref="B7" authorId="0">
      <text>
        <r>
          <rPr>
            <b/>
            <sz val="9"/>
            <color indexed="81"/>
            <rFont val="Tahoma"/>
            <family val="2"/>
          </rPr>
          <t>Arjun Moorthy:</t>
        </r>
        <r>
          <rPr>
            <sz val="9"/>
            <color indexed="81"/>
            <rFont val="Tahoma"/>
            <family val="2"/>
          </rPr>
          <t xml:space="preserve">
Can be any frequency of purchase - monthly, quarterly etc</t>
        </r>
      </text>
    </comment>
    <comment ref="B8" authorId="0">
      <text>
        <r>
          <rPr>
            <b/>
            <sz val="9"/>
            <color indexed="81"/>
            <rFont val="Tahoma"/>
            <family val="2"/>
          </rPr>
          <t>Arjun Moorthy:</t>
        </r>
        <r>
          <rPr>
            <sz val="9"/>
            <color indexed="81"/>
            <rFont val="Tahoma"/>
            <family val="2"/>
          </rPr>
          <t xml:space="preserve">
Must be at same frequency as purchase line above</t>
        </r>
      </text>
    </comment>
    <comment ref="C29" authorId="0">
      <text>
        <r>
          <rPr>
            <b/>
            <sz val="9"/>
            <color indexed="81"/>
            <rFont val="Tahoma"/>
            <family val="2"/>
          </rPr>
          <t>Arjun Moorthy:</t>
        </r>
        <r>
          <rPr>
            <sz val="9"/>
            <color indexed="81"/>
            <rFont val="Tahoma"/>
            <family val="2"/>
          </rPr>
          <t xml:space="preserve">
Suggested price is the higher of current COCA or 10% of LTV.  10% of LTV is roughly the same as saying a 25% return on that marketing investment if the LTV is over 10 years.  If shorter timeframe even better investment</t>
        </r>
      </text>
    </comment>
    <comment ref="C32" authorId="0">
      <text>
        <r>
          <rPr>
            <b/>
            <sz val="9"/>
            <color indexed="81"/>
            <rFont val="Tahoma"/>
            <family val="2"/>
          </rPr>
          <t>Arjun Moorthy:</t>
        </r>
        <r>
          <rPr>
            <sz val="9"/>
            <color indexed="81"/>
            <rFont val="Tahoma"/>
            <family val="2"/>
          </rPr>
          <t xml:space="preserve">
You can go higher than this amount if client in high growth mode but you can also go lower if you are not an established agency</t>
        </r>
      </text>
    </comment>
  </commentList>
</comments>
</file>

<file path=xl/comments3.xml><?xml version="1.0" encoding="utf-8"?>
<comments xmlns="http://schemas.openxmlformats.org/spreadsheetml/2006/main">
  <authors>
    <author>Greg Elwell</author>
  </authors>
  <commentList>
    <comment ref="C6" authorId="0">
      <text>
        <r>
          <rPr>
            <b/>
            <sz val="8"/>
            <color indexed="81"/>
            <rFont val="Tahoma"/>
            <family val="2"/>
          </rPr>
          <t>New monthly revenue is incremental to what you're currently achieving. Think in terms of revenue generated from new inbound marketing lead generation activities.</t>
        </r>
      </text>
    </comment>
    <comment ref="C15" author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C20" authorId="0">
      <text>
        <r>
          <rPr>
            <b/>
            <sz val="8"/>
            <color indexed="81"/>
            <rFont val="Tahoma"/>
            <family val="2"/>
          </rPr>
          <t xml:space="preserve">Conversion rate is found by taking the number of new customers you acquire each month and dividing by the number of leads generated and worked.
</t>
        </r>
      </text>
    </comment>
    <comment ref="C27" authorId="0">
      <text>
        <r>
          <rPr>
            <b/>
            <sz val="8"/>
            <color indexed="81"/>
            <rFont val="Tahoma"/>
            <family val="2"/>
          </rPr>
          <t>Be relatively conservative. Remember it's just a target. You can adjust later as you accumulate actual data from your inbound marketing efforts.</t>
        </r>
      </text>
    </comment>
  </commentList>
</comments>
</file>

<file path=xl/comments4.xml><?xml version="1.0" encoding="utf-8"?>
<comments xmlns="http://schemas.openxmlformats.org/spreadsheetml/2006/main">
  <authors>
    <author>Arjun Moorthy</author>
  </authors>
  <commentList>
    <comment ref="E18" authorId="0">
      <text>
        <r>
          <rPr>
            <b/>
            <sz val="9"/>
            <color indexed="81"/>
            <rFont val="Tahoma"/>
            <family val="2"/>
          </rPr>
          <t>Arjun Moorthy:</t>
        </r>
        <r>
          <rPr>
            <sz val="9"/>
            <color indexed="81"/>
            <rFont val="Tahoma"/>
            <family val="2"/>
          </rPr>
          <t xml:space="preserve">
See comments in N4 for the logic behind this</t>
        </r>
      </text>
    </comment>
    <comment ref="E21" authorId="0">
      <text>
        <r>
          <rPr>
            <b/>
            <sz val="9"/>
            <color indexed="81"/>
            <rFont val="Tahoma"/>
            <family val="2"/>
          </rPr>
          <t>Arjun Moorthy:</t>
        </r>
        <r>
          <rPr>
            <sz val="9"/>
            <color indexed="81"/>
            <rFont val="Tahoma"/>
            <family val="2"/>
          </rPr>
          <t xml:space="preserve">
4 hrs/week (16 hrs/mth) is the bare minimum investment for any Inbound marketing effort</t>
        </r>
      </text>
    </comment>
    <comment ref="G21" authorId="0">
      <text>
        <r>
          <rPr>
            <b/>
            <sz val="9"/>
            <color indexed="81"/>
            <rFont val="Tahoma"/>
            <family val="2"/>
          </rPr>
          <t>Arjun Moorthy:</t>
        </r>
        <r>
          <rPr>
            <sz val="9"/>
            <color indexed="81"/>
            <rFont val="Tahoma"/>
            <family val="2"/>
          </rPr>
          <t xml:space="preserve">
6 hrs/week is the recommended minimum for Inbound marketing effort that will yield the low end of the results on the "Timeline of results" tab</t>
        </r>
      </text>
    </comment>
    <comment ref="I21" authorId="0">
      <text>
        <r>
          <rPr>
            <b/>
            <sz val="9"/>
            <color indexed="81"/>
            <rFont val="Tahoma"/>
            <family val="2"/>
          </rPr>
          <t>Arjun Moorthy:</t>
        </r>
        <r>
          <rPr>
            <sz val="9"/>
            <color indexed="81"/>
            <rFont val="Tahoma"/>
            <family val="2"/>
          </rPr>
          <t xml:space="preserve">
10 hrs/week is the probale maximum for Inbound marketing effort that will yield the high end of the results on the "Timeline of results" tab</t>
        </r>
      </text>
    </comment>
    <comment ref="D22" authorId="0">
      <text>
        <r>
          <rPr>
            <b/>
            <sz val="9"/>
            <color indexed="81"/>
            <rFont val="Tahoma"/>
            <family val="2"/>
          </rPr>
          <t>Arjun Moorthy:</t>
        </r>
        <r>
          <rPr>
            <sz val="9"/>
            <color indexed="81"/>
            <rFont val="Tahoma"/>
            <family val="2"/>
          </rPr>
          <t xml:space="preserve">
Fully loaded costs includes overheads (usually 30%) and utlization (typical is 60-80%).  E.g. $50/hr gross rate * 1.30 loading factor / 70% utilizted = $92/hr fully loaded effective cost</t>
        </r>
      </text>
    </comment>
    <comment ref="C40" authorId="0">
      <text>
        <r>
          <rPr>
            <b/>
            <sz val="9"/>
            <color indexed="81"/>
            <rFont val="Tahoma"/>
            <family val="2"/>
          </rPr>
          <t>Arjun Moorthy:</t>
        </r>
        <r>
          <rPr>
            <sz val="9"/>
            <color indexed="81"/>
            <rFont val="Tahoma"/>
            <family val="2"/>
          </rPr>
          <t xml:space="preserve">
Average operating margins, which is net margin plus tax rate, are generally in the 30-45% range</t>
        </r>
      </text>
    </comment>
    <comment ref="C41" authorId="0">
      <text>
        <r>
          <rPr>
            <b/>
            <sz val="9"/>
            <color indexed="81"/>
            <rFont val="Tahoma"/>
            <family val="2"/>
          </rPr>
          <t>Arjun Moorthy:</t>
        </r>
        <r>
          <rPr>
            <sz val="9"/>
            <color indexed="81"/>
            <rFont val="Tahoma"/>
            <family val="2"/>
          </rPr>
          <t xml:space="preserve">
Insert list HubSpot price at level of contacts for client</t>
        </r>
      </text>
    </comment>
    <comment ref="E45" authorId="0">
      <text>
        <r>
          <rPr>
            <b/>
            <sz val="9"/>
            <color indexed="81"/>
            <rFont val="Tahoma"/>
            <family val="2"/>
          </rPr>
          <t>Arjun Moorthy:</t>
        </r>
        <r>
          <rPr>
            <sz val="9"/>
            <color indexed="81"/>
            <rFont val="Tahoma"/>
            <family val="2"/>
          </rPr>
          <t xml:space="preserve">
This is determined by which of the plans below has a cost that keeps you above your desired operating margin</t>
        </r>
      </text>
    </comment>
  </commentList>
</comments>
</file>

<file path=xl/sharedStrings.xml><?xml version="1.0" encoding="utf-8"?>
<sst xmlns="http://schemas.openxmlformats.org/spreadsheetml/2006/main" count="449" uniqueCount="297">
  <si>
    <t>HubSpot comparable</t>
  </si>
  <si>
    <t>Average revenue/mth of each customer</t>
  </si>
  <si>
    <t>Gross margin of customer</t>
  </si>
  <si>
    <t>Lifetime value of customer</t>
  </si>
  <si>
    <t>Profit per customer (before G&amp;A and R&amp;D costs )</t>
  </si>
  <si>
    <t>LTV:COCA ratio</t>
  </si>
  <si>
    <t>Time to profitability with each customer (months)</t>
  </si>
  <si>
    <t>&lt;--- You want this to be more than 3 to cover G&amp;A and R&amp;D costs</t>
  </si>
  <si>
    <t>Marketing COCA</t>
  </si>
  <si>
    <t>Sales COCA</t>
  </si>
  <si>
    <t>Determine Lifetime Value of customer (LTV)</t>
  </si>
  <si>
    <t>&lt;--- Gross margin mean you subtract out any expenses involved with delivering your product</t>
  </si>
  <si>
    <t>&lt;--- This is gross margin value of each customer over their lifetime</t>
  </si>
  <si>
    <t>Overall firm profitability</t>
  </si>
  <si>
    <t>Number of customers with recurring revenue</t>
  </si>
  <si>
    <t>Gross revenue per month</t>
  </si>
  <si>
    <t>Calculate Gross Margin</t>
  </si>
  <si>
    <t>Non-staff cost directly attributable to customer-facing work (per mth)</t>
  </si>
  <si>
    <t>How many active retainer clients do you currently have? (total number)</t>
  </si>
  <si>
    <t>What is the average amount per month of the retainers you receive? (dollar amount per month)</t>
  </si>
  <si>
    <t>For your project work (not retainer), what is the average amount you receive per project (dollar amount per project)</t>
  </si>
  <si>
    <t>How many new projects do you sell per month?</t>
  </si>
  <si>
    <t>Retainer revenue/mth</t>
  </si>
  <si>
    <t>Project revenue/mth</t>
  </si>
  <si>
    <t>Total Monthly revenue</t>
  </si>
  <si>
    <t>What is your monthly revenue goal?</t>
  </si>
  <si>
    <t>How many months from now would you like to achieve this goal?</t>
  </si>
  <si>
    <t>What is the average length of your retainers? (months)</t>
  </si>
  <si>
    <t>On average how many new retainer clients do you secure per month? (number per month)</t>
  </si>
  <si>
    <t>Do you have a list of questions you use to qualify whether a lead is a good fit for you and whether you can help them?</t>
  </si>
  <si>
    <t>No</t>
  </si>
  <si>
    <t>Do you have a process for helping your prospects set reasonable goals and a plan to help achieve them?</t>
  </si>
  <si>
    <t>Do you use a customer relationship management system to track sales activity, performance and forecast revenue?</t>
  </si>
  <si>
    <t>Is your sales process built to help you hit your growth goal?</t>
  </si>
  <si>
    <t>Revenue goal</t>
  </si>
  <si>
    <t>Growth rate</t>
  </si>
  <si>
    <t>Revenue growth rate/mth</t>
  </si>
  <si>
    <t>Current revenue shortfall/mth</t>
  </si>
  <si>
    <t>Time to reach goal (months)</t>
  </si>
  <si>
    <t>On average how many retainer clients do you lose per month? (number per month)</t>
  </si>
  <si>
    <t>Expected new customers/mth based on partner's services</t>
  </si>
  <si>
    <t>Value acquired each month</t>
  </si>
  <si>
    <t>HubSpot gets ~150 customers/mth from Inbound efforts only</t>
  </si>
  <si>
    <t>Average lifetime of customer in months (or 1 divided by monthly churn rate)</t>
  </si>
  <si>
    <t>HubSpot comparable: Mike Volpe's total team cost is ~$1M/mth, about $400k of which is program spend</t>
  </si>
  <si>
    <t>&lt;---Price services at 1/10th the value it delivers, or less</t>
  </si>
  <si>
    <t>&lt;--- When this gets to zero or less, they've achieved their goal</t>
  </si>
  <si>
    <t>% of time doing client facing work</t>
  </si>
  <si>
    <t>Average unloaded staff cost (from CEO to front-line AE)</t>
  </si>
  <si>
    <t>&lt;--- 60% billable time is common in professional services firms</t>
  </si>
  <si>
    <t>&lt;--- Volpe's team averages $135k/employee</t>
  </si>
  <si>
    <t>Inbound Marketing Traffic Calculator</t>
  </si>
  <si>
    <t>Data from Evaluation (Beige)</t>
  </si>
  <si>
    <t>Enter Inputs (Grey)</t>
  </si>
  <si>
    <t>Calculator results (Orange)</t>
  </si>
  <si>
    <t>Note: Achievement of desired results is dependent on your company's implementation of the full HubSpot Inbound Marketing Methodology over a period of time. Use this calculator to set goals.</t>
  </si>
  <si>
    <t>Step 1</t>
  </si>
  <si>
    <t>Enter your monthly booked revenue goal.</t>
  </si>
  <si>
    <r>
      <t xml:space="preserve">How much </t>
    </r>
    <r>
      <rPr>
        <b/>
        <i/>
        <sz val="11"/>
        <color indexed="8"/>
        <rFont val="Calibri"/>
        <family val="2"/>
      </rPr>
      <t>new</t>
    </r>
    <r>
      <rPr>
        <sz val="11"/>
        <color theme="1"/>
        <rFont val="Calibri"/>
        <family val="2"/>
        <scheme val="minor"/>
      </rPr>
      <t xml:space="preserve"> </t>
    </r>
    <r>
      <rPr>
        <b/>
        <i/>
        <sz val="11"/>
        <color indexed="8"/>
        <rFont val="Calibri"/>
        <family val="2"/>
      </rPr>
      <t>booked</t>
    </r>
    <r>
      <rPr>
        <sz val="11"/>
        <color theme="1"/>
        <rFont val="Calibri"/>
        <family val="2"/>
        <scheme val="minor"/>
      </rPr>
      <t xml:space="preserve"> revenue do you plan to generate each month?</t>
    </r>
  </si>
  <si>
    <t>New booked revenue:</t>
  </si>
  <si>
    <t>Enter as a whole number.  Example: 5000</t>
  </si>
  <si>
    <t>Step 2</t>
  </si>
  <si>
    <t xml:space="preserve">Enter the % of new revenue needed from inbound marketing. </t>
  </si>
  <si>
    <t xml:space="preserve">What percentage of this revenue do you need to book from Inbound Marketing as opposed to other sources of leads &amp; new clients? </t>
  </si>
  <si>
    <t xml:space="preserve">Percentage: </t>
  </si>
  <si>
    <t>Step 3</t>
  </si>
  <si>
    <r>
      <t>What's your average</t>
    </r>
    <r>
      <rPr>
        <sz val="11"/>
        <color theme="1"/>
        <rFont val="Calibri"/>
        <family val="2"/>
        <scheme val="minor"/>
      </rPr>
      <t xml:space="preserve"> lifetime revenue per customer?</t>
    </r>
  </si>
  <si>
    <t>Avg revenue per client:</t>
  </si>
  <si>
    <t>Enter as a whole number.  Example: 750</t>
  </si>
  <si>
    <t>Monthly New Customers:</t>
  </si>
  <si>
    <t>Step 4</t>
  </si>
  <si>
    <t>Calculate number of monthly leads needed to support new client goal.</t>
  </si>
  <si>
    <t xml:space="preserve">What's your  lead-to-customer conversion rate? What's your Goal? </t>
  </si>
  <si>
    <t xml:space="preserve">Current </t>
  </si>
  <si>
    <t xml:space="preserve"> Goal</t>
  </si>
  <si>
    <t>Lead-to-customer rate:</t>
  </si>
  <si>
    <t>Enter as a decimal.  Example: 5% = .05</t>
  </si>
  <si>
    <t>Monthly Leads Needed*:</t>
  </si>
  <si>
    <t>*Depends on Conversion Rate</t>
  </si>
  <si>
    <t>Step 5</t>
  </si>
  <si>
    <t>Calculate monthly traffic needed to generate required number of leads.</t>
  </si>
  <si>
    <t xml:space="preserve">What's your visitor-to-lead conversion rate. What's your goal? </t>
  </si>
  <si>
    <t>Visitor-to-lead Conversion:</t>
  </si>
  <si>
    <t>Enter as a decimal.  Example: 4% = .04</t>
  </si>
  <si>
    <t>Monthly Visitors Needed*:</t>
  </si>
  <si>
    <t>Credit:</t>
  </si>
  <si>
    <t>Greg Elwell of</t>
  </si>
  <si>
    <t>B2B Inbound</t>
  </si>
  <si>
    <t>&amp; Peter Caputa of HubSpot</t>
  </si>
  <si>
    <t>Simple assessment of growth goals, timeline and ability to make it</t>
  </si>
  <si>
    <t>Current marketing spend to acquire customers</t>
  </si>
  <si>
    <t>Customer Cost of Acquisition (COCA)</t>
  </si>
  <si>
    <t>Max price to charge for Marketing services, per month</t>
  </si>
  <si>
    <t>&lt;--- If negative number then agency is not saving customer any money</t>
  </si>
  <si>
    <t>Profitability of customer to agency</t>
  </si>
  <si>
    <t>Pricing by agency to customer</t>
  </si>
  <si>
    <t>Prospect's customer profitability</t>
  </si>
  <si>
    <t>Prospect's info</t>
  </si>
  <si>
    <t>Savings per month, if charge prospect your max price</t>
  </si>
  <si>
    <t>** Use Kuno e-book to benchmark marketing spend at at least 2% of rev but more like 6-11%</t>
  </si>
  <si>
    <t>** Use Kuno e-book on rough costs for various on-going efforts</t>
  </si>
  <si>
    <t>&lt;--- 5-10% of revenue as marketing spend is common though no lower than 2%.  HubSpot is ~15% right now</t>
  </si>
  <si>
    <t>GAP ANALYSIS (months):</t>
  </si>
  <si>
    <t>Traffic</t>
  </si>
  <si>
    <t xml:space="preserve">Leads </t>
  </si>
  <si>
    <t>New Customers</t>
  </si>
  <si>
    <t>Current</t>
  </si>
  <si>
    <t>Goal</t>
  </si>
  <si>
    <t>Monthly Increase Needed</t>
  </si>
  <si>
    <t>First Month Increase Required</t>
  </si>
  <si>
    <t>Total Improvement Needed</t>
  </si>
  <si>
    <t>RECOMMENDED PLAN:</t>
  </si>
  <si>
    <t xml:space="preserve">Fast </t>
  </si>
  <si>
    <t>Faster</t>
  </si>
  <si>
    <t>Fastest</t>
  </si>
  <si>
    <t>Time/Unit</t>
  </si>
  <si>
    <t>$/Time</t>
  </si>
  <si>
    <t>Frequency/Month</t>
  </si>
  <si>
    <t>Cost</t>
  </si>
  <si>
    <t>Ongoing Activities</t>
  </si>
  <si>
    <t>(Hours)</t>
  </si>
  <si>
    <t>($USD/Hour)</t>
  </si>
  <si>
    <t>(Number)</t>
  </si>
  <si>
    <t>($USD)</t>
  </si>
  <si>
    <t>Attract More Traffic</t>
  </si>
  <si>
    <t>Convert Traffic to Leads</t>
  </si>
  <si>
    <t>Convert Leads to Customers</t>
  </si>
  <si>
    <t>HubSpot 1K Contacts</t>
  </si>
  <si>
    <t xml:space="preserve">Project/Acct Manager </t>
  </si>
  <si>
    <t xml:space="preserve">Sales Person Commission </t>
  </si>
  <si>
    <t>Margin</t>
  </si>
  <si>
    <t>Total Monthly Investment</t>
  </si>
  <si>
    <t>Desired Margin</t>
  </si>
  <si>
    <t>Sales Commission</t>
  </si>
  <si>
    <t>&lt;--- This is "cost plus" pricing and is wrong. The agency's cost is irrelevant to the customer</t>
  </si>
  <si>
    <t>Write Blog Article</t>
  </si>
  <si>
    <t>Build Link</t>
  </si>
  <si>
    <t>Interact in Social Media</t>
  </si>
  <si>
    <t>Build Offer</t>
  </si>
  <si>
    <t>Build Landing Page</t>
  </si>
  <si>
    <t>Build CTA</t>
  </si>
  <si>
    <t>Build Lead Nurturing Sequence</t>
  </si>
  <si>
    <t>Segment Leads</t>
  </si>
  <si>
    <t>Send Email Campaign</t>
  </si>
  <si>
    <t>How many Full Time Equivalent (FTE) employees do you have?</t>
  </si>
  <si>
    <t>Retainers, or recurring revenue</t>
  </si>
  <si>
    <t>Projects, or non-recurring revenue</t>
  </si>
  <si>
    <t>Average salary of FTE</t>
  </si>
  <si>
    <t>Average utilization of FTE</t>
  </si>
  <si>
    <t>Effective cost of FTE</t>
  </si>
  <si>
    <t>Desired net margin for agency</t>
  </si>
  <si>
    <t>Corporate tax rate</t>
  </si>
  <si>
    <t>Estimated profitability</t>
  </si>
  <si>
    <t>Estimate of Agency's current financial health</t>
  </si>
  <si>
    <t>Benchmark net revenue/employee to exceed</t>
  </si>
  <si>
    <t>FTE benefits and  overheads add-on</t>
  </si>
  <si>
    <t>Calculate Lifetime Value of your client's customers</t>
  </si>
  <si>
    <t>Average revenue per customer</t>
  </si>
  <si>
    <t>Average revenue per customer (recurring purchases)</t>
  </si>
  <si>
    <t>Average number of purchases by customer over their lifetime with you</t>
  </si>
  <si>
    <t>Average revenue per single-purchase customer</t>
  </si>
  <si>
    <t>Percentage of your client base that is single-purchase</t>
  </si>
  <si>
    <t>Gross Margin of client</t>
  </si>
  <si>
    <t>Agency's Value to Client</t>
  </si>
  <si>
    <t>Revenue per customer (recurring purchases)</t>
  </si>
  <si>
    <t>Revenue per customer (non-recurring purchases)</t>
  </si>
  <si>
    <t>Client's Marketing Cost of Customer Acquisition (COCA)</t>
  </si>
  <si>
    <t>Fully loaded annual salary of FTEs involved in marketing team</t>
  </si>
  <si>
    <t>Annual Net Revenue/Employee</t>
  </si>
  <si>
    <t>Traffic/mth</t>
  </si>
  <si>
    <t>Leads/mth</t>
  </si>
  <si>
    <t>Client's Inbound funnel analysis</t>
  </si>
  <si>
    <t>Visitor:Lead conversion</t>
  </si>
  <si>
    <t>Lead:customer conversion</t>
  </si>
  <si>
    <t>Current funnel</t>
  </si>
  <si>
    <r>
      <t xml:space="preserve">Desired customers at </t>
    </r>
    <r>
      <rPr>
        <b/>
        <sz val="11"/>
        <color rgb="FF00B050"/>
        <rFont val="Calibri"/>
        <family val="2"/>
        <scheme val="minor"/>
      </rPr>
      <t>current</t>
    </r>
    <r>
      <rPr>
        <b/>
        <sz val="11"/>
        <color theme="1"/>
        <rFont val="Calibri"/>
        <family val="2"/>
        <scheme val="minor"/>
      </rPr>
      <t xml:space="preserve"> conversion rates</t>
    </r>
  </si>
  <si>
    <r>
      <t xml:space="preserve">Desired customers at </t>
    </r>
    <r>
      <rPr>
        <b/>
        <sz val="11"/>
        <color theme="9" tint="-0.249977111117893"/>
        <rFont val="Calibri"/>
        <family val="2"/>
        <scheme val="minor"/>
      </rPr>
      <t>benchmark</t>
    </r>
    <r>
      <rPr>
        <b/>
        <sz val="11"/>
        <color theme="1"/>
        <rFont val="Calibri"/>
        <family val="2"/>
        <scheme val="minor"/>
      </rPr>
      <t xml:space="preserve"> conversion rates</t>
    </r>
  </si>
  <si>
    <t>Average Lifetime Value (LTV) of customers for your client</t>
  </si>
  <si>
    <t>Marketing spend as % of revenue typically matched to growth rate</t>
  </si>
  <si>
    <t>So for 10% growth typically need to spend 10% of revenue as marketing</t>
  </si>
  <si>
    <t>Varies by industry competitiveness and whether you're established or new entrant to market</t>
  </si>
  <si>
    <t>Visitor:Leads (goal)</t>
  </si>
  <si>
    <t>Visitor:Leads (current)</t>
  </si>
  <si>
    <t>Lead:customer (current)</t>
  </si>
  <si>
    <t>Lead:customer (goal)</t>
  </si>
  <si>
    <t>Improvement needed</t>
  </si>
  <si>
    <t>Conversions</t>
  </si>
  <si>
    <t>Traffic &amp; Conversions</t>
  </si>
  <si>
    <t>Effort allocated to TOFU</t>
  </si>
  <si>
    <t>Approximate number of customers acquired annually by client (all channels)</t>
  </si>
  <si>
    <t>Customer/mth (inbound only)</t>
  </si>
  <si>
    <t>HubSpot Subscription</t>
  </si>
  <si>
    <t xml:space="preserve"> </t>
  </si>
  <si>
    <t>Industry average is 66%</t>
  </si>
  <si>
    <t>Industry average is 30%</t>
  </si>
  <si>
    <t>Industry average is 15%</t>
  </si>
  <si>
    <t>Average purchase per customer</t>
  </si>
  <si>
    <t xml:space="preserve">If traffic and lead improvement amounts are negative then focus on conversion rates </t>
  </si>
  <si>
    <t>Industry avg. from MIT report is 1%-3% but HubSpot client target is 5% (http://hubspot.com/roi)</t>
  </si>
  <si>
    <t>Month</t>
  </si>
  <si>
    <t>Leads Multiplier</t>
  </si>
  <si>
    <t>Database Size</t>
  </si>
  <si>
    <t>Current Website Performance</t>
  </si>
  <si>
    <t>Monthly Website Traffic</t>
  </si>
  <si>
    <t>Industry Average*</t>
  </si>
  <si>
    <r>
      <t>HubSpot Target</t>
    </r>
    <r>
      <rPr>
        <b/>
        <sz val="11"/>
        <color theme="1"/>
        <rFont val="Calibri"/>
        <family val="2"/>
      </rPr>
      <t>²</t>
    </r>
  </si>
  <si>
    <t>Monthly Leads from Website</t>
  </si>
  <si>
    <r>
      <t>Overall Increase in Visitors by Starting Volume of Traffic per Month</t>
    </r>
    <r>
      <rPr>
        <sz val="11"/>
        <color theme="1"/>
        <rFont val="Calibri"/>
        <family val="2"/>
      </rPr>
      <t>³</t>
    </r>
  </si>
  <si>
    <t>Current Database Size</t>
  </si>
  <si>
    <t>After active use for:</t>
  </si>
  <si>
    <t>Monthly Inbound Customer Count</t>
  </si>
  <si>
    <t>6 months</t>
  </si>
  <si>
    <t>12 months</t>
  </si>
  <si>
    <t>Target Monthly Inbound Customer Count</t>
  </si>
  <si>
    <t>1 to 199 starting visitors</t>
  </si>
  <si>
    <t>1.5x more traffic</t>
  </si>
  <si>
    <t>1.9x more traffic</t>
  </si>
  <si>
    <t>200 to 499 starting visitors</t>
  </si>
  <si>
    <t>2.5x more traffic</t>
  </si>
  <si>
    <t>500 to 1,999 starting visitors</t>
  </si>
  <si>
    <t>2.2x more traffic</t>
  </si>
  <si>
    <t>2,000+ starting visitors</t>
  </si>
  <si>
    <t>1.3x more traffic</t>
  </si>
  <si>
    <t>1.6x more traffic</t>
  </si>
  <si>
    <t>Overall Increase in Leads by Starting Number of Leads per Month³</t>
  </si>
  <si>
    <t>Customer Close %</t>
  </si>
  <si>
    <t>1 to 5 starting leads</t>
  </si>
  <si>
    <t>6.4x more leads in database</t>
  </si>
  <si>
    <t>27.8x more leads in database</t>
  </si>
  <si>
    <t>6 Month Expected Returns</t>
  </si>
  <si>
    <t>6 to 20 starting leads</t>
  </si>
  <si>
    <t>3.8x more leads in database</t>
  </si>
  <si>
    <t>15.6x more leads in database</t>
  </si>
  <si>
    <t>Monthly Traffic</t>
  </si>
  <si>
    <t>21 to 49 starting leads</t>
  </si>
  <si>
    <t>2.6x more leads in database</t>
  </si>
  <si>
    <t>7.1x more leads in database</t>
  </si>
  <si>
    <t>Monthly Inbound Leads</t>
  </si>
  <si>
    <t>50 to 99 starting leads</t>
  </si>
  <si>
    <t>4.1x more leads in database</t>
  </si>
  <si>
    <t>11.7x more leads in database</t>
  </si>
  <si>
    <t>Anticipated Database Size</t>
  </si>
  <si>
    <t>100 to 499 starting leads</t>
  </si>
  <si>
    <t>3.7x more leads in database</t>
  </si>
  <si>
    <t>30.6x more leads in database</t>
  </si>
  <si>
    <t>Monthly Inbound Customers</t>
  </si>
  <si>
    <t>More than 500 starting leads</t>
  </si>
  <si>
    <t>8.0x more leads in database</t>
  </si>
  <si>
    <t>47.9x more leads in database</t>
  </si>
  <si>
    <t>12 Month Expected Returns</t>
  </si>
  <si>
    <t>Change in Leads Monthly Multiplier³</t>
  </si>
  <si>
    <t>1.3x</t>
  </si>
  <si>
    <t>1.2x</t>
  </si>
  <si>
    <t>1.4x</t>
  </si>
  <si>
    <t>* Industry Target is based on average website conversion of 1% to 3%</t>
  </si>
  <si>
    <t>Increases</t>
  </si>
  <si>
    <t>² HubSpot Target is based on 5% website conversion for HubSpot Clients</t>
  </si>
  <si>
    <t xml:space="preserve">³ All metrics are taken from "ROI of HubSpot":  http://www.hubspot.com/roi/ </t>
  </si>
  <si>
    <t>Leads</t>
  </si>
  <si>
    <t>Database</t>
  </si>
  <si>
    <t>Customers</t>
  </si>
  <si>
    <t>Industry avg. is 2-10%</t>
  </si>
  <si>
    <t>Account Mgt (reporting/strategy)</t>
  </si>
  <si>
    <t>Recommend reading HubSpot's e-book: "How to Deliver Inbound Services" for additional details on building the right plan</t>
  </si>
  <si>
    <t>Effort allocated to MOFU/Rep.</t>
  </si>
  <si>
    <t>Fast</t>
  </si>
  <si>
    <t>Effort behind plan (hrs/mth)</t>
  </si>
  <si>
    <t>RECOMMENDED STRATEGY:</t>
  </si>
  <si>
    <t>Amount for HubSpot subscription</t>
  </si>
  <si>
    <t>per month</t>
  </si>
  <si>
    <t>Incremental customers acquired by agency's efforts (per month)</t>
  </si>
  <si>
    <t>Suggested price agency can charge for incremental customers acquired</t>
  </si>
  <si>
    <t>Suggested price agency can charge per customer acquired</t>
  </si>
  <si>
    <t xml:space="preserve">Recommend that agency not commit to delivering customer count until they have comfort with client's sales closing capability </t>
  </si>
  <si>
    <t>Annual program spend by marketing team (conferences, advertising, software etc)</t>
  </si>
  <si>
    <t>Operating margin for agency</t>
  </si>
  <si>
    <t>Desired Operating Margin (net margin + tax)</t>
  </si>
  <si>
    <t>If traffic and lead improvements are positive then focus on both</t>
  </si>
  <si>
    <t>If traffic improvement is &gt; 0 and lead improvement is &lt; 0 then: focus on traffic</t>
  </si>
  <si>
    <t>If lead improvement is &gt; 0 and traffic improvement is &lt; 0 then: focus on conversion</t>
  </si>
  <si>
    <t>Monthly retainer price (if price by value)</t>
  </si>
  <si>
    <t>Monthly retainer price (if price by cost)</t>
  </si>
  <si>
    <t>Total agency cost</t>
  </si>
  <si>
    <t>Recommended plan (if price by value)</t>
  </si>
  <si>
    <t>3.2x more traffic</t>
  </si>
  <si>
    <t>6.2x more traffic</t>
  </si>
  <si>
    <t>2.9x more traffic</t>
  </si>
  <si>
    <t>2.1x more traffic</t>
  </si>
  <si>
    <t>5.0x more leads in database</t>
  </si>
  <si>
    <t>15.2x more leads in database</t>
  </si>
  <si>
    <t>2.8x more leads in database</t>
  </si>
  <si>
    <t>7.5x more leads in database</t>
  </si>
  <si>
    <t>5.7x more leads in database</t>
  </si>
  <si>
    <t>1.8x more leads in database</t>
  </si>
  <si>
    <t>1.1x more leads in database</t>
  </si>
  <si>
    <t>6.0x more traffic</t>
  </si>
  <si>
    <t>13.4x more traffic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</si>
</sst>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_(&quot;$&quot;* #,##0_);_(&quot;$&quot;* \(#,##0\);_(&quot;$&quot;* &quot;-&quot;?_);_(@_)"/>
    <numFmt numFmtId="168" formatCode="&quot;$&quot;#,##0.00"/>
    <numFmt numFmtId="169" formatCode="0.0"/>
    <numFmt numFmtId="170" formatCode="#,##0.00%"/>
    <numFmt numFmtId="171" formatCode="#,##0.0%"/>
    <numFmt numFmtId="172" formatCode="0.0%"/>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39997558519241921"/>
      <name val="Calibri"/>
      <family val="2"/>
      <scheme val="minor"/>
    </font>
    <font>
      <sz val="12.1"/>
      <color rgb="FF000000"/>
      <name val="Calibri"/>
      <family val="2"/>
    </font>
    <font>
      <sz val="11"/>
      <color theme="3" tint="0.39997558519241921"/>
      <name val="Calibri"/>
      <family val="2"/>
    </font>
    <font>
      <sz val="11"/>
      <name val="Calibri"/>
      <family val="2"/>
    </font>
    <font>
      <sz val="11"/>
      <color rgb="FF000000"/>
      <name val="Calibri"/>
      <family val="2"/>
    </font>
    <font>
      <sz val="11"/>
      <color rgb="FFFF0000"/>
      <name val="Calibri"/>
      <family val="2"/>
      <scheme val="minor"/>
    </font>
    <font>
      <sz val="11"/>
      <color indexed="8"/>
      <name val="Calibri"/>
      <family val="2"/>
    </font>
    <font>
      <b/>
      <sz val="22"/>
      <color indexed="8"/>
      <name val="Calibri"/>
      <family val="2"/>
    </font>
    <font>
      <b/>
      <sz val="14"/>
      <color indexed="8"/>
      <name val="Calibri"/>
      <family val="2"/>
    </font>
    <font>
      <b/>
      <sz val="11"/>
      <color indexed="8"/>
      <name val="Calibri"/>
      <family val="2"/>
    </font>
    <font>
      <b/>
      <i/>
      <sz val="11"/>
      <color indexed="8"/>
      <name val="Calibri"/>
      <family val="2"/>
    </font>
    <font>
      <sz val="12"/>
      <color indexed="8"/>
      <name val="Calibri"/>
      <family val="2"/>
    </font>
    <font>
      <sz val="12"/>
      <name val="Calibri"/>
      <family val="2"/>
    </font>
    <font>
      <b/>
      <sz val="12"/>
      <color indexed="8"/>
      <name val="Calibri"/>
      <family val="2"/>
    </font>
    <font>
      <b/>
      <sz val="14"/>
      <name val="Calibri"/>
      <family val="2"/>
    </font>
    <font>
      <u/>
      <sz val="11"/>
      <color indexed="12"/>
      <name val="Calibri"/>
      <family val="2"/>
    </font>
    <font>
      <b/>
      <sz val="8"/>
      <color indexed="81"/>
      <name val="Tahoma"/>
      <family val="2"/>
    </font>
    <font>
      <i/>
      <sz val="11"/>
      <color theme="1"/>
      <name val="Calibri"/>
      <family val="2"/>
      <scheme val="minor"/>
    </font>
    <font>
      <sz val="11"/>
      <name val="Calibri"/>
      <family val="2"/>
      <scheme val="minor"/>
    </font>
    <font>
      <sz val="11"/>
      <color rgb="FF0070C0"/>
      <name val="Calibri"/>
      <family val="2"/>
      <scheme val="minor"/>
    </font>
    <font>
      <b/>
      <sz val="11"/>
      <color theme="3" tint="0.39997558519241921"/>
      <name val="Calibri"/>
      <family val="2"/>
      <scheme val="minor"/>
    </font>
    <font>
      <sz val="11"/>
      <color theme="4" tint="-0.249977111117893"/>
      <name val="Calibri"/>
      <family val="2"/>
    </font>
    <font>
      <sz val="11"/>
      <color rgb="FF0070C0"/>
      <name val="Calibri"/>
      <family val="2"/>
    </font>
    <font>
      <b/>
      <sz val="11"/>
      <color rgb="FF000000"/>
      <name val="Calibri"/>
      <family val="2"/>
    </font>
    <font>
      <b/>
      <sz val="12"/>
      <color theme="1"/>
      <name val="Calibri"/>
      <family val="2"/>
      <scheme val="minor"/>
    </font>
    <font>
      <b/>
      <sz val="14"/>
      <color theme="1"/>
      <name val="Calibri"/>
      <family val="2"/>
      <scheme val="minor"/>
    </font>
    <font>
      <b/>
      <sz val="11"/>
      <name val="Calibri"/>
      <family val="2"/>
      <scheme val="minor"/>
    </font>
    <font>
      <b/>
      <sz val="11"/>
      <color rgb="FF00B050"/>
      <name val="Calibri"/>
      <family val="2"/>
      <scheme val="minor"/>
    </font>
    <font>
      <b/>
      <sz val="11"/>
      <color theme="9" tint="-0.249977111117893"/>
      <name val="Calibri"/>
      <family val="2"/>
      <scheme val="minor"/>
    </font>
    <font>
      <b/>
      <sz val="14"/>
      <color rgb="FF000000"/>
      <name val="Calibri"/>
      <family val="2"/>
    </font>
    <font>
      <b/>
      <sz val="14"/>
      <name val="Calibri"/>
      <family val="2"/>
      <scheme val="minor"/>
    </font>
    <font>
      <sz val="9"/>
      <color indexed="81"/>
      <name val="Tahoma"/>
      <family val="2"/>
    </font>
    <font>
      <b/>
      <sz val="9"/>
      <color indexed="81"/>
      <name val="Tahoma"/>
      <family val="2"/>
    </font>
    <font>
      <b/>
      <sz val="14"/>
      <color rgb="FF00B050"/>
      <name val="Calibri"/>
      <family val="2"/>
      <scheme val="minor"/>
    </font>
    <font>
      <b/>
      <i/>
      <sz val="11"/>
      <color rgb="FFFF0000"/>
      <name val="Calibri"/>
      <family val="2"/>
      <scheme val="minor"/>
    </font>
    <font>
      <b/>
      <sz val="11"/>
      <color theme="1"/>
      <name val="Calibri"/>
      <family val="2"/>
    </font>
    <font>
      <sz val="11"/>
      <color theme="1"/>
      <name val="Calibri"/>
      <family val="2"/>
    </font>
    <font>
      <i/>
      <sz val="10"/>
      <color theme="1"/>
      <name val="Calibri"/>
      <family val="2"/>
      <scheme val="minor"/>
    </font>
    <font>
      <i/>
      <sz val="10"/>
      <color theme="1"/>
      <name val="Calibri"/>
      <family val="2"/>
    </font>
    <font>
      <sz val="14"/>
      <color theme="1"/>
      <name val="Calibri"/>
      <family val="2"/>
      <scheme val="minor"/>
    </font>
    <font>
      <sz val="9"/>
      <color rgb="FF000000"/>
      <name val="Courier New"/>
      <family val="3"/>
    </font>
    <font>
      <sz val="11"/>
      <color theme="0"/>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indexed="5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00"/>
        <bgColor indexed="64"/>
      </patternFill>
    </fill>
    <fill>
      <patternFill patternType="solid">
        <fgColor theme="2"/>
        <bgColor indexed="64"/>
      </patternFill>
    </fill>
    <fill>
      <patternFill patternType="solid">
        <fgColor theme="5" tint="0.39997558519241921"/>
        <bgColor indexed="64"/>
      </patternFill>
    </fill>
    <fill>
      <patternFill patternType="solid">
        <fgColor rgb="FFFFC000"/>
        <bgColor indexed="64"/>
      </patternFill>
    </fill>
    <fill>
      <patternFill patternType="solid">
        <fgColor rgb="FFFF3300"/>
        <bgColor indexed="64"/>
      </patternFill>
    </fill>
    <fill>
      <patternFill patternType="solid">
        <fgColor rgb="FFCC0066"/>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6" tint="0.59999389629810485"/>
        <bgColor indexed="64"/>
      </patternFill>
    </fill>
  </fills>
  <borders count="26">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316">
    <xf numFmtId="0" fontId="0" fillId="0" borderId="0" xfId="0"/>
    <xf numFmtId="164" fontId="0" fillId="0" borderId="0" xfId="1" applyNumberFormat="1" applyFont="1"/>
    <xf numFmtId="165" fontId="0" fillId="0" borderId="0" xfId="1" applyNumberFormat="1" applyFont="1"/>
    <xf numFmtId="0" fontId="0" fillId="0" borderId="0" xfId="0" applyAlignment="1">
      <alignment horizontal="left" indent="3"/>
    </xf>
    <xf numFmtId="165" fontId="3" fillId="0" borderId="0" xfId="1" applyNumberFormat="1" applyFont="1"/>
    <xf numFmtId="0" fontId="3" fillId="0" borderId="0" xfId="0" applyFont="1"/>
    <xf numFmtId="9" fontId="3" fillId="0" borderId="0" xfId="0" applyNumberFormat="1" applyFont="1"/>
    <xf numFmtId="166" fontId="3" fillId="0" borderId="0" xfId="2" applyNumberFormat="1" applyFont="1"/>
    <xf numFmtId="166" fontId="0" fillId="0" borderId="0" xfId="2" applyNumberFormat="1" applyFont="1"/>
    <xf numFmtId="166" fontId="0" fillId="0" borderId="0" xfId="0" applyNumberFormat="1"/>
    <xf numFmtId="0" fontId="0" fillId="0" borderId="0" xfId="0" applyAlignment="1">
      <alignment horizontal="left"/>
    </xf>
    <xf numFmtId="0" fontId="0" fillId="0" borderId="1" xfId="0" applyBorder="1"/>
    <xf numFmtId="0" fontId="0" fillId="0" borderId="0" xfId="0" applyFill="1" applyBorder="1" applyAlignment="1">
      <alignment horizontal="left"/>
    </xf>
    <xf numFmtId="0" fontId="2" fillId="0" borderId="1" xfId="0" applyFont="1" applyBorder="1" applyAlignment="1">
      <alignment horizontal="left"/>
    </xf>
    <xf numFmtId="0" fontId="2" fillId="0" borderId="1" xfId="0" applyFont="1" applyBorder="1"/>
    <xf numFmtId="0" fontId="4" fillId="0" borderId="0" xfId="0" applyFont="1" applyBorder="1" applyAlignment="1">
      <alignment horizontal="left" readingOrder="1"/>
    </xf>
    <xf numFmtId="0" fontId="0" fillId="0" borderId="0" xfId="0" applyBorder="1"/>
    <xf numFmtId="0" fontId="0" fillId="0" borderId="0" xfId="0" applyFont="1" applyBorder="1"/>
    <xf numFmtId="0" fontId="4" fillId="0" borderId="0" xfId="0" applyFont="1" applyBorder="1" applyAlignment="1">
      <alignment horizontal="left" indent="2" readingOrder="1"/>
    </xf>
    <xf numFmtId="167" fontId="0" fillId="0" borderId="0" xfId="0" applyNumberFormat="1"/>
    <xf numFmtId="165" fontId="5" fillId="0" borderId="0" xfId="1" applyNumberFormat="1" applyFont="1" applyBorder="1" applyAlignment="1">
      <alignment horizontal="left"/>
    </xf>
    <xf numFmtId="166" fontId="5" fillId="0" borderId="0" xfId="2" applyNumberFormat="1" applyFont="1" applyBorder="1" applyAlignment="1">
      <alignment horizontal="left"/>
    </xf>
    <xf numFmtId="166" fontId="6" fillId="0" borderId="0" xfId="2" applyNumberFormat="1" applyFont="1" applyBorder="1" applyAlignment="1">
      <alignment horizontal="left"/>
    </xf>
    <xf numFmtId="166" fontId="7" fillId="0" borderId="0" xfId="2" applyNumberFormat="1" applyFont="1" applyBorder="1" applyAlignment="1">
      <alignment horizontal="right"/>
    </xf>
    <xf numFmtId="0" fontId="1" fillId="0" borderId="0" xfId="0" applyFont="1"/>
    <xf numFmtId="0" fontId="1" fillId="0" borderId="0" xfId="0" applyFont="1" applyBorder="1"/>
    <xf numFmtId="166" fontId="5" fillId="0" borderId="0" xfId="2" applyNumberFormat="1" applyFont="1" applyBorder="1" applyAlignment="1">
      <alignment horizontal="left" indent="2" readingOrder="1"/>
    </xf>
    <xf numFmtId="165" fontId="5" fillId="0" borderId="0" xfId="1" applyNumberFormat="1" applyFont="1" applyBorder="1" applyAlignment="1">
      <alignment horizontal="left" indent="2" readingOrder="1"/>
    </xf>
    <xf numFmtId="166" fontId="6" fillId="0" borderId="0" xfId="2" applyNumberFormat="1" applyFont="1" applyBorder="1" applyAlignment="1">
      <alignment horizontal="left" indent="2" readingOrder="1"/>
    </xf>
    <xf numFmtId="165" fontId="6" fillId="0" borderId="0" xfId="1" applyNumberFormat="1" applyFont="1" applyBorder="1" applyAlignment="1">
      <alignment horizontal="left" indent="2" readingOrder="1"/>
    </xf>
    <xf numFmtId="0" fontId="9" fillId="0" borderId="0" xfId="3" applyProtection="1">
      <protection locked="0"/>
    </xf>
    <xf numFmtId="0" fontId="11" fillId="2" borderId="11" xfId="3" applyFont="1" applyFill="1" applyBorder="1" applyAlignment="1" applyProtection="1">
      <alignment horizontal="center" vertical="center" wrapText="1"/>
    </xf>
    <xf numFmtId="0" fontId="11" fillId="3" borderId="11" xfId="3" applyFont="1" applyFill="1" applyBorder="1" applyAlignment="1" applyProtection="1">
      <alignment horizontal="center" vertical="center" wrapText="1"/>
    </xf>
    <xf numFmtId="0" fontId="9" fillId="0" borderId="0" xfId="3" applyBorder="1" applyAlignment="1" applyProtection="1">
      <alignment horizontal="left" vertical="center"/>
    </xf>
    <xf numFmtId="0" fontId="9" fillId="0" borderId="14" xfId="3" applyBorder="1" applyAlignment="1" applyProtection="1">
      <alignment vertical="center"/>
      <protection locked="0"/>
    </xf>
    <xf numFmtId="0" fontId="12" fillId="0" borderId="16" xfId="3" applyFont="1" applyBorder="1" applyAlignment="1" applyProtection="1">
      <alignment horizontal="left" vertical="center"/>
    </xf>
    <xf numFmtId="0" fontId="12" fillId="0" borderId="3" xfId="3" applyFont="1" applyBorder="1" applyAlignment="1" applyProtection="1">
      <alignment horizontal="left" vertical="center" wrapText="1"/>
    </xf>
    <xf numFmtId="0" fontId="12" fillId="0" borderId="4" xfId="3" applyFont="1" applyBorder="1" applyAlignment="1" applyProtection="1">
      <alignment horizontal="left" vertical="center" wrapText="1"/>
    </xf>
    <xf numFmtId="0" fontId="9" fillId="0" borderId="16" xfId="3" applyBorder="1" applyAlignment="1" applyProtection="1">
      <alignment horizontal="left" vertical="center"/>
    </xf>
    <xf numFmtId="0" fontId="11" fillId="0" borderId="0" xfId="3" applyFont="1" applyBorder="1" applyAlignment="1" applyProtection="1">
      <alignment horizontal="left" vertical="center"/>
    </xf>
    <xf numFmtId="168" fontId="14" fillId="4" borderId="0" xfId="4" applyNumberFormat="1" applyFont="1" applyFill="1" applyBorder="1" applyAlignment="1" applyProtection="1">
      <alignment horizontal="left" vertical="center"/>
      <protection locked="0"/>
    </xf>
    <xf numFmtId="0" fontId="9" fillId="0" borderId="0" xfId="3" applyBorder="1" applyAlignment="1">
      <alignment horizontal="left" vertical="center"/>
    </xf>
    <xf numFmtId="0" fontId="9" fillId="0" borderId="14" xfId="3" applyBorder="1" applyAlignment="1">
      <alignment horizontal="left" vertical="center"/>
    </xf>
    <xf numFmtId="0" fontId="11" fillId="0" borderId="0" xfId="3" applyFont="1" applyBorder="1" applyAlignment="1" applyProtection="1">
      <alignment horizontal="right" vertical="center"/>
    </xf>
    <xf numFmtId="168" fontId="14" fillId="4" borderId="0" xfId="4" applyNumberFormat="1" applyFont="1" applyFill="1" applyBorder="1" applyAlignment="1" applyProtection="1">
      <alignment horizontal="center" vertical="center"/>
      <protection locked="0"/>
    </xf>
    <xf numFmtId="0" fontId="9" fillId="0" borderId="0" xfId="3" applyBorder="1" applyAlignment="1">
      <alignment vertical="center"/>
    </xf>
    <xf numFmtId="0" fontId="9" fillId="0" borderId="14" xfId="3" applyBorder="1" applyAlignment="1">
      <alignment vertical="center"/>
    </xf>
    <xf numFmtId="0" fontId="11" fillId="0" borderId="16" xfId="3" applyFont="1" applyBorder="1" applyAlignment="1" applyProtection="1">
      <alignment horizontal="right" vertical="center"/>
    </xf>
    <xf numFmtId="0" fontId="11" fillId="0" borderId="5" xfId="3" applyFont="1" applyBorder="1" applyAlignment="1" applyProtection="1">
      <alignment horizontal="right" vertical="center"/>
    </xf>
    <xf numFmtId="0" fontId="11" fillId="0" borderId="6" xfId="3" applyFont="1" applyBorder="1" applyAlignment="1" applyProtection="1">
      <alignment horizontal="right" vertical="center"/>
    </xf>
    <xf numFmtId="9" fontId="15" fillId="5" borderId="11" xfId="5" applyFont="1" applyFill="1" applyBorder="1" applyAlignment="1" applyProtection="1">
      <alignment horizontal="center" vertical="center"/>
      <protection locked="0"/>
    </xf>
    <xf numFmtId="0" fontId="9" fillId="0" borderId="6" xfId="3" applyBorder="1" applyAlignment="1" applyProtection="1">
      <alignment horizontal="left" vertical="center"/>
    </xf>
    <xf numFmtId="0" fontId="9" fillId="0" borderId="6" xfId="3" applyBorder="1" applyAlignment="1">
      <alignment vertical="center"/>
    </xf>
    <xf numFmtId="0" fontId="9" fillId="0" borderId="7" xfId="3" applyBorder="1" applyAlignment="1">
      <alignment vertical="center"/>
    </xf>
    <xf numFmtId="169" fontId="11" fillId="3" borderId="11" xfId="3" applyNumberFormat="1" applyFont="1" applyFill="1" applyBorder="1" applyAlignment="1" applyProtection="1">
      <alignment horizontal="center" vertical="center"/>
    </xf>
    <xf numFmtId="0" fontId="12" fillId="0" borderId="0" xfId="3" applyFont="1" applyBorder="1" applyAlignment="1" applyProtection="1">
      <alignment horizontal="right" vertical="center"/>
    </xf>
    <xf numFmtId="0" fontId="16" fillId="0" borderId="11" xfId="3" applyFont="1" applyBorder="1" applyAlignment="1" applyProtection="1">
      <alignment horizontal="center" vertical="center"/>
    </xf>
    <xf numFmtId="170" fontId="14" fillId="5" borderId="11" xfId="3" applyNumberFormat="1" applyFont="1" applyFill="1" applyBorder="1" applyAlignment="1" applyProtection="1">
      <alignment horizontal="center" vertical="center"/>
    </xf>
    <xf numFmtId="0" fontId="16" fillId="0" borderId="0" xfId="3" applyFont="1" applyBorder="1" applyAlignment="1" applyProtection="1">
      <alignment horizontal="right" vertical="center"/>
    </xf>
    <xf numFmtId="2" fontId="14" fillId="6" borderId="0" xfId="3" applyNumberFormat="1" applyFont="1" applyFill="1" applyBorder="1" applyAlignment="1" applyProtection="1">
      <alignment vertical="center"/>
      <protection locked="0"/>
    </xf>
    <xf numFmtId="0" fontId="14" fillId="6" borderId="0" xfId="3" applyFont="1" applyFill="1" applyBorder="1" applyAlignment="1" applyProtection="1">
      <alignment horizontal="right" vertical="center"/>
    </xf>
    <xf numFmtId="3" fontId="11" fillId="3" borderId="11" xfId="3" applyNumberFormat="1" applyFont="1" applyFill="1" applyBorder="1" applyAlignment="1" applyProtection="1">
      <alignment horizontal="center" vertical="center"/>
    </xf>
    <xf numFmtId="3" fontId="17" fillId="3" borderId="10" xfId="3" applyNumberFormat="1" applyFont="1" applyFill="1" applyBorder="1" applyAlignment="1" applyProtection="1">
      <alignment horizontal="center" vertical="center"/>
    </xf>
    <xf numFmtId="171" fontId="14" fillId="5" borderId="11" xfId="3" applyNumberFormat="1" applyFont="1" applyFill="1" applyBorder="1" applyAlignment="1" applyProtection="1">
      <alignment horizontal="center" vertical="center"/>
    </xf>
    <xf numFmtId="37" fontId="11" fillId="3" borderId="11" xfId="3" applyNumberFormat="1" applyFont="1" applyFill="1" applyBorder="1" applyAlignment="1" applyProtection="1">
      <alignment horizontal="center" vertical="center"/>
    </xf>
    <xf numFmtId="37" fontId="17" fillId="3" borderId="10" xfId="3" applyNumberFormat="1" applyFont="1" applyFill="1" applyBorder="1" applyAlignment="1" applyProtection="1">
      <alignment horizontal="center" vertical="center"/>
    </xf>
    <xf numFmtId="0" fontId="9" fillId="0" borderId="7" xfId="3" applyBorder="1" applyAlignment="1" applyProtection="1">
      <alignment vertical="center"/>
      <protection locked="0"/>
    </xf>
    <xf numFmtId="0" fontId="9" fillId="0" borderId="3" xfId="3" applyBorder="1" applyAlignment="1" applyProtection="1">
      <alignment horizontal="right"/>
      <protection locked="0"/>
    </xf>
    <xf numFmtId="0" fontId="9" fillId="0" borderId="3" xfId="3" applyBorder="1" applyAlignment="1" applyProtection="1">
      <alignment horizontal="right" vertical="center"/>
      <protection locked="0"/>
    </xf>
    <xf numFmtId="0" fontId="9" fillId="0" borderId="0" xfId="3" applyAlignment="1">
      <alignment horizontal="right" vertical="center"/>
    </xf>
    <xf numFmtId="0" fontId="18" fillId="0" borderId="0" xfId="6" applyAlignment="1" applyProtection="1">
      <alignment horizontal="right" vertical="center"/>
      <protection locked="0"/>
    </xf>
    <xf numFmtId="0" fontId="9" fillId="0" borderId="0" xfId="3" applyAlignment="1" applyProtection="1">
      <alignment horizontal="center"/>
      <protection locked="0"/>
    </xf>
    <xf numFmtId="0" fontId="9" fillId="0" borderId="0" xfId="3" applyAlignment="1" applyProtection="1">
      <alignment horizontal="center" vertical="center"/>
      <protection locked="0"/>
    </xf>
    <xf numFmtId="0" fontId="9" fillId="0" borderId="0" xfId="3" applyAlignment="1" applyProtection="1">
      <alignment horizontal="center" vertical="center" wrapText="1"/>
      <protection locked="0"/>
    </xf>
    <xf numFmtId="0" fontId="9" fillId="0" borderId="0" xfId="3" applyAlignment="1" applyProtection="1">
      <alignment vertical="center"/>
      <protection locked="0"/>
    </xf>
    <xf numFmtId="0" fontId="9" fillId="0" borderId="0" xfId="3" applyAlignment="1" applyProtection="1">
      <alignment horizontal="right" vertical="center"/>
      <protection locked="0"/>
    </xf>
    <xf numFmtId="0" fontId="0" fillId="7" borderId="0" xfId="0" applyFill="1"/>
    <xf numFmtId="164" fontId="6" fillId="0" borderId="0" xfId="1" applyNumberFormat="1" applyFont="1" applyBorder="1" applyAlignment="1">
      <alignment horizontal="left" indent="1" readingOrder="1"/>
    </xf>
    <xf numFmtId="164" fontId="8" fillId="0" borderId="0" xfId="1" applyNumberFormat="1" applyFont="1"/>
    <xf numFmtId="168" fontId="14" fillId="5" borderId="11" xfId="3" applyNumberFormat="1" applyFont="1" applyFill="1" applyBorder="1" applyAlignment="1" applyProtection="1">
      <alignment horizontal="center" vertical="center"/>
      <protection locked="0"/>
    </xf>
    <xf numFmtId="168" fontId="14" fillId="5" borderId="11" xfId="4" applyNumberFormat="1" applyFont="1" applyFill="1" applyBorder="1" applyAlignment="1" applyProtection="1">
      <alignment horizontal="center" vertical="center"/>
      <protection locked="0"/>
    </xf>
    <xf numFmtId="0" fontId="2" fillId="0" borderId="1" xfId="0" applyFont="1" applyFill="1" applyBorder="1" applyAlignment="1">
      <alignment horizontal="left"/>
    </xf>
    <xf numFmtId="166" fontId="8" fillId="0" borderId="0" xfId="2" applyNumberFormat="1" applyFont="1"/>
    <xf numFmtId="167" fontId="0" fillId="7" borderId="0" xfId="0" applyNumberFormat="1" applyFill="1"/>
    <xf numFmtId="166" fontId="0" fillId="7" borderId="0" xfId="0" applyNumberFormat="1" applyFill="1"/>
    <xf numFmtId="0" fontId="20" fillId="0" borderId="0" xfId="0" applyFont="1"/>
    <xf numFmtId="0" fontId="2" fillId="0" borderId="0" xfId="0" applyFont="1" applyFill="1" applyAlignment="1"/>
    <xf numFmtId="0" fontId="0" fillId="0" borderId="0" xfId="0" applyFill="1"/>
    <xf numFmtId="0" fontId="2" fillId="9" borderId="0" xfId="0" applyFont="1" applyFill="1"/>
    <xf numFmtId="0" fontId="2" fillId="0" borderId="0" xfId="0" applyFont="1"/>
    <xf numFmtId="2" fontId="0" fillId="0" borderId="0" xfId="0" applyNumberFormat="1"/>
    <xf numFmtId="1" fontId="0" fillId="0" borderId="0" xfId="0" applyNumberFormat="1"/>
    <xf numFmtId="9" fontId="1" fillId="0" borderId="0" xfId="7" applyFont="1"/>
    <xf numFmtId="0" fontId="2" fillId="0" borderId="0" xfId="0" applyFont="1" applyAlignment="1">
      <alignment horizontal="center"/>
    </xf>
    <xf numFmtId="0" fontId="0" fillId="0" borderId="0" xfId="0" applyAlignment="1">
      <alignment horizontal="center"/>
    </xf>
    <xf numFmtId="3" fontId="23" fillId="0" borderId="0" xfId="0" applyNumberFormat="1" applyFont="1" applyFill="1" applyAlignment="1">
      <alignment horizontal="left"/>
    </xf>
    <xf numFmtId="0" fontId="2" fillId="14" borderId="0" xfId="0" applyFont="1" applyFill="1" applyAlignment="1">
      <alignment horizontal="center"/>
    </xf>
    <xf numFmtId="0" fontId="0" fillId="14" borderId="0" xfId="0" applyFill="1" applyAlignment="1">
      <alignment horizontal="center"/>
    </xf>
    <xf numFmtId="0" fontId="0" fillId="14" borderId="0" xfId="0" applyFill="1"/>
    <xf numFmtId="0" fontId="2" fillId="14" borderId="0" xfId="0" applyFont="1" applyFill="1"/>
    <xf numFmtId="44" fontId="2" fillId="14" borderId="0" xfId="2" applyFont="1" applyFill="1"/>
    <xf numFmtId="166" fontId="0" fillId="0" borderId="0" xfId="0" applyNumberFormat="1" applyFill="1"/>
    <xf numFmtId="0" fontId="2" fillId="14" borderId="0" xfId="0" applyFont="1" applyFill="1" applyAlignment="1">
      <alignment horizontal="left"/>
    </xf>
    <xf numFmtId="9" fontId="22" fillId="14" borderId="0" xfId="0" applyNumberFormat="1" applyFont="1" applyFill="1"/>
    <xf numFmtId="37" fontId="8" fillId="0" borderId="0" xfId="0" applyNumberFormat="1" applyFont="1"/>
    <xf numFmtId="166" fontId="2" fillId="14" borderId="0" xfId="0" applyNumberFormat="1" applyFont="1" applyFill="1"/>
    <xf numFmtId="166" fontId="2" fillId="14" borderId="0" xfId="2" applyNumberFormat="1" applyFont="1" applyFill="1"/>
    <xf numFmtId="165" fontId="22" fillId="14" borderId="0" xfId="1" applyNumberFormat="1" applyFont="1" applyFill="1"/>
    <xf numFmtId="165" fontId="22" fillId="0" borderId="0" xfId="1" applyNumberFormat="1" applyFont="1"/>
    <xf numFmtId="165" fontId="21" fillId="14" borderId="0" xfId="1" applyNumberFormat="1" applyFont="1" applyFill="1"/>
    <xf numFmtId="165" fontId="0" fillId="14" borderId="0" xfId="1" applyNumberFormat="1" applyFont="1" applyFill="1"/>
    <xf numFmtId="165" fontId="22" fillId="0" borderId="0" xfId="1" applyNumberFormat="1" applyFont="1" applyAlignment="1">
      <alignment horizontal="right"/>
    </xf>
    <xf numFmtId="9" fontId="23" fillId="0" borderId="0" xfId="0" applyNumberFormat="1" applyFont="1"/>
    <xf numFmtId="0" fontId="0" fillId="0" borderId="0" xfId="0" quotePrefix="1" applyAlignment="1">
      <alignment horizontal="left" indent="2"/>
    </xf>
    <xf numFmtId="164" fontId="22" fillId="14" borderId="0" xfId="1" applyNumberFormat="1" applyFont="1" applyFill="1"/>
    <xf numFmtId="0" fontId="24" fillId="0" borderId="0" xfId="0" applyFont="1" applyBorder="1" applyAlignment="1">
      <alignment horizontal="center" readingOrder="1"/>
    </xf>
    <xf numFmtId="166" fontId="25" fillId="0" borderId="0" xfId="2" applyNumberFormat="1" applyFont="1" applyBorder="1" applyAlignment="1">
      <alignment horizontal="right"/>
    </xf>
    <xf numFmtId="9" fontId="25" fillId="0" borderId="0" xfId="7" applyFont="1" applyBorder="1" applyAlignment="1">
      <alignment horizontal="right"/>
    </xf>
    <xf numFmtId="9" fontId="22" fillId="0" borderId="0" xfId="7" applyFont="1"/>
    <xf numFmtId="0" fontId="2" fillId="0" borderId="0" xfId="0" applyFont="1" applyBorder="1"/>
    <xf numFmtId="0" fontId="28" fillId="0" borderId="1" xfId="0" applyFont="1" applyBorder="1"/>
    <xf numFmtId="166" fontId="21" fillId="0" borderId="0" xfId="2" applyNumberFormat="1" applyFont="1"/>
    <xf numFmtId="0" fontId="7" fillId="0" borderId="0" xfId="0" applyFont="1" applyBorder="1" applyAlignment="1">
      <alignment horizontal="left" indent="2" readingOrder="1"/>
    </xf>
    <xf numFmtId="0" fontId="26" fillId="0" borderId="0" xfId="0" applyFont="1" applyBorder="1" applyAlignment="1">
      <alignment horizontal="left" readingOrder="1"/>
    </xf>
    <xf numFmtId="0" fontId="7" fillId="0" borderId="0" xfId="0" applyFont="1" applyBorder="1" applyAlignment="1">
      <alignment horizontal="left" readingOrder="1"/>
    </xf>
    <xf numFmtId="0" fontId="7" fillId="0" borderId="0" xfId="0" applyFont="1" applyBorder="1" applyAlignment="1">
      <alignment horizontal="right" readingOrder="1"/>
    </xf>
    <xf numFmtId="0" fontId="7" fillId="0" borderId="0" xfId="0" applyFont="1" applyBorder="1" applyAlignment="1">
      <alignment horizontal="left" indent="1" readingOrder="1"/>
    </xf>
    <xf numFmtId="0" fontId="7" fillId="0" borderId="0" xfId="0" applyFont="1" applyFill="1" applyBorder="1" applyAlignment="1">
      <alignment horizontal="left" indent="1" readingOrder="1"/>
    </xf>
    <xf numFmtId="0" fontId="26" fillId="0" borderId="0" xfId="0" applyFont="1" applyBorder="1" applyAlignment="1">
      <alignment horizontal="left" indent="1" readingOrder="1"/>
    </xf>
    <xf numFmtId="0" fontId="7" fillId="0" borderId="0" xfId="0" applyFont="1" applyFill="1" applyBorder="1" applyAlignment="1">
      <alignment horizontal="left" readingOrder="1"/>
    </xf>
    <xf numFmtId="0" fontId="28" fillId="0" borderId="0" xfId="0" applyFont="1" applyBorder="1"/>
    <xf numFmtId="166" fontId="26" fillId="0" borderId="0" xfId="2" applyNumberFormat="1" applyFont="1" applyFill="1" applyBorder="1" applyAlignment="1">
      <alignment horizontal="right"/>
    </xf>
    <xf numFmtId="0" fontId="26" fillId="0" borderId="0" xfId="0" applyFont="1" applyFill="1" applyBorder="1" applyAlignment="1">
      <alignment horizontal="left" readingOrder="1"/>
    </xf>
    <xf numFmtId="166" fontId="29" fillId="0" borderId="17" xfId="2" applyNumberFormat="1" applyFont="1" applyBorder="1"/>
    <xf numFmtId="0" fontId="0" fillId="0" borderId="0" xfId="0" applyFont="1" applyBorder="1" applyAlignment="1">
      <alignment horizontal="left" indent="1"/>
    </xf>
    <xf numFmtId="0" fontId="32" fillId="0" borderId="0" xfId="0" applyFont="1" applyBorder="1" applyAlignment="1">
      <alignment horizontal="left" readingOrder="1"/>
    </xf>
    <xf numFmtId="166" fontId="32" fillId="7" borderId="17" xfId="2" applyNumberFormat="1" applyFont="1" applyFill="1" applyBorder="1" applyAlignment="1">
      <alignment horizontal="right"/>
    </xf>
    <xf numFmtId="0" fontId="33" fillId="0" borderId="0" xfId="0" applyFont="1" applyAlignment="1">
      <alignment horizontal="center"/>
    </xf>
    <xf numFmtId="0" fontId="27" fillId="0" borderId="0" xfId="0" applyFont="1"/>
    <xf numFmtId="0" fontId="0" fillId="0" borderId="0" xfId="0" applyAlignment="1">
      <alignment horizontal="left" indent="1"/>
    </xf>
    <xf numFmtId="0" fontId="22" fillId="0" borderId="0" xfId="0" applyFont="1"/>
    <xf numFmtId="0" fontId="2" fillId="0" borderId="0" xfId="0" applyFont="1" applyAlignment="1">
      <alignment horizontal="left" indent="1"/>
    </xf>
    <xf numFmtId="166" fontId="2" fillId="0" borderId="0" xfId="2" applyNumberFormat="1" applyFont="1"/>
    <xf numFmtId="167" fontId="20" fillId="0" borderId="0" xfId="0" applyNumberFormat="1" applyFont="1" applyAlignment="1">
      <alignment wrapText="1"/>
    </xf>
    <xf numFmtId="0" fontId="0" fillId="0" borderId="0" xfId="0" applyAlignment="1">
      <alignment horizontal="left" indent="2"/>
    </xf>
    <xf numFmtId="0" fontId="2" fillId="0" borderId="1" xfId="0" applyFont="1" applyBorder="1" applyAlignment="1">
      <alignment horizontal="center"/>
    </xf>
    <xf numFmtId="9" fontId="0" fillId="0" borderId="0" xfId="7" applyFont="1"/>
    <xf numFmtId="172" fontId="0" fillId="0" borderId="0" xfId="7" applyNumberFormat="1" applyFont="1"/>
    <xf numFmtId="9" fontId="0" fillId="0" borderId="0" xfId="0" applyNumberFormat="1"/>
    <xf numFmtId="9" fontId="22" fillId="0" borderId="0" xfId="0" applyNumberFormat="1" applyFont="1"/>
    <xf numFmtId="0" fontId="2" fillId="0" borderId="1" xfId="0" applyFont="1" applyFill="1" applyBorder="1" applyAlignment="1">
      <alignment horizontal="center" wrapText="1"/>
    </xf>
    <xf numFmtId="172" fontId="0" fillId="0" borderId="0" xfId="0" applyNumberFormat="1"/>
    <xf numFmtId="0" fontId="2" fillId="0" borderId="1" xfId="0" applyFont="1" applyBorder="1" applyAlignment="1">
      <alignment horizontal="center" wrapText="1"/>
    </xf>
    <xf numFmtId="166" fontId="27" fillId="0" borderId="17" xfId="0" applyNumberFormat="1" applyFont="1" applyFill="1" applyBorder="1"/>
    <xf numFmtId="166" fontId="27" fillId="0" borderId="17" xfId="2" applyNumberFormat="1" applyFont="1" applyFill="1" applyBorder="1"/>
    <xf numFmtId="9" fontId="0" fillId="0" borderId="0" xfId="0" applyNumberFormat="1" applyFill="1"/>
    <xf numFmtId="166" fontId="21" fillId="0" borderId="0" xfId="2" applyNumberFormat="1" applyFont="1" applyFill="1"/>
    <xf numFmtId="9" fontId="22" fillId="0" borderId="0" xfId="0" applyNumberFormat="1" applyFont="1" applyFill="1"/>
    <xf numFmtId="166" fontId="22" fillId="0" borderId="0" xfId="2" applyNumberFormat="1" applyFont="1" applyFill="1"/>
    <xf numFmtId="0" fontId="0" fillId="0" borderId="18" xfId="0" applyBorder="1"/>
    <xf numFmtId="0" fontId="0" fillId="14" borderId="18" xfId="0" applyFill="1" applyBorder="1"/>
    <xf numFmtId="165" fontId="21" fillId="0" borderId="0" xfId="1" applyNumberFormat="1" applyFont="1" applyAlignment="1">
      <alignment horizontal="right"/>
    </xf>
    <xf numFmtId="0" fontId="0" fillId="14" borderId="1" xfId="0" applyFill="1" applyBorder="1" applyAlignment="1">
      <alignment horizontal="center"/>
    </xf>
    <xf numFmtId="0" fontId="0" fillId="0" borderId="1" xfId="0" applyBorder="1" applyAlignment="1">
      <alignment horizontal="center"/>
    </xf>
    <xf numFmtId="0" fontId="0" fillId="0" borderId="0" xfId="0" applyFont="1"/>
    <xf numFmtId="0" fontId="36" fillId="0" borderId="0" xfId="0" applyFont="1"/>
    <xf numFmtId="166" fontId="33" fillId="7" borderId="17" xfId="2" applyNumberFormat="1" applyFont="1" applyFill="1" applyBorder="1"/>
    <xf numFmtId="0" fontId="20" fillId="0" borderId="0" xfId="0" applyFont="1" applyFill="1"/>
    <xf numFmtId="0" fontId="2" fillId="9" borderId="18" xfId="0" applyFont="1" applyFill="1" applyBorder="1" applyAlignment="1">
      <alignment horizontal="center"/>
    </xf>
    <xf numFmtId="0" fontId="2" fillId="15" borderId="18" xfId="0" applyFont="1" applyFill="1" applyBorder="1" applyAlignment="1">
      <alignment horizontal="center"/>
    </xf>
    <xf numFmtId="0" fontId="2" fillId="16" borderId="18" xfId="0" applyFont="1" applyFill="1" applyBorder="1" applyAlignment="1">
      <alignment horizontal="center"/>
    </xf>
    <xf numFmtId="0" fontId="2" fillId="17" borderId="18" xfId="0" applyFont="1" applyFill="1" applyBorder="1" applyAlignment="1">
      <alignment horizontal="center"/>
    </xf>
    <xf numFmtId="0" fontId="0" fillId="0" borderId="0" xfId="0" applyFill="1" applyAlignment="1">
      <alignment horizontal="right"/>
    </xf>
    <xf numFmtId="0" fontId="2" fillId="0" borderId="0" xfId="0" applyFont="1" applyBorder="1" applyAlignment="1">
      <alignment horizontal="center" wrapText="1"/>
    </xf>
    <xf numFmtId="9" fontId="22" fillId="0" borderId="0" xfId="0" applyNumberFormat="1" applyFont="1" applyFill="1" applyBorder="1"/>
    <xf numFmtId="0" fontId="37" fillId="0" borderId="0" xfId="0" applyFont="1"/>
    <xf numFmtId="0" fontId="2" fillId="8" borderId="0" xfId="0" applyFont="1" applyFill="1" applyAlignment="1">
      <alignment horizontal="right"/>
    </xf>
    <xf numFmtId="0" fontId="0" fillId="0" borderId="12" xfId="0" applyBorder="1"/>
    <xf numFmtId="0" fontId="2" fillId="2" borderId="11" xfId="0" applyFont="1" applyFill="1" applyBorder="1" applyAlignment="1">
      <alignment horizontal="center"/>
    </xf>
    <xf numFmtId="0" fontId="0" fillId="0" borderId="13" xfId="0" applyBorder="1"/>
    <xf numFmtId="0" fontId="0" fillId="0" borderId="11" xfId="0" applyBorder="1" applyAlignment="1">
      <alignment horizontal="center"/>
    </xf>
    <xf numFmtId="0" fontId="0" fillId="0" borderId="0" xfId="0" applyBorder="1" applyAlignment="1">
      <alignment horizontal="center"/>
    </xf>
    <xf numFmtId="0" fontId="0" fillId="0" borderId="13" xfId="0" applyFill="1" applyBorder="1"/>
    <xf numFmtId="0" fontId="0" fillId="0" borderId="15" xfId="0" applyBorder="1"/>
    <xf numFmtId="0" fontId="0" fillId="0" borderId="15" xfId="0" applyFill="1" applyBorder="1"/>
    <xf numFmtId="0" fontId="2" fillId="18" borderId="11" xfId="0" applyFont="1" applyFill="1" applyBorder="1"/>
    <xf numFmtId="1" fontId="0" fillId="0" borderId="0" xfId="0" applyNumberFormat="1" applyBorder="1" applyAlignment="1">
      <alignment horizontal="center"/>
    </xf>
    <xf numFmtId="0" fontId="0" fillId="0" borderId="0" xfId="0" applyAlignment="1"/>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40" fillId="4" borderId="0" xfId="0" applyFont="1" applyFill="1"/>
    <xf numFmtId="0" fontId="41" fillId="0" borderId="0" xfId="0" applyFont="1"/>
    <xf numFmtId="0" fontId="40" fillId="0" borderId="0" xfId="0" applyFont="1"/>
    <xf numFmtId="0" fontId="0" fillId="0" borderId="0" xfId="0" applyFill="1" applyBorder="1"/>
    <xf numFmtId="0" fontId="2" fillId="0" borderId="0" xfId="0" applyFont="1" applyFill="1" applyBorder="1"/>
    <xf numFmtId="44" fontId="0" fillId="0" borderId="0" xfId="0" applyNumberFormat="1" applyFill="1" applyBorder="1"/>
    <xf numFmtId="165" fontId="22" fillId="0" borderId="13" xfId="1" applyNumberFormat="1" applyFont="1" applyFill="1" applyBorder="1" applyAlignment="1" applyProtection="1">
      <alignment horizontal="center"/>
      <protection locked="0"/>
    </xf>
    <xf numFmtId="0" fontId="0" fillId="0" borderId="11" xfId="0" applyFill="1" applyBorder="1" applyAlignment="1">
      <alignment horizontal="center"/>
    </xf>
    <xf numFmtId="43" fontId="22" fillId="14" borderId="0" xfId="1" applyNumberFormat="1" applyFont="1" applyFill="1"/>
    <xf numFmtId="0" fontId="42" fillId="0" borderId="1" xfId="0" applyFont="1" applyBorder="1"/>
    <xf numFmtId="0" fontId="20" fillId="0" borderId="0" xfId="0" quotePrefix="1" applyFont="1" applyAlignment="1">
      <alignment horizontal="left"/>
    </xf>
    <xf numFmtId="9" fontId="21" fillId="0" borderId="0" xfId="0" applyNumberFormat="1" applyFont="1"/>
    <xf numFmtId="44" fontId="0" fillId="0" borderId="0" xfId="0" applyNumberFormat="1" applyFill="1"/>
    <xf numFmtId="165" fontId="0" fillId="0" borderId="0" xfId="0" applyNumberFormat="1"/>
    <xf numFmtId="43" fontId="0" fillId="0" borderId="0" xfId="0" applyNumberFormat="1" applyFill="1"/>
    <xf numFmtId="0" fontId="22" fillId="0" borderId="0" xfId="0" applyFont="1" applyFill="1"/>
    <xf numFmtId="0" fontId="2" fillId="0" borderId="1" xfId="0" applyFont="1" applyFill="1" applyBorder="1" applyAlignment="1">
      <alignment horizontal="right"/>
    </xf>
    <xf numFmtId="0" fontId="2" fillId="7" borderId="0" xfId="0" applyFont="1" applyFill="1" applyBorder="1" applyAlignment="1">
      <alignment horizontal="left"/>
    </xf>
    <xf numFmtId="0" fontId="2" fillId="0" borderId="1" xfId="0" applyFont="1" applyFill="1" applyBorder="1" applyAlignment="1"/>
    <xf numFmtId="165" fontId="22" fillId="0" borderId="0" xfId="1" applyNumberFormat="1" applyFont="1" applyProtection="1">
      <protection locked="0"/>
    </xf>
    <xf numFmtId="166" fontId="5" fillId="0" borderId="0" xfId="2" applyNumberFormat="1" applyFont="1" applyBorder="1" applyAlignment="1" applyProtection="1">
      <alignment horizontal="left"/>
      <protection locked="0"/>
    </xf>
    <xf numFmtId="165" fontId="5" fillId="0" borderId="0" xfId="1" applyNumberFormat="1" applyFont="1" applyBorder="1" applyAlignment="1" applyProtection="1">
      <alignment horizontal="left"/>
      <protection locked="0"/>
    </xf>
    <xf numFmtId="9" fontId="25" fillId="0" borderId="0" xfId="7" applyFont="1" applyBorder="1" applyAlignment="1" applyProtection="1">
      <alignment horizontal="right"/>
      <protection locked="0"/>
    </xf>
    <xf numFmtId="166" fontId="22" fillId="0" borderId="0" xfId="2" applyNumberFormat="1" applyFont="1" applyProtection="1">
      <protection locked="0"/>
    </xf>
    <xf numFmtId="165" fontId="0" fillId="0" borderId="12" xfId="1" applyNumberFormat="1" applyFont="1" applyFill="1" applyBorder="1" applyAlignment="1" applyProtection="1">
      <alignment horizontal="center"/>
    </xf>
    <xf numFmtId="165" fontId="0" fillId="0" borderId="13" xfId="1" applyNumberFormat="1" applyFont="1" applyFill="1" applyBorder="1" applyAlignment="1" applyProtection="1">
      <alignment horizontal="center"/>
    </xf>
    <xf numFmtId="9" fontId="1" fillId="0" borderId="15" xfId="7" applyFont="1" applyFill="1" applyBorder="1" applyAlignment="1" applyProtection="1">
      <alignment horizontal="center"/>
    </xf>
    <xf numFmtId="165" fontId="1" fillId="19" borderId="12" xfId="1" applyNumberFormat="1" applyFont="1" applyFill="1" applyBorder="1" applyAlignment="1" applyProtection="1">
      <alignment horizontal="center"/>
    </xf>
    <xf numFmtId="165" fontId="1" fillId="19" borderId="13" xfId="1" applyNumberFormat="1" applyFont="1" applyFill="1" applyBorder="1" applyAlignment="1" applyProtection="1">
      <alignment horizontal="center"/>
    </xf>
    <xf numFmtId="165" fontId="1" fillId="19" borderId="15" xfId="1" applyNumberFormat="1" applyFont="1" applyFill="1" applyBorder="1" applyAlignment="1" applyProtection="1">
      <alignment horizontal="center"/>
    </xf>
    <xf numFmtId="0" fontId="8" fillId="0" borderId="0" xfId="0" applyFont="1"/>
    <xf numFmtId="169" fontId="22" fillId="17" borderId="0" xfId="0" applyNumberFormat="1" applyFont="1" applyFill="1" applyBorder="1" applyProtection="1">
      <protection locked="0"/>
    </xf>
    <xf numFmtId="172" fontId="22" fillId="17" borderId="0" xfId="0" applyNumberFormat="1" applyFont="1" applyFill="1" applyBorder="1" applyProtection="1">
      <protection locked="0"/>
    </xf>
    <xf numFmtId="0" fontId="43" fillId="0" borderId="0" xfId="0" applyFont="1" applyAlignment="1">
      <alignment horizontal="left" vertical="center" indent="1"/>
    </xf>
    <xf numFmtId="0" fontId="0" fillId="17" borderId="18" xfId="0" applyFill="1" applyBorder="1"/>
    <xf numFmtId="0" fontId="2" fillId="17" borderId="0" xfId="0" applyFont="1" applyFill="1" applyAlignment="1">
      <alignment horizontal="center"/>
    </xf>
    <xf numFmtId="0" fontId="0" fillId="17" borderId="1" xfId="0" applyFill="1" applyBorder="1" applyAlignment="1">
      <alignment horizontal="center"/>
    </xf>
    <xf numFmtId="0" fontId="0" fillId="17" borderId="0" xfId="0" applyFill="1"/>
    <xf numFmtId="165" fontId="21" fillId="17" borderId="0" xfId="1" applyNumberFormat="1" applyFont="1" applyFill="1"/>
    <xf numFmtId="0" fontId="0" fillId="16" borderId="18" xfId="0" applyFill="1" applyBorder="1"/>
    <xf numFmtId="0" fontId="2" fillId="16" borderId="0" xfId="0" applyFont="1" applyFill="1" applyAlignment="1">
      <alignment horizontal="center"/>
    </xf>
    <xf numFmtId="0" fontId="0" fillId="16" borderId="1" xfId="0" applyFill="1" applyBorder="1" applyAlignment="1">
      <alignment horizontal="center"/>
    </xf>
    <xf numFmtId="0" fontId="0" fillId="16" borderId="0" xfId="0" applyFill="1"/>
    <xf numFmtId="165" fontId="21" fillId="16" borderId="0" xfId="1" applyNumberFormat="1" applyFont="1" applyFill="1"/>
    <xf numFmtId="0" fontId="0" fillId="15" borderId="18" xfId="0" applyFill="1" applyBorder="1"/>
    <xf numFmtId="0" fontId="2" fillId="15" borderId="0" xfId="0" applyFont="1" applyFill="1" applyAlignment="1">
      <alignment horizontal="center"/>
    </xf>
    <xf numFmtId="0" fontId="0" fillId="15" borderId="0" xfId="0" applyFill="1" applyAlignment="1">
      <alignment horizontal="center"/>
    </xf>
    <xf numFmtId="0" fontId="0" fillId="15" borderId="0" xfId="0" applyFill="1"/>
    <xf numFmtId="165" fontId="21" fillId="15" borderId="0" xfId="1" applyNumberFormat="1" applyFont="1" applyFill="1"/>
    <xf numFmtId="164" fontId="21" fillId="0" borderId="0" xfId="1" applyNumberFormat="1" applyFont="1"/>
    <xf numFmtId="164" fontId="22" fillId="0" borderId="0" xfId="1" applyNumberFormat="1" applyFont="1"/>
    <xf numFmtId="0" fontId="2" fillId="0" borderId="18" xfId="0" applyFont="1" applyFill="1" applyBorder="1" applyAlignment="1">
      <alignment horizontal="center"/>
    </xf>
    <xf numFmtId="165" fontId="0" fillId="17" borderId="0" xfId="1" applyNumberFormat="1" applyFont="1" applyFill="1"/>
    <xf numFmtId="9" fontId="0" fillId="17" borderId="0" xfId="7" applyFont="1" applyFill="1"/>
    <xf numFmtId="165" fontId="0" fillId="16" borderId="0" xfId="1" applyNumberFormat="1" applyFont="1" applyFill="1"/>
    <xf numFmtId="9" fontId="0" fillId="16" borderId="0" xfId="7" applyFont="1" applyFill="1"/>
    <xf numFmtId="165" fontId="0" fillId="15" borderId="0" xfId="1" applyNumberFormat="1" applyFont="1" applyFill="1"/>
    <xf numFmtId="9" fontId="0" fillId="15" borderId="0" xfId="7" applyFont="1" applyFill="1"/>
    <xf numFmtId="0" fontId="0" fillId="8" borderId="0" xfId="0" applyFill="1"/>
    <xf numFmtId="0" fontId="2" fillId="0" borderId="0" xfId="0" applyFont="1" applyFill="1" applyAlignment="1">
      <alignment horizontal="left"/>
    </xf>
    <xf numFmtId="0" fontId="0" fillId="0" borderId="19" xfId="0" applyFont="1" applyFill="1" applyBorder="1" applyAlignment="1">
      <alignment horizontal="left"/>
    </xf>
    <xf numFmtId="9" fontId="22" fillId="0" borderId="18" xfId="0" applyNumberFormat="1" applyFont="1" applyFill="1" applyBorder="1"/>
    <xf numFmtId="0" fontId="0" fillId="0" borderId="18" xfId="0" applyFill="1" applyBorder="1"/>
    <xf numFmtId="0" fontId="0" fillId="0" borderId="0" xfId="0" applyFont="1" applyFill="1" applyBorder="1" applyAlignment="1">
      <alignment horizontal="left"/>
    </xf>
    <xf numFmtId="166" fontId="0" fillId="0" borderId="0" xfId="2" applyNumberFormat="1" applyFont="1" applyFill="1" applyBorder="1"/>
    <xf numFmtId="0" fontId="0" fillId="0" borderId="20" xfId="0" applyFill="1" applyBorder="1"/>
    <xf numFmtId="0" fontId="2" fillId="8" borderId="0" xfId="0" applyFont="1" applyFill="1" applyBorder="1" applyAlignment="1">
      <alignment horizontal="left"/>
    </xf>
    <xf numFmtId="0" fontId="2" fillId="0" borderId="0" xfId="0" applyFont="1" applyFill="1" applyBorder="1" applyAlignment="1">
      <alignment horizontal="right"/>
    </xf>
    <xf numFmtId="0" fontId="2" fillId="0" borderId="0" xfId="0" applyFont="1" applyFill="1" applyBorder="1" applyAlignment="1">
      <alignment horizontal="left"/>
    </xf>
    <xf numFmtId="0" fontId="0" fillId="0" borderId="21" xfId="0" applyFill="1" applyBorder="1" applyAlignment="1">
      <alignment horizontal="left"/>
    </xf>
    <xf numFmtId="0" fontId="0" fillId="0" borderId="23" xfId="0" applyFill="1" applyBorder="1" applyAlignment="1">
      <alignment horizontal="left"/>
    </xf>
    <xf numFmtId="0" fontId="0" fillId="0" borderId="25" xfId="0" applyFill="1" applyBorder="1"/>
    <xf numFmtId="0" fontId="20" fillId="0" borderId="25" xfId="0" applyFont="1" applyFill="1" applyBorder="1"/>
    <xf numFmtId="0" fontId="0" fillId="0" borderId="1" xfId="0" applyFill="1" applyBorder="1"/>
    <xf numFmtId="0" fontId="0" fillId="7" borderId="18" xfId="0" applyFill="1" applyBorder="1"/>
    <xf numFmtId="166" fontId="0" fillId="7" borderId="18" xfId="2" applyNumberFormat="1" applyFont="1" applyFill="1" applyBorder="1"/>
    <xf numFmtId="166" fontId="0" fillId="7" borderId="20" xfId="2" applyNumberFormat="1" applyFont="1" applyFill="1" applyBorder="1"/>
    <xf numFmtId="166" fontId="8" fillId="7" borderId="22" xfId="2" applyNumberFormat="1" applyFont="1" applyFill="1" applyBorder="1"/>
    <xf numFmtId="0" fontId="2" fillId="7" borderId="24" xfId="0" applyFont="1" applyFill="1" applyBorder="1" applyAlignment="1">
      <alignment horizontal="center"/>
    </xf>
    <xf numFmtId="43" fontId="44" fillId="0" borderId="0" xfId="1" applyFont="1"/>
    <xf numFmtId="0" fontId="9" fillId="0" borderId="0" xfId="3" applyAlignment="1" applyProtection="1">
      <alignment horizontal="left"/>
      <protection locked="0"/>
    </xf>
    <xf numFmtId="0" fontId="18" fillId="0" borderId="0" xfId="6" applyAlignment="1" applyProtection="1">
      <alignment horizontal="left"/>
      <protection locked="0"/>
    </xf>
    <xf numFmtId="0" fontId="12" fillId="0" borderId="12" xfId="3" applyFont="1" applyFill="1" applyBorder="1" applyAlignment="1" applyProtection="1">
      <alignment horizontal="center" vertical="center" textRotation="45"/>
    </xf>
    <xf numFmtId="0" fontId="12" fillId="0" borderId="13" xfId="3" applyFont="1" applyFill="1" applyBorder="1" applyAlignment="1" applyProtection="1">
      <alignment horizontal="center" vertical="center" textRotation="45"/>
    </xf>
    <xf numFmtId="0" fontId="12" fillId="0" borderId="15" xfId="3" applyFont="1" applyFill="1" applyBorder="1" applyAlignment="1" applyProtection="1">
      <alignment horizontal="center" vertical="center" textRotation="45"/>
    </xf>
    <xf numFmtId="0" fontId="12" fillId="0" borderId="3" xfId="3" applyFont="1" applyBorder="1" applyAlignment="1" applyProtection="1">
      <alignment horizontal="left" vertical="center"/>
    </xf>
    <xf numFmtId="0" fontId="9" fillId="0" borderId="3" xfId="3" applyBorder="1" applyAlignment="1">
      <alignment vertical="center"/>
    </xf>
    <xf numFmtId="0" fontId="9" fillId="0" borderId="4" xfId="3" applyBorder="1" applyAlignment="1">
      <alignment vertical="center"/>
    </xf>
    <xf numFmtId="0" fontId="9" fillId="0" borderId="0" xfId="3" applyBorder="1" applyAlignment="1" applyProtection="1">
      <alignment horizontal="left" vertical="center"/>
    </xf>
    <xf numFmtId="0" fontId="9" fillId="0" borderId="0" xfId="3" applyAlignment="1">
      <alignment vertical="center"/>
    </xf>
    <xf numFmtId="0" fontId="9" fillId="0" borderId="14" xfId="3" applyBorder="1" applyAlignment="1">
      <alignment vertical="center"/>
    </xf>
    <xf numFmtId="0" fontId="16" fillId="0" borderId="0" xfId="3" applyFont="1" applyBorder="1" applyAlignment="1" applyProtection="1">
      <alignment horizontal="right" vertical="center"/>
    </xf>
    <xf numFmtId="0" fontId="11" fillId="0" borderId="6" xfId="3" applyFont="1" applyBorder="1" applyAlignment="1" applyProtection="1">
      <alignment horizontal="right" vertical="center"/>
    </xf>
    <xf numFmtId="0" fontId="12" fillId="0" borderId="16" xfId="3" applyFont="1" applyBorder="1" applyAlignment="1" applyProtection="1">
      <alignment horizontal="left" vertical="center"/>
    </xf>
    <xf numFmtId="0" fontId="9" fillId="0" borderId="0" xfId="3" applyBorder="1" applyAlignment="1">
      <alignment vertical="center"/>
    </xf>
    <xf numFmtId="0" fontId="9" fillId="0" borderId="16" xfId="3" applyBorder="1" applyAlignment="1" applyProtection="1">
      <alignment horizontal="left" vertical="center"/>
    </xf>
    <xf numFmtId="3" fontId="9" fillId="0" borderId="5" xfId="3" applyNumberFormat="1" applyBorder="1" applyAlignment="1" applyProtection="1">
      <alignment horizontal="center" vertical="center"/>
    </xf>
    <xf numFmtId="0" fontId="9" fillId="0" borderId="6" xfId="3" applyBorder="1" applyAlignment="1" applyProtection="1">
      <alignment horizontal="center" vertical="center"/>
    </xf>
    <xf numFmtId="0" fontId="10" fillId="0" borderId="2" xfId="3" applyFont="1" applyBorder="1" applyAlignment="1" applyProtection="1">
      <alignment horizontal="center" vertical="center"/>
    </xf>
    <xf numFmtId="0" fontId="9" fillId="0" borderId="3" xfId="3" applyBorder="1" applyAlignment="1"/>
    <xf numFmtId="0" fontId="9" fillId="0" borderId="4" xfId="3" applyBorder="1" applyAlignment="1"/>
    <xf numFmtId="0" fontId="9" fillId="0" borderId="5" xfId="3" applyBorder="1" applyAlignment="1"/>
    <xf numFmtId="0" fontId="9" fillId="0" borderId="6" xfId="3" applyBorder="1" applyAlignment="1"/>
    <xf numFmtId="0" fontId="9" fillId="0" borderId="7" xfId="3" applyBorder="1" applyAlignment="1"/>
    <xf numFmtId="0" fontId="11" fillId="13" borderId="8" xfId="3" applyFont="1" applyFill="1" applyBorder="1" applyAlignment="1" applyProtection="1">
      <alignment horizontal="center" vertical="center" wrapText="1"/>
    </xf>
    <xf numFmtId="0" fontId="11" fillId="13" borderId="9" xfId="3" applyFont="1" applyFill="1" applyBorder="1" applyAlignment="1" applyProtection="1">
      <alignment horizontal="center" vertical="center" wrapText="1"/>
    </xf>
    <xf numFmtId="0" fontId="11" fillId="13" borderId="10" xfId="3" applyFont="1" applyFill="1" applyBorder="1" applyAlignment="1" applyProtection="1">
      <alignment horizontal="center" vertical="center" wrapText="1"/>
    </xf>
    <xf numFmtId="0" fontId="12" fillId="0" borderId="8" xfId="3" applyFont="1" applyBorder="1" applyAlignment="1" applyProtection="1">
      <alignment vertical="center" wrapText="1"/>
    </xf>
    <xf numFmtId="0" fontId="12" fillId="0" borderId="9" xfId="3" applyFont="1" applyBorder="1" applyAlignment="1" applyProtection="1">
      <alignment vertical="center" wrapText="1"/>
    </xf>
    <xf numFmtId="0" fontId="12" fillId="0" borderId="10" xfId="3" applyFont="1" applyBorder="1" applyAlignment="1" applyProtection="1">
      <alignment vertical="center" wrapText="1"/>
    </xf>
    <xf numFmtId="0" fontId="12" fillId="0" borderId="12" xfId="3" applyFont="1" applyBorder="1" applyAlignment="1" applyProtection="1">
      <alignment horizontal="center" vertical="center" textRotation="45"/>
    </xf>
    <xf numFmtId="0" fontId="12" fillId="0" borderId="13" xfId="3" applyFont="1" applyBorder="1" applyAlignment="1" applyProtection="1">
      <alignment horizontal="center" vertical="center" textRotation="45"/>
    </xf>
    <xf numFmtId="0" fontId="12" fillId="0" borderId="15" xfId="3" applyFont="1" applyBorder="1" applyAlignment="1" applyProtection="1">
      <alignment horizontal="center" vertical="center" textRotation="45"/>
    </xf>
    <xf numFmtId="0" fontId="9" fillId="0" borderId="5" xfId="3" applyBorder="1" applyAlignment="1" applyProtection="1">
      <alignment horizontal="left" vertical="center"/>
    </xf>
    <xf numFmtId="0" fontId="9" fillId="0" borderId="6" xfId="3" applyBorder="1" applyAlignment="1">
      <alignment vertical="center"/>
    </xf>
    <xf numFmtId="0" fontId="9" fillId="0" borderId="7" xfId="3" applyBorder="1" applyAlignment="1">
      <alignment vertical="center"/>
    </xf>
    <xf numFmtId="0" fontId="2" fillId="0" borderId="0" xfId="0" applyFont="1" applyFill="1" applyAlignment="1">
      <alignment horizontal="right"/>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8" borderId="0" xfId="0" applyFont="1" applyFill="1" applyAlignment="1">
      <alignment horizontal="right"/>
    </xf>
    <xf numFmtId="0" fontId="2" fillId="8" borderId="0" xfId="0" applyFont="1" applyFill="1" applyAlignment="1">
      <alignment horizontal="left"/>
    </xf>
    <xf numFmtId="0" fontId="2" fillId="10" borderId="0" xfId="0" applyFont="1" applyFill="1" applyAlignment="1">
      <alignment horizontal="center"/>
    </xf>
    <xf numFmtId="0" fontId="2" fillId="11" borderId="0" xfId="0" applyFont="1" applyFill="1" applyAlignment="1">
      <alignment horizontal="center"/>
    </xf>
    <xf numFmtId="0" fontId="2" fillId="12" borderId="0" xfId="0" applyFont="1" applyFill="1" applyAlignment="1">
      <alignment horizontal="center"/>
    </xf>
  </cellXfs>
  <cellStyles count="8">
    <cellStyle name="Comma" xfId="1" builtinId="3"/>
    <cellStyle name="Currency" xfId="2" builtinId="4"/>
    <cellStyle name="Currency 2" xfId="4"/>
    <cellStyle name="Hyperlink" xfId="6" builtinId="8"/>
    <cellStyle name="Normal" xfId="0" builtinId="0"/>
    <cellStyle name="Normal 2" xfId="3"/>
    <cellStyle name="Percent" xfId="7" builtinId="5"/>
    <cellStyle name="Percent 2" xfId="5"/>
  </cellStyles>
  <dxfs count="4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1">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254B4A-647D-4BB1-8031-9D9BB9614E95}" type="doc">
      <dgm:prSet loTypeId="urn:microsoft.com/office/officeart/2005/8/layout/funnel1" loCatId="relationship" qsTypeId="urn:microsoft.com/office/officeart/2005/8/quickstyle/simple1" qsCatId="simple" csTypeId="urn:microsoft.com/office/officeart/2005/8/colors/accent1_2#1" csCatId="accent1" phldr="1"/>
      <dgm:spPr/>
      <dgm:t>
        <a:bodyPr/>
        <a:lstStyle/>
        <a:p>
          <a:endParaRPr lang="en-US"/>
        </a:p>
      </dgm:t>
    </dgm:pt>
    <dgm:pt modelId="{C02B2CF7-1DF5-4C5B-A87D-A86813E32726}">
      <dgm:prSet phldrT="[Text]"/>
      <dgm:spPr>
        <a:solidFill>
          <a:srgbClr val="7030A0"/>
        </a:solidFill>
      </dgm:spPr>
      <dgm:t>
        <a:bodyPr/>
        <a:lstStyle/>
        <a:p>
          <a:r>
            <a:rPr lang="en-US"/>
            <a:t>Visitors</a:t>
          </a:r>
        </a:p>
      </dgm:t>
    </dgm:pt>
    <dgm:pt modelId="{6C2676B9-7879-409C-B5EC-5974F55BFE52}" type="parTrans" cxnId="{91E306D9-704F-44EC-B46A-70C3FE1FFA51}">
      <dgm:prSet/>
      <dgm:spPr/>
      <dgm:t>
        <a:bodyPr/>
        <a:lstStyle/>
        <a:p>
          <a:endParaRPr lang="en-US"/>
        </a:p>
      </dgm:t>
    </dgm:pt>
    <dgm:pt modelId="{CCBA89D1-4BE6-4BB4-937A-2BF1EDBFFD4D}" type="sibTrans" cxnId="{91E306D9-704F-44EC-B46A-70C3FE1FFA51}">
      <dgm:prSet/>
      <dgm:spPr/>
      <dgm:t>
        <a:bodyPr/>
        <a:lstStyle/>
        <a:p>
          <a:endParaRPr lang="en-US"/>
        </a:p>
      </dgm:t>
    </dgm:pt>
    <dgm:pt modelId="{3DAD49B8-2546-4CCB-B3F7-C4A4726A6464}">
      <dgm:prSet phldrT="[Text]"/>
      <dgm:spPr>
        <a:solidFill>
          <a:srgbClr val="FFFF00"/>
        </a:solidFill>
      </dgm:spPr>
      <dgm:t>
        <a:bodyPr/>
        <a:lstStyle/>
        <a:p>
          <a:r>
            <a:rPr lang="en-US">
              <a:solidFill>
                <a:srgbClr val="FF0000"/>
              </a:solidFill>
            </a:rPr>
            <a:t>Leads</a:t>
          </a:r>
        </a:p>
      </dgm:t>
    </dgm:pt>
    <dgm:pt modelId="{BA21E175-89C9-4ED8-86EB-B18222C87652}" type="parTrans" cxnId="{D11330F4-CC29-43DA-8956-E90D395AFD40}">
      <dgm:prSet/>
      <dgm:spPr/>
      <dgm:t>
        <a:bodyPr/>
        <a:lstStyle/>
        <a:p>
          <a:endParaRPr lang="en-US"/>
        </a:p>
      </dgm:t>
    </dgm:pt>
    <dgm:pt modelId="{2BE53E49-3721-4D7D-A122-FE39BD7199CB}" type="sibTrans" cxnId="{D11330F4-CC29-43DA-8956-E90D395AFD40}">
      <dgm:prSet/>
      <dgm:spPr/>
      <dgm:t>
        <a:bodyPr/>
        <a:lstStyle/>
        <a:p>
          <a:endParaRPr lang="en-US"/>
        </a:p>
      </dgm:t>
    </dgm:pt>
    <dgm:pt modelId="{7BCF701A-C342-46BF-A153-856EBFCF65E3}">
      <dgm:prSet phldrT="[Text]"/>
      <dgm:spPr>
        <a:solidFill>
          <a:srgbClr val="92D050"/>
        </a:solidFill>
      </dgm:spPr>
      <dgm:t>
        <a:bodyPr/>
        <a:lstStyle/>
        <a:p>
          <a:r>
            <a:rPr lang="en-US">
              <a:solidFill>
                <a:sysClr val="windowText" lastClr="000000"/>
              </a:solidFill>
            </a:rPr>
            <a:t>Customers</a:t>
          </a:r>
        </a:p>
      </dgm:t>
    </dgm:pt>
    <dgm:pt modelId="{20FD4CCD-85F4-4212-88F4-0F338530AA70}" type="parTrans" cxnId="{ABAF7BF8-BE76-4BED-BB7F-1F1A67510803}">
      <dgm:prSet/>
      <dgm:spPr/>
      <dgm:t>
        <a:bodyPr/>
        <a:lstStyle/>
        <a:p>
          <a:endParaRPr lang="en-US"/>
        </a:p>
      </dgm:t>
    </dgm:pt>
    <dgm:pt modelId="{8908A0ED-5DB5-403C-BB8E-045D39278A4A}" type="sibTrans" cxnId="{ABAF7BF8-BE76-4BED-BB7F-1F1A67510803}">
      <dgm:prSet/>
      <dgm:spPr/>
      <dgm:t>
        <a:bodyPr/>
        <a:lstStyle/>
        <a:p>
          <a:endParaRPr lang="en-US"/>
        </a:p>
      </dgm:t>
    </dgm:pt>
    <dgm:pt modelId="{A4A7ACC2-A6AD-4496-86AE-3FE86218E75B}">
      <dgm:prSet phldrT="[Text]"/>
      <dgm:spPr/>
      <dgm:t>
        <a:bodyPr/>
        <a:lstStyle/>
        <a:p>
          <a:r>
            <a:rPr lang="en-US"/>
            <a:t>New Monthly Revenue</a:t>
          </a:r>
        </a:p>
      </dgm:t>
    </dgm:pt>
    <dgm:pt modelId="{4478B7B7-3E78-4500-AA2D-6E8C0967B0B3}" type="parTrans" cxnId="{30F6D9E5-039C-424F-8EA9-0D5E72B52E20}">
      <dgm:prSet/>
      <dgm:spPr/>
      <dgm:t>
        <a:bodyPr/>
        <a:lstStyle/>
        <a:p>
          <a:endParaRPr lang="en-US"/>
        </a:p>
      </dgm:t>
    </dgm:pt>
    <dgm:pt modelId="{E0964558-4C1F-48B2-B6DC-70745C130A78}" type="sibTrans" cxnId="{30F6D9E5-039C-424F-8EA9-0D5E72B52E20}">
      <dgm:prSet/>
      <dgm:spPr/>
      <dgm:t>
        <a:bodyPr/>
        <a:lstStyle/>
        <a:p>
          <a:endParaRPr lang="en-US"/>
        </a:p>
      </dgm:t>
    </dgm:pt>
    <dgm:pt modelId="{E2C6B3D4-6DA9-4FB6-9930-AA48EAEB4168}" type="pres">
      <dgm:prSet presAssocID="{99254B4A-647D-4BB1-8031-9D9BB9614E95}" presName="Name0" presStyleCnt="0">
        <dgm:presLayoutVars>
          <dgm:chMax val="4"/>
          <dgm:resizeHandles val="exact"/>
        </dgm:presLayoutVars>
      </dgm:prSet>
      <dgm:spPr/>
      <dgm:t>
        <a:bodyPr/>
        <a:lstStyle/>
        <a:p>
          <a:endParaRPr lang="en-US"/>
        </a:p>
      </dgm:t>
    </dgm:pt>
    <dgm:pt modelId="{B1F4AE27-FC8E-446F-9B7A-4E39BCC9ADE1}" type="pres">
      <dgm:prSet presAssocID="{99254B4A-647D-4BB1-8031-9D9BB9614E95}" presName="ellipse" presStyleLbl="trBgShp" presStyleIdx="0" presStyleCnt="1"/>
      <dgm:spPr/>
    </dgm:pt>
    <dgm:pt modelId="{9854F6BD-1BDC-4E50-A425-3D345F6480C4}" type="pres">
      <dgm:prSet presAssocID="{99254B4A-647D-4BB1-8031-9D9BB9614E95}" presName="arrow1" presStyleLbl="fgShp" presStyleIdx="0" presStyleCnt="1" custScaleY="147590" custLinFactNeighborY="38251"/>
      <dgm:spPr>
        <a:solidFill>
          <a:srgbClr val="FF0000"/>
        </a:solidFill>
      </dgm:spPr>
    </dgm:pt>
    <dgm:pt modelId="{BEE7A6C2-B5DF-462C-A117-5B5180DE1FA7}" type="pres">
      <dgm:prSet presAssocID="{99254B4A-647D-4BB1-8031-9D9BB9614E95}" presName="rectangle" presStyleLbl="revTx" presStyleIdx="0" presStyleCnt="1" custLinFactNeighborX="364" custLinFactNeighborY="21858">
        <dgm:presLayoutVars>
          <dgm:bulletEnabled val="1"/>
        </dgm:presLayoutVars>
      </dgm:prSet>
      <dgm:spPr/>
      <dgm:t>
        <a:bodyPr/>
        <a:lstStyle/>
        <a:p>
          <a:endParaRPr lang="en-US"/>
        </a:p>
      </dgm:t>
    </dgm:pt>
    <dgm:pt modelId="{773D32F3-AC6D-4925-8D05-A6DFF00833DD}" type="pres">
      <dgm:prSet presAssocID="{3DAD49B8-2546-4CCB-B3F7-C4A4726A6464}" presName="item1" presStyleLbl="node1" presStyleIdx="0" presStyleCnt="3">
        <dgm:presLayoutVars>
          <dgm:bulletEnabled val="1"/>
        </dgm:presLayoutVars>
      </dgm:prSet>
      <dgm:spPr/>
      <dgm:t>
        <a:bodyPr/>
        <a:lstStyle/>
        <a:p>
          <a:endParaRPr lang="en-US"/>
        </a:p>
      </dgm:t>
    </dgm:pt>
    <dgm:pt modelId="{CBF5BBE9-0BE2-4148-AC8A-1492D5345691}" type="pres">
      <dgm:prSet presAssocID="{7BCF701A-C342-46BF-A153-856EBFCF65E3}" presName="item2" presStyleLbl="node1" presStyleIdx="1" presStyleCnt="3">
        <dgm:presLayoutVars>
          <dgm:bulletEnabled val="1"/>
        </dgm:presLayoutVars>
      </dgm:prSet>
      <dgm:spPr/>
      <dgm:t>
        <a:bodyPr/>
        <a:lstStyle/>
        <a:p>
          <a:endParaRPr lang="en-US"/>
        </a:p>
      </dgm:t>
    </dgm:pt>
    <dgm:pt modelId="{7752B6F5-DCB5-4678-A67C-7887E0C9EE6A}" type="pres">
      <dgm:prSet presAssocID="{A4A7ACC2-A6AD-4496-86AE-3FE86218E75B}" presName="item3" presStyleLbl="node1" presStyleIdx="2" presStyleCnt="3">
        <dgm:presLayoutVars>
          <dgm:bulletEnabled val="1"/>
        </dgm:presLayoutVars>
      </dgm:prSet>
      <dgm:spPr/>
      <dgm:t>
        <a:bodyPr/>
        <a:lstStyle/>
        <a:p>
          <a:endParaRPr lang="en-US"/>
        </a:p>
      </dgm:t>
    </dgm:pt>
    <dgm:pt modelId="{4F450DF6-959D-45E7-9619-B8E738CA08B8}" type="pres">
      <dgm:prSet presAssocID="{99254B4A-647D-4BB1-8031-9D9BB9614E95}" presName="funnel" presStyleLbl="trAlignAcc1" presStyleIdx="0" presStyleCnt="1" custScaleY="107653"/>
      <dgm:spPr/>
    </dgm:pt>
  </dgm:ptLst>
  <dgm:cxnLst>
    <dgm:cxn modelId="{0E4C4A2B-554A-4052-BAF7-A6C37F173017}" type="presOf" srcId="{A4A7ACC2-A6AD-4496-86AE-3FE86218E75B}" destId="{BEE7A6C2-B5DF-462C-A117-5B5180DE1FA7}" srcOrd="0" destOrd="0" presId="urn:microsoft.com/office/officeart/2005/8/layout/funnel1"/>
    <dgm:cxn modelId="{30F6D9E5-039C-424F-8EA9-0D5E72B52E20}" srcId="{99254B4A-647D-4BB1-8031-9D9BB9614E95}" destId="{A4A7ACC2-A6AD-4496-86AE-3FE86218E75B}" srcOrd="3" destOrd="0" parTransId="{4478B7B7-3E78-4500-AA2D-6E8C0967B0B3}" sibTransId="{E0964558-4C1F-48B2-B6DC-70745C130A78}"/>
    <dgm:cxn modelId="{AF1C5990-887C-4340-B542-61ECA7B26684}" type="presOf" srcId="{99254B4A-647D-4BB1-8031-9D9BB9614E95}" destId="{E2C6B3D4-6DA9-4FB6-9930-AA48EAEB4168}" srcOrd="0" destOrd="0" presId="urn:microsoft.com/office/officeart/2005/8/layout/funnel1"/>
    <dgm:cxn modelId="{D11330F4-CC29-43DA-8956-E90D395AFD40}" srcId="{99254B4A-647D-4BB1-8031-9D9BB9614E95}" destId="{3DAD49B8-2546-4CCB-B3F7-C4A4726A6464}" srcOrd="1" destOrd="0" parTransId="{BA21E175-89C9-4ED8-86EB-B18222C87652}" sibTransId="{2BE53E49-3721-4D7D-A122-FE39BD7199CB}"/>
    <dgm:cxn modelId="{B09F5715-6F1B-49C5-B42F-A07C33FAE8F1}" type="presOf" srcId="{3DAD49B8-2546-4CCB-B3F7-C4A4726A6464}" destId="{CBF5BBE9-0BE2-4148-AC8A-1492D5345691}" srcOrd="0" destOrd="0" presId="urn:microsoft.com/office/officeart/2005/8/layout/funnel1"/>
    <dgm:cxn modelId="{ABAF7BF8-BE76-4BED-BB7F-1F1A67510803}" srcId="{99254B4A-647D-4BB1-8031-9D9BB9614E95}" destId="{7BCF701A-C342-46BF-A153-856EBFCF65E3}" srcOrd="2" destOrd="0" parTransId="{20FD4CCD-85F4-4212-88F4-0F338530AA70}" sibTransId="{8908A0ED-5DB5-403C-BB8E-045D39278A4A}"/>
    <dgm:cxn modelId="{DD6D58F2-3946-49F8-9F95-A9627E022D24}" type="presOf" srcId="{C02B2CF7-1DF5-4C5B-A87D-A86813E32726}" destId="{7752B6F5-DCB5-4678-A67C-7887E0C9EE6A}" srcOrd="0" destOrd="0" presId="urn:microsoft.com/office/officeart/2005/8/layout/funnel1"/>
    <dgm:cxn modelId="{91E306D9-704F-44EC-B46A-70C3FE1FFA51}" srcId="{99254B4A-647D-4BB1-8031-9D9BB9614E95}" destId="{C02B2CF7-1DF5-4C5B-A87D-A86813E32726}" srcOrd="0" destOrd="0" parTransId="{6C2676B9-7879-409C-B5EC-5974F55BFE52}" sibTransId="{CCBA89D1-4BE6-4BB4-937A-2BF1EDBFFD4D}"/>
    <dgm:cxn modelId="{C4B7FF8D-694B-4110-9F17-D2627AF410BD}" type="presOf" srcId="{7BCF701A-C342-46BF-A153-856EBFCF65E3}" destId="{773D32F3-AC6D-4925-8D05-A6DFF00833DD}" srcOrd="0" destOrd="0" presId="urn:microsoft.com/office/officeart/2005/8/layout/funnel1"/>
    <dgm:cxn modelId="{D8E10462-B205-4D5E-97DA-DB8D77617AA2}" type="presParOf" srcId="{E2C6B3D4-6DA9-4FB6-9930-AA48EAEB4168}" destId="{B1F4AE27-FC8E-446F-9B7A-4E39BCC9ADE1}" srcOrd="0" destOrd="0" presId="urn:microsoft.com/office/officeart/2005/8/layout/funnel1"/>
    <dgm:cxn modelId="{E627E044-0F97-4DC6-9B45-47509FF6BF04}" type="presParOf" srcId="{E2C6B3D4-6DA9-4FB6-9930-AA48EAEB4168}" destId="{9854F6BD-1BDC-4E50-A425-3D345F6480C4}" srcOrd="1" destOrd="0" presId="urn:microsoft.com/office/officeart/2005/8/layout/funnel1"/>
    <dgm:cxn modelId="{15CBFB30-8628-407F-B61A-60E3D0866E97}" type="presParOf" srcId="{E2C6B3D4-6DA9-4FB6-9930-AA48EAEB4168}" destId="{BEE7A6C2-B5DF-462C-A117-5B5180DE1FA7}" srcOrd="2" destOrd="0" presId="urn:microsoft.com/office/officeart/2005/8/layout/funnel1"/>
    <dgm:cxn modelId="{03F6E1E1-9A25-4D10-B3CF-32951503DF0A}" type="presParOf" srcId="{E2C6B3D4-6DA9-4FB6-9930-AA48EAEB4168}" destId="{773D32F3-AC6D-4925-8D05-A6DFF00833DD}" srcOrd="3" destOrd="0" presId="urn:microsoft.com/office/officeart/2005/8/layout/funnel1"/>
    <dgm:cxn modelId="{996BE89C-A1F9-49DE-8190-0E03B7B31E49}" type="presParOf" srcId="{E2C6B3D4-6DA9-4FB6-9930-AA48EAEB4168}" destId="{CBF5BBE9-0BE2-4148-AC8A-1492D5345691}" srcOrd="4" destOrd="0" presId="urn:microsoft.com/office/officeart/2005/8/layout/funnel1"/>
    <dgm:cxn modelId="{8F693E4C-8B44-4463-A540-DF80FC0752C6}" type="presParOf" srcId="{E2C6B3D4-6DA9-4FB6-9930-AA48EAEB4168}" destId="{7752B6F5-DCB5-4678-A67C-7887E0C9EE6A}" srcOrd="5" destOrd="0" presId="urn:microsoft.com/office/officeart/2005/8/layout/funnel1"/>
    <dgm:cxn modelId="{3F61BBFD-0738-437C-8302-01F6AA4E9112}" type="presParOf" srcId="{E2C6B3D4-6DA9-4FB6-9930-AA48EAEB4168}" destId="{4F450DF6-959D-45E7-9619-B8E738CA08B8}" srcOrd="6" destOrd="0" presId="urn:microsoft.com/office/officeart/2005/8/layout/funnel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1F4AE27-FC8E-446F-9B7A-4E39BCC9ADE1}">
      <dsp:nvSpPr>
        <dsp:cNvPr id="0" name=""/>
        <dsp:cNvSpPr/>
      </dsp:nvSpPr>
      <dsp:spPr>
        <a:xfrm>
          <a:off x="1016268" y="180276"/>
          <a:ext cx="2690749" cy="934461"/>
        </a:xfrm>
        <a:prstGeom prst="ellipse">
          <a:avLst/>
        </a:prstGeom>
        <a:solidFill>
          <a:schemeClr val="accent1">
            <a:tint val="50000"/>
            <a:alpha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9854F6BD-1BDC-4E50-A425-3D345F6480C4}">
      <dsp:nvSpPr>
        <dsp:cNvPr id="0" name=""/>
        <dsp:cNvSpPr/>
      </dsp:nvSpPr>
      <dsp:spPr>
        <a:xfrm>
          <a:off x="2105083" y="2516702"/>
          <a:ext cx="521463" cy="492561"/>
        </a:xfrm>
        <a:prstGeom prst="downArrow">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BEE7A6C2-B5DF-462C-A117-5B5180DE1FA7}">
      <dsp:nvSpPr>
        <dsp:cNvPr id="0" name=""/>
        <dsp:cNvSpPr/>
      </dsp:nvSpPr>
      <dsp:spPr>
        <a:xfrm>
          <a:off x="1123414" y="2735446"/>
          <a:ext cx="2503023" cy="62575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US" sz="1800" kern="1200"/>
            <a:t>New Monthly Revenue</a:t>
          </a:r>
        </a:p>
      </dsp:txBody>
      <dsp:txXfrm>
        <a:off x="1123414" y="2735446"/>
        <a:ext cx="2503023" cy="625755"/>
      </dsp:txXfrm>
    </dsp:sp>
    <dsp:sp modelId="{773D32F3-AC6D-4925-8D05-A6DFF00833DD}">
      <dsp:nvSpPr>
        <dsp:cNvPr id="0" name=""/>
        <dsp:cNvSpPr/>
      </dsp:nvSpPr>
      <dsp:spPr>
        <a:xfrm>
          <a:off x="1994533" y="1186909"/>
          <a:ext cx="938633" cy="938633"/>
        </a:xfrm>
        <a:prstGeom prst="ellipse">
          <a:avLst/>
        </a:prstGeom>
        <a:solidFill>
          <a:srgbClr val="92D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en-US" sz="1100" kern="1200">
              <a:solidFill>
                <a:sysClr val="windowText" lastClr="000000"/>
              </a:solidFill>
            </a:rPr>
            <a:t>Customers</a:t>
          </a:r>
        </a:p>
      </dsp:txBody>
      <dsp:txXfrm>
        <a:off x="2131993" y="1324369"/>
        <a:ext cx="663713" cy="663713"/>
      </dsp:txXfrm>
    </dsp:sp>
    <dsp:sp modelId="{CBF5BBE9-0BE2-4148-AC8A-1492D5345691}">
      <dsp:nvSpPr>
        <dsp:cNvPr id="0" name=""/>
        <dsp:cNvSpPr/>
      </dsp:nvSpPr>
      <dsp:spPr>
        <a:xfrm>
          <a:off x="1322888" y="482725"/>
          <a:ext cx="938633" cy="938633"/>
        </a:xfrm>
        <a:prstGeom prst="ellipse">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en-US" sz="1100" kern="1200">
              <a:solidFill>
                <a:srgbClr val="FF0000"/>
              </a:solidFill>
            </a:rPr>
            <a:t>Leads</a:t>
          </a:r>
        </a:p>
      </dsp:txBody>
      <dsp:txXfrm>
        <a:off x="1460348" y="620185"/>
        <a:ext cx="663713" cy="663713"/>
      </dsp:txXfrm>
    </dsp:sp>
    <dsp:sp modelId="{7752B6F5-DCB5-4678-A67C-7887E0C9EE6A}">
      <dsp:nvSpPr>
        <dsp:cNvPr id="0" name=""/>
        <dsp:cNvSpPr/>
      </dsp:nvSpPr>
      <dsp:spPr>
        <a:xfrm>
          <a:off x="2282380" y="255784"/>
          <a:ext cx="938633" cy="938633"/>
        </a:xfrm>
        <a:prstGeom prst="ellipse">
          <a:avLst/>
        </a:prstGeom>
        <a:solidFill>
          <a:srgbClr val="7030A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en-US" sz="1100" kern="1200"/>
            <a:t>Visitors</a:t>
          </a:r>
        </a:p>
      </dsp:txBody>
      <dsp:txXfrm>
        <a:off x="2419840" y="393244"/>
        <a:ext cx="663713" cy="663713"/>
      </dsp:txXfrm>
    </dsp:sp>
    <dsp:sp modelId="{4F450DF6-959D-45E7-9619-B8E738CA08B8}">
      <dsp:nvSpPr>
        <dsp:cNvPr id="0" name=""/>
        <dsp:cNvSpPr/>
      </dsp:nvSpPr>
      <dsp:spPr>
        <a:xfrm>
          <a:off x="905718" y="-23837"/>
          <a:ext cx="2920193" cy="2514940"/>
        </a:xfrm>
        <a:prstGeom prst="funnel">
          <a:avLst/>
        </a:prstGeom>
        <a:solidFill>
          <a:schemeClr val="lt1">
            <a:alpha val="40000"/>
            <a:hueOff val="0"/>
            <a:satOff val="0"/>
            <a:lumOff val="0"/>
            <a:alphaOff val="0"/>
          </a:schemeClr>
        </a:solidFill>
        <a:ln w="9525" cap="flat" cmpd="sng" algn="ctr">
          <a:solidFill>
            <a:schemeClr val="accent1">
              <a:hueOff val="0"/>
              <a:satOff val="0"/>
              <a:lumOff val="0"/>
              <a:alphaOff val="0"/>
            </a:schemeClr>
          </a:solidFill>
          <a:prstDash val="solid"/>
        </a:ln>
        <a:effectLst/>
      </dsp:spPr>
      <dsp:style>
        <a:lnRef idx="1">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funnel1">
  <dgm:title val=""/>
  <dgm:desc val=""/>
  <dgm:catLst>
    <dgm:cat type="relationship" pri="2000"/>
    <dgm:cat type="process" pri="27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4"/>
      <dgm:resizeHandles val="exact"/>
    </dgm:varLst>
    <dgm:alg type="composite">
      <dgm:param type="ar" val="1.25"/>
    </dgm:alg>
    <dgm:shape xmlns:r="http://schemas.openxmlformats.org/officeDocument/2006/relationships" r:blip="">
      <dgm:adjLst/>
    </dgm:shape>
    <dgm:presOf/>
    <dgm:choose name="Name1">
      <dgm:if name="Name2" axis="ch" ptType="node" func="cnt" op="equ" val="2">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w" for="ch" forName="item1" refType="w" fact="0.35"/>
          <dgm:constr type="h" for="ch" forName="item1" refType="w" fact="0.35"/>
          <dgm:constr type="t" for="ch" forName="item1" refType="h" fact="0.05"/>
          <dgm:constr type="l" for="ch" forName="item1" refType="w" fact="0.125"/>
          <dgm:constr type="primFontSz" for="ch" forName="item1" op="equ" val="65"/>
          <dgm:constr type="w" for="ch" forName="funnel" refType="w" fact="0.7"/>
          <dgm:constr type="h" for="ch" forName="funnel" refType="h" fact="0.7"/>
          <dgm:constr type="t" for="ch" forName="funnel"/>
          <dgm:constr type="l" for="ch" forName="funnel"/>
        </dgm:constrLst>
      </dgm:if>
      <dgm:else name="Name3">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primFontSz" for="ch" forName="rectangle" val="65"/>
          <dgm:constr type="w" for="ch" forName="item1" refType="w" fact="0.225"/>
          <dgm:constr type="h" for="ch" forName="item1" refType="w" fact="0.225"/>
          <dgm:constr type="t" for="ch" forName="item1" refType="h" fact="0.336"/>
          <dgm:constr type="l" for="ch" forName="item1" refType="w" fact="0.261"/>
          <dgm:constr type="primFontSz" for="ch" forName="item1" val="65"/>
          <dgm:constr type="w" for="ch" forName="item2" refType="w" fact="0.225"/>
          <dgm:constr type="h" for="ch" forName="item2" refType="w" fact="0.225"/>
          <dgm:constr type="t" for="ch" forName="item2" refType="h" fact="0.125"/>
          <dgm:constr type="l" for="ch" forName="item2" refType="w" fact="0.1"/>
          <dgm:constr type="primFontSz" for="ch" forName="item2" refType="primFontSz" refFor="ch" refForName="item1" op="equ"/>
          <dgm:constr type="w" for="ch" forName="item3" refType="w" fact="0.225"/>
          <dgm:constr type="h" for="ch" forName="item3" refType="w" fact="0.225"/>
          <dgm:constr type="t" for="ch" forName="item3" refType="h" fact="0.057"/>
          <dgm:constr type="l" for="ch" forName="item3" refType="w" fact="0.33"/>
          <dgm:constr type="primFontSz" for="ch" forName="item3" refType="primFontSz" refFor="ch" refForName="item1" op="equ"/>
          <dgm:constr type="w" for="ch" forName="funnel" refType="w" fact="0.7"/>
          <dgm:constr type="h" for="ch" forName="funnel" refType="h" fact="0.7"/>
          <dgm:constr type="t" for="ch" forName="funnel"/>
          <dgm:constr type="l" for="ch" forName="funnel"/>
        </dgm:constrLst>
      </dgm:else>
    </dgm:choose>
    <dgm:ruleLst/>
    <dgm:choose name="Name4">
      <dgm:if name="Name5" axis="ch" ptType="node" func="cnt" op="gte" val="1">
        <dgm:layoutNode name="ellipse" styleLbl="trBgShp">
          <dgm:alg type="sp"/>
          <dgm:shape xmlns:r="http://schemas.openxmlformats.org/officeDocument/2006/relationships" type="ellipse" r:blip="">
            <dgm:adjLst/>
          </dgm:shape>
          <dgm:presOf/>
          <dgm:constrLst/>
          <dgm:ruleLst/>
        </dgm:layoutNode>
        <dgm:layoutNode name="arrow1" styleLbl="fgShp">
          <dgm:alg type="sp"/>
          <dgm:shape xmlns:r="http://schemas.openxmlformats.org/officeDocument/2006/relationships" type="downArrow" r:blip="">
            <dgm:adjLst/>
          </dgm:shape>
          <dgm:presOf/>
          <dgm:constrLst/>
          <dgm:ruleLst/>
        </dgm:layoutNode>
        <dgm:layoutNode name="rectangle" styleLbl="revTx">
          <dgm:varLst>
            <dgm:bulletEnabled val="1"/>
          </dgm:varLst>
          <dgm:alg type="tx">
            <dgm:param type="txAnchorHorzCh" val="ctr"/>
          </dgm:alg>
          <dgm:shape xmlns:r="http://schemas.openxmlformats.org/officeDocument/2006/relationships" type="rect" r:blip="">
            <dgm:adjLst/>
          </dgm:shape>
          <dgm:choose name="Name6">
            <dgm:if name="Name7" axis="ch" ptType="node" func="cnt" op="equ" val="1">
              <dgm:presOf axis="ch desOrSelf" ptType="node node" st="1 1" cnt="1 0"/>
            </dgm:if>
            <dgm:if name="Name8" axis="ch" ptType="node" func="cnt" op="equ" val="2">
              <dgm:presOf axis="ch desOrSelf" ptType="node node" st="2 1" cnt="1 0"/>
            </dgm:if>
            <dgm:if name="Name9" axis="ch" ptType="node" func="cnt" op="equ" val="3">
              <dgm:presOf axis="ch desOrSelf" ptType="node node" st="3 1" cnt="1 0"/>
            </dgm:if>
            <dgm:else name="Name10">
              <dgm:presOf axis="ch desOrSelf" ptType="node node" st="4 1" cnt="1 0"/>
            </dgm:else>
          </dgm:choose>
          <dgm:constrLst/>
          <dgm:ruleLst>
            <dgm:rule type="primFontSz" val="5" fact="NaN" max="NaN"/>
          </dgm:ruleLst>
        </dgm:layoutNode>
        <dgm:forEach name="Name11" axis="ch" ptType="node" st="2" cnt="1">
          <dgm:layoutNode name="item1" styleLbl="node1">
            <dgm:varLst>
              <dgm:bulletEnabled val="1"/>
            </dgm:varLst>
            <dgm:alg type="tx">
              <dgm:param type="txAnchorVertCh" val="mid"/>
            </dgm:alg>
            <dgm:shape xmlns:r="http://schemas.openxmlformats.org/officeDocument/2006/relationships" type="ellipse" r:blip="">
              <dgm:adjLst/>
            </dgm:shape>
            <dgm:choose name="Name12">
              <dgm:if name="Name13" axis="root ch" ptType="all node" func="cnt" op="equ" val="1">
                <dgm:presOf/>
              </dgm:if>
              <dgm:if name="Name14" axis="root ch" ptType="all node" func="cnt" op="equ" val="2">
                <dgm:presOf axis="root ch desOrSelf" ptType="all node node" st="1 1 1" cnt="0 1 0"/>
              </dgm:if>
              <dgm:if name="Name15" axis="root ch" ptType="all node" func="cnt" op="equ" val="3">
                <dgm:presOf axis="root ch desOrSelf" ptType="all node node" st="1 2 1" cnt="0 1 0"/>
              </dgm:if>
              <dgm:else name="Name16">
                <dgm:presOf axis="root ch desOrSelf" ptType="all node node" st="1 3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17" axis="ch" ptType="node" st="3" cnt="1">
          <dgm:layoutNode name="item2" styleLbl="node1">
            <dgm:varLst>
              <dgm:bulletEnabled val="1"/>
            </dgm:varLst>
            <dgm:alg type="tx">
              <dgm:param type="txAnchorVertCh" val="mid"/>
            </dgm:alg>
            <dgm:shape xmlns:r="http://schemas.openxmlformats.org/officeDocument/2006/relationships" type="ellipse" r:blip="">
              <dgm:adjLst/>
            </dgm:shape>
            <dgm:choose name="Name18">
              <dgm:if name="Name19" axis="root ch" ptType="all node" func="cnt" op="equ" val="1">
                <dgm:presOf/>
              </dgm:if>
              <dgm:if name="Name20" axis="root ch" ptType="all node" func="cnt" op="equ" val="2">
                <dgm:presOf/>
              </dgm:if>
              <dgm:if name="Name21" axis="root ch" ptType="all node" func="cnt" op="equ" val="3">
                <dgm:presOf axis="root ch desOrSelf" ptType="all node node" st="1 1 1" cnt="0 1 0"/>
              </dgm:if>
              <dgm:else name="Name22">
                <dgm:presOf axis="root ch desOrSelf" ptType="all node node" st="1 2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23" axis="ch" ptType="node" st="4" cnt="1">
          <dgm:layoutNode name="item3" styleLbl="node1">
            <dgm:varLst>
              <dgm:bulletEnabled val="1"/>
            </dgm:varLst>
            <dgm:alg type="tx">
              <dgm:param type="txAnchorVertCh" val="mid"/>
            </dgm:alg>
            <dgm:shape xmlns:r="http://schemas.openxmlformats.org/officeDocument/2006/relationships" type="ellipse" r:blip="">
              <dgm:adjLst/>
            </dgm:shape>
            <dgm:choose name="Name24">
              <dgm:if name="Name25" axis="root ch" ptType="all node" func="cnt" op="equ" val="1">
                <dgm:presOf/>
              </dgm:if>
              <dgm:if name="Name26" axis="root ch" ptType="all node" func="cnt" op="equ" val="2">
                <dgm:presOf/>
              </dgm:if>
              <dgm:if name="Name27" axis="root ch" ptType="all node" func="cnt" op="equ" val="3">
                <dgm:presOf/>
              </dgm:if>
              <dgm:else name="Name28">
                <dgm:presOf axis="root ch desOrSelf" ptType="all node node" st="1 1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layoutNode name="funnel" styleLbl="trAlignAcc1">
          <dgm:alg type="sp"/>
          <dgm:shape xmlns:r="http://schemas.openxmlformats.org/officeDocument/2006/relationships" type="funnel" r:blip="">
            <dgm:adjLst/>
          </dgm:shape>
          <dgm:presOf/>
          <dgm:constrLst/>
          <dgm:ruleLst/>
        </dgm:layoutNode>
      </dgm:if>
      <dgm:else name="Name2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4" Type="http://schemas.openxmlformats.org/officeDocument/2006/relationships/diagramColors" Target="../diagrams/colors1.xml"/><Relationship Id="rId5" Type="http://schemas.microsoft.com/office/2007/relationships/diagramDrawing" Target="../diagrams/drawing1.xml"/><Relationship Id="rId1" Type="http://schemas.openxmlformats.org/officeDocument/2006/relationships/diagramData" Target="../diagrams/data1.xml"/><Relationship Id="rId2"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54803</xdr:colOff>
      <xdr:row>5</xdr:row>
      <xdr:rowOff>3175</xdr:rowOff>
    </xdr:from>
    <xdr:to>
      <xdr:col>18</xdr:col>
      <xdr:colOff>97203</xdr:colOff>
      <xdr:row>26</xdr:row>
      <xdr:rowOff>19001</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1581150</xdr:colOff>
      <xdr:row>0</xdr:row>
      <xdr:rowOff>0</xdr:rowOff>
    </xdr:from>
    <xdr:to>
      <xdr:col>10</xdr:col>
      <xdr:colOff>294129</xdr:colOff>
      <xdr:row>4</xdr:row>
      <xdr:rowOff>66836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4975" y="180975"/>
          <a:ext cx="8847579" cy="1152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1581150</xdr:colOff>
      <xdr:row>0</xdr:row>
      <xdr:rowOff>0</xdr:rowOff>
    </xdr:from>
    <xdr:to>
      <xdr:col>10</xdr:col>
      <xdr:colOff>294129</xdr:colOff>
      <xdr:row>4</xdr:row>
      <xdr:rowOff>66836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4975" y="0"/>
          <a:ext cx="8847579" cy="11526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comments" Target="../comments3.xml"/><Relationship Id="rId1" Type="http://schemas.openxmlformats.org/officeDocument/2006/relationships/hyperlink" Target="http://www.b2binbound.com/about-us/" TargetMode="External"/><Relationship Id="rId2"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46"/>
  <sheetViews>
    <sheetView showGridLines="0" workbookViewId="0">
      <selection activeCell="B28" sqref="B28"/>
    </sheetView>
  </sheetViews>
  <sheetFormatPr baseColWidth="10" defaultColWidth="8.83203125" defaultRowHeight="14" outlineLevelRow="1" x14ac:dyDescent="0"/>
  <cols>
    <col min="1" max="1" width="3.6640625" customWidth="1"/>
    <col min="2" max="2" width="111.5" customWidth="1"/>
    <col min="3" max="3" width="14.5" customWidth="1"/>
    <col min="4" max="4" width="5.5" customWidth="1"/>
    <col min="5" max="5" width="36.5" customWidth="1"/>
  </cols>
  <sheetData>
    <row r="2" spans="2:5" ht="18">
      <c r="B2" s="120" t="s">
        <v>153</v>
      </c>
      <c r="C2" s="11"/>
      <c r="D2" s="16"/>
    </row>
    <row r="3" spans="2:5" ht="18">
      <c r="B3" s="130"/>
      <c r="C3" s="16"/>
      <c r="D3" s="16"/>
    </row>
    <row r="4" spans="2:5">
      <c r="B4" s="119" t="s">
        <v>145</v>
      </c>
      <c r="C4" s="17"/>
      <c r="D4" s="17"/>
    </row>
    <row r="5" spans="2:5">
      <c r="B5" s="122" t="s">
        <v>18</v>
      </c>
      <c r="C5" s="20">
        <v>50</v>
      </c>
      <c r="D5" s="20"/>
    </row>
    <row r="6" spans="2:5">
      <c r="B6" s="122" t="s">
        <v>19</v>
      </c>
      <c r="C6" s="21">
        <v>2000</v>
      </c>
      <c r="D6" s="21"/>
      <c r="E6" s="2"/>
    </row>
    <row r="7" spans="2:5">
      <c r="B7" s="122" t="s">
        <v>22</v>
      </c>
      <c r="C7" s="22">
        <f>C5*C6</f>
        <v>100000</v>
      </c>
      <c r="D7" s="22"/>
    </row>
    <row r="8" spans="2:5">
      <c r="B8" s="122"/>
      <c r="C8" s="22"/>
      <c r="D8" s="22"/>
    </row>
    <row r="9" spans="2:5">
      <c r="B9" s="123" t="s">
        <v>146</v>
      </c>
      <c r="C9" s="20"/>
      <c r="D9" s="20"/>
    </row>
    <row r="10" spans="2:5">
      <c r="B10" s="122" t="s">
        <v>20</v>
      </c>
      <c r="C10" s="21">
        <v>5000</v>
      </c>
      <c r="D10" s="21"/>
    </row>
    <row r="11" spans="2:5">
      <c r="B11" s="122" t="s">
        <v>21</v>
      </c>
      <c r="C11" s="20">
        <v>2</v>
      </c>
      <c r="D11" s="20"/>
    </row>
    <row r="12" spans="2:5">
      <c r="B12" s="122" t="s">
        <v>23</v>
      </c>
      <c r="C12" s="22">
        <f>C10*C11</f>
        <v>10000</v>
      </c>
      <c r="D12" s="22"/>
    </row>
    <row r="13" spans="2:5">
      <c r="B13" s="122"/>
      <c r="C13" s="22"/>
      <c r="D13" s="22"/>
    </row>
    <row r="14" spans="2:5">
      <c r="B14" s="124" t="s">
        <v>24</v>
      </c>
      <c r="C14" s="22">
        <f>C7+C12</f>
        <v>110000</v>
      </c>
      <c r="D14" s="22"/>
    </row>
    <row r="15" spans="2:5">
      <c r="B15" s="124" t="s">
        <v>144</v>
      </c>
      <c r="C15" s="20">
        <v>5</v>
      </c>
      <c r="D15" s="20"/>
    </row>
    <row r="16" spans="2:5">
      <c r="B16" s="124"/>
      <c r="C16" s="20"/>
      <c r="D16" s="20"/>
    </row>
    <row r="17" spans="2:5" ht="18">
      <c r="B17" s="135" t="s">
        <v>168</v>
      </c>
      <c r="C17" s="136">
        <f>12*C14/C15</f>
        <v>264000</v>
      </c>
      <c r="D17" s="131"/>
      <c r="E17" s="137" t="str">
        <f>IF(C17&gt;C28,"Exceeds desired profitability","Below desired profitability")</f>
        <v>Exceeds desired profitability</v>
      </c>
    </row>
    <row r="18" spans="2:5">
      <c r="B18" s="125"/>
      <c r="C18" s="23"/>
      <c r="D18" s="23"/>
    </row>
    <row r="19" spans="2:5">
      <c r="B19" s="123" t="s">
        <v>152</v>
      </c>
      <c r="C19" s="23"/>
      <c r="D19" s="23"/>
    </row>
    <row r="20" spans="2:5">
      <c r="B20" s="126" t="s">
        <v>147</v>
      </c>
      <c r="C20" s="116">
        <v>60000</v>
      </c>
      <c r="D20" s="116"/>
    </row>
    <row r="21" spans="2:5">
      <c r="B21" s="127" t="s">
        <v>155</v>
      </c>
      <c r="C21" s="117">
        <v>0.3</v>
      </c>
      <c r="D21" s="117"/>
      <c r="E21" s="85" t="s">
        <v>194</v>
      </c>
    </row>
    <row r="22" spans="2:5">
      <c r="B22" s="126" t="s">
        <v>148</v>
      </c>
      <c r="C22" s="117">
        <v>0.66</v>
      </c>
      <c r="D22" s="117"/>
      <c r="E22" s="85" t="s">
        <v>193</v>
      </c>
    </row>
    <row r="23" spans="2:5">
      <c r="B23" s="126" t="s">
        <v>149</v>
      </c>
      <c r="C23" s="23">
        <f>(C20*(1+C21))/C22</f>
        <v>118181.81818181818</v>
      </c>
      <c r="D23" s="23"/>
    </row>
    <row r="24" spans="2:5">
      <c r="B24" s="125"/>
      <c r="C24" s="23"/>
      <c r="D24" s="23"/>
    </row>
    <row r="25" spans="2:5">
      <c r="B25" s="124" t="s">
        <v>150</v>
      </c>
      <c r="C25" s="117">
        <v>0.15</v>
      </c>
      <c r="D25" s="117"/>
      <c r="E25" s="85" t="s">
        <v>195</v>
      </c>
    </row>
    <row r="26" spans="2:5">
      <c r="B26" s="129" t="s">
        <v>151</v>
      </c>
      <c r="C26" s="118">
        <v>0.25</v>
      </c>
      <c r="D26" s="118"/>
    </row>
    <row r="27" spans="2:5">
      <c r="B27" s="129"/>
      <c r="C27" s="118"/>
      <c r="D27" s="118"/>
    </row>
    <row r="28" spans="2:5">
      <c r="B28" s="132" t="s">
        <v>154</v>
      </c>
      <c r="C28" s="133">
        <f>C23/(1-(C25+C26))</f>
        <v>196969.69696969696</v>
      </c>
      <c r="D28" s="121"/>
    </row>
    <row r="29" spans="2:5">
      <c r="C29" s="24"/>
      <c r="D29" s="24"/>
    </row>
    <row r="30" spans="2:5" ht="18" hidden="1" outlineLevel="1">
      <c r="B30" s="120" t="s">
        <v>89</v>
      </c>
      <c r="C30" s="200"/>
      <c r="D30" s="25"/>
    </row>
    <row r="31" spans="2:5" hidden="1" outlineLevel="1">
      <c r="B31" s="17" t="s">
        <v>34</v>
      </c>
      <c r="C31" s="25"/>
      <c r="D31" s="25"/>
    </row>
    <row r="32" spans="2:5" ht="15" hidden="1" outlineLevel="1">
      <c r="B32" s="18" t="s">
        <v>25</v>
      </c>
      <c r="C32" s="26">
        <v>200000</v>
      </c>
      <c r="D32" s="26"/>
    </row>
    <row r="33" spans="2:5" ht="15" hidden="1" outlineLevel="1">
      <c r="B33" s="18" t="s">
        <v>26</v>
      </c>
      <c r="C33" s="27">
        <v>12</v>
      </c>
      <c r="D33" s="27"/>
    </row>
    <row r="34" spans="2:5" ht="15" hidden="1" outlineLevel="1">
      <c r="B34" s="18" t="s">
        <v>37</v>
      </c>
      <c r="C34" s="28">
        <f>C32-C14</f>
        <v>90000</v>
      </c>
      <c r="D34" s="28"/>
      <c r="E34" t="s">
        <v>46</v>
      </c>
    </row>
    <row r="35" spans="2:5" ht="15" hidden="1" outlineLevel="1">
      <c r="B35" s="15" t="s">
        <v>35</v>
      </c>
      <c r="C35" s="27"/>
      <c r="D35" s="27"/>
    </row>
    <row r="36" spans="2:5" ht="15" hidden="1" outlineLevel="1">
      <c r="B36" s="18" t="s">
        <v>27</v>
      </c>
      <c r="C36" s="27">
        <v>12</v>
      </c>
      <c r="D36" s="27"/>
    </row>
    <row r="37" spans="2:5" ht="15" hidden="1" outlineLevel="1">
      <c r="B37" s="18" t="s">
        <v>28</v>
      </c>
      <c r="C37" s="27">
        <v>3</v>
      </c>
      <c r="D37" s="27"/>
    </row>
    <row r="38" spans="2:5" ht="15" hidden="1" outlineLevel="1">
      <c r="B38" s="18" t="s">
        <v>39</v>
      </c>
      <c r="C38" s="27">
        <v>1</v>
      </c>
      <c r="D38" s="27"/>
    </row>
    <row r="39" spans="2:5" ht="15" hidden="1" outlineLevel="1">
      <c r="B39" s="18" t="s">
        <v>36</v>
      </c>
      <c r="C39" s="29">
        <f>C6*(C37-C38)</f>
        <v>4000</v>
      </c>
      <c r="D39" s="29"/>
    </row>
    <row r="40" spans="2:5" ht="18" hidden="1" outlineLevel="1">
      <c r="B40" s="15" t="s">
        <v>38</v>
      </c>
      <c r="C40" s="77">
        <f>C34/C39</f>
        <v>22.5</v>
      </c>
      <c r="D40" s="77"/>
      <c r="E40" s="137" t="str">
        <f>IF(C40&gt;C33, "Don't meet goal", "Meet goal")</f>
        <v>Don't meet goal</v>
      </c>
    </row>
    <row r="41" spans="2:5" ht="15" hidden="1" outlineLevel="1">
      <c r="B41" s="18"/>
      <c r="C41" s="27"/>
      <c r="D41" s="27"/>
    </row>
    <row r="42" spans="2:5" ht="15" hidden="1" outlineLevel="1">
      <c r="B42" s="15" t="s">
        <v>33</v>
      </c>
      <c r="C42" s="27"/>
      <c r="D42" s="27"/>
    </row>
    <row r="43" spans="2:5" ht="15" hidden="1" outlineLevel="1">
      <c r="B43" s="18" t="s">
        <v>29</v>
      </c>
      <c r="C43" s="115" t="s">
        <v>30</v>
      </c>
      <c r="D43" s="115"/>
    </row>
    <row r="44" spans="2:5" ht="15" hidden="1" outlineLevel="1">
      <c r="B44" s="18" t="s">
        <v>31</v>
      </c>
      <c r="C44" s="115" t="s">
        <v>30</v>
      </c>
      <c r="D44" s="115"/>
    </row>
    <row r="45" spans="2:5" ht="15" hidden="1" outlineLevel="1">
      <c r="B45" s="18" t="s">
        <v>32</v>
      </c>
      <c r="C45" s="115" t="s">
        <v>30</v>
      </c>
      <c r="D45" s="115"/>
    </row>
    <row r="46" spans="2:5" collapsed="1"/>
  </sheetData>
  <conditionalFormatting sqref="E17">
    <cfRule type="containsText" dxfId="41" priority="4" operator="containsText" text="Below desired profitability">
      <formula>NOT(ISERROR(SEARCH("Below desired profitability",E17)))</formula>
    </cfRule>
    <cfRule type="containsText" dxfId="40" priority="5" operator="containsText" text="Exceeds desired profitability">
      <formula>NOT(ISERROR(SEARCH("Exceeds desired profitability",E17)))</formula>
    </cfRule>
  </conditionalFormatting>
  <conditionalFormatting sqref="E40">
    <cfRule type="containsText" dxfId="39" priority="1" operator="containsText" text="Don't meet goal">
      <formula>NOT(ISERROR(SEARCH("Don't meet goal",E40)))</formula>
    </cfRule>
    <cfRule type="containsText" dxfId="38" priority="2" operator="containsText" text="Meet goal">
      <formula>NOT(ISERROR(SEARCH("Meet goal",E40)))</formula>
    </cfRule>
  </conditionalFormatting>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
  <sheetViews>
    <sheetView showGridLines="0" zoomScale="112" zoomScaleNormal="112" zoomScalePageLayoutView="112" workbookViewId="0">
      <selection activeCell="C4" sqref="C4"/>
    </sheetView>
  </sheetViews>
  <sheetFormatPr baseColWidth="10" defaultColWidth="8.83203125" defaultRowHeight="14" x14ac:dyDescent="0"/>
  <cols>
    <col min="1" max="1" width="3.6640625" customWidth="1"/>
    <col min="2" max="2" width="48" customWidth="1"/>
    <col min="3" max="3" width="19.6640625" customWidth="1"/>
    <col min="4" max="4" width="19.5" customWidth="1"/>
    <col min="5" max="5" width="20.83203125" customWidth="1"/>
    <col min="6" max="6" width="1.83203125" customWidth="1"/>
  </cols>
  <sheetData>
    <row r="2" spans="2:7" ht="43">
      <c r="B2" s="120" t="s">
        <v>171</v>
      </c>
      <c r="C2" s="145" t="s">
        <v>174</v>
      </c>
      <c r="D2" s="150" t="s">
        <v>175</v>
      </c>
      <c r="E2" s="152" t="s">
        <v>176</v>
      </c>
      <c r="F2" s="173"/>
    </row>
    <row r="3" spans="2:7" ht="18">
      <c r="B3" s="130"/>
      <c r="C3" s="16"/>
    </row>
    <row r="4" spans="2:7">
      <c r="B4" t="s">
        <v>169</v>
      </c>
      <c r="C4" s="222">
        <v>10000</v>
      </c>
      <c r="D4" s="2">
        <f>IFERROR(D5/D8,C4)</f>
        <v>20000</v>
      </c>
      <c r="E4" s="2">
        <f>IFERROR(E5/E8,"N/A")</f>
        <v>4000</v>
      </c>
      <c r="F4" s="2"/>
    </row>
    <row r="5" spans="2:7">
      <c r="B5" t="s">
        <v>170</v>
      </c>
      <c r="C5" s="222">
        <v>100</v>
      </c>
      <c r="D5" s="2">
        <f>IFERROR(D6/D9,C5)</f>
        <v>200</v>
      </c>
      <c r="E5" s="2">
        <f>IFERROR(E6/E9,"N/A")</f>
        <v>80</v>
      </c>
      <c r="F5" s="2"/>
    </row>
    <row r="6" spans="2:7">
      <c r="B6" t="s">
        <v>190</v>
      </c>
      <c r="C6" s="222">
        <v>2</v>
      </c>
      <c r="D6" s="222">
        <v>4</v>
      </c>
      <c r="E6">
        <f>D6</f>
        <v>4</v>
      </c>
    </row>
    <row r="7" spans="2:7">
      <c r="C7" s="108"/>
      <c r="D7" s="140"/>
    </row>
    <row r="8" spans="2:7">
      <c r="B8" s="144" t="s">
        <v>172</v>
      </c>
      <c r="C8" s="147">
        <f>IFERROR(C5/C4,"N/A")</f>
        <v>0.01</v>
      </c>
      <c r="D8" s="151">
        <f>C8</f>
        <v>0.01</v>
      </c>
      <c r="E8" s="223">
        <v>0.02</v>
      </c>
      <c r="F8" s="174"/>
      <c r="G8" s="85" t="s">
        <v>198</v>
      </c>
    </row>
    <row r="9" spans="2:7">
      <c r="B9" s="144" t="s">
        <v>173</v>
      </c>
      <c r="C9" s="147">
        <f>IFERROR(C6/C5,"N/A")</f>
        <v>0.02</v>
      </c>
      <c r="D9" s="151">
        <f>C9</f>
        <v>0.02</v>
      </c>
      <c r="E9" s="223">
        <v>0.05</v>
      </c>
      <c r="F9" s="174"/>
      <c r="G9" s="85" t="s">
        <v>261</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32"/>
  <sheetViews>
    <sheetView showGridLines="0" workbookViewId="0">
      <selection activeCell="C7" sqref="C7"/>
    </sheetView>
  </sheetViews>
  <sheetFormatPr baseColWidth="10" defaultColWidth="8.83203125" defaultRowHeight="14" x14ac:dyDescent="0"/>
  <cols>
    <col min="1" max="1" width="3" customWidth="1"/>
    <col min="2" max="2" width="88.5" customWidth="1"/>
    <col min="3" max="3" width="20.1640625" customWidth="1"/>
    <col min="4" max="4" width="3.83203125" customWidth="1"/>
    <col min="5" max="5" width="54.6640625" customWidth="1"/>
  </cols>
  <sheetData>
    <row r="2" spans="2:3" ht="18">
      <c r="B2" s="120" t="s">
        <v>163</v>
      </c>
      <c r="C2" s="11"/>
    </row>
    <row r="3" spans="2:3" ht="9" customHeight="1">
      <c r="B3" s="130"/>
      <c r="C3" s="16"/>
    </row>
    <row r="4" spans="2:3">
      <c r="B4" s="119" t="s">
        <v>156</v>
      </c>
      <c r="C4" s="17"/>
    </row>
    <row r="5" spans="2:3" ht="9.75" customHeight="1">
      <c r="B5" s="119"/>
      <c r="C5" s="17"/>
    </row>
    <row r="6" spans="2:3">
      <c r="B6" s="134" t="s">
        <v>164</v>
      </c>
      <c r="C6" s="17"/>
    </row>
    <row r="7" spans="2:3">
      <c r="B7" s="122" t="s">
        <v>196</v>
      </c>
      <c r="C7" s="211">
        <v>700</v>
      </c>
    </row>
    <row r="8" spans="2:3">
      <c r="B8" s="122" t="s">
        <v>159</v>
      </c>
      <c r="C8" s="212">
        <v>50</v>
      </c>
    </row>
    <row r="9" spans="2:3">
      <c r="B9" s="122" t="s">
        <v>158</v>
      </c>
      <c r="C9" s="22">
        <f>C7*C8</f>
        <v>35000</v>
      </c>
    </row>
    <row r="10" spans="2:3" ht="9.75" customHeight="1">
      <c r="B10" s="122"/>
      <c r="C10" s="22"/>
    </row>
    <row r="11" spans="2:3">
      <c r="B11" s="134" t="s">
        <v>165</v>
      </c>
      <c r="C11" s="20"/>
    </row>
    <row r="12" spans="2:3">
      <c r="B12" s="122" t="s">
        <v>160</v>
      </c>
      <c r="C12" s="211">
        <v>0</v>
      </c>
    </row>
    <row r="13" spans="2:3">
      <c r="B13" s="122" t="s">
        <v>161</v>
      </c>
      <c r="C13" s="213">
        <v>0</v>
      </c>
    </row>
    <row r="14" spans="2:3" ht="8.25" customHeight="1">
      <c r="B14" s="122"/>
      <c r="C14" s="22"/>
    </row>
    <row r="15" spans="2:3">
      <c r="B15" s="128" t="s">
        <v>157</v>
      </c>
      <c r="C15" s="22">
        <f>C9*(1-C13)+C12*C13</f>
        <v>35000</v>
      </c>
    </row>
    <row r="16" spans="2:3" ht="5.25" customHeight="1">
      <c r="B16" s="128"/>
      <c r="C16" s="22"/>
    </row>
    <row r="17" spans="2:5">
      <c r="B17" s="126" t="s">
        <v>162</v>
      </c>
      <c r="C17" s="213">
        <v>0.7</v>
      </c>
    </row>
    <row r="18" spans="2:5" ht="6" customHeight="1">
      <c r="B18" s="128"/>
      <c r="C18" s="22"/>
    </row>
    <row r="19" spans="2:5" ht="18.75" customHeight="1">
      <c r="B19" s="138" t="s">
        <v>177</v>
      </c>
      <c r="C19" s="153">
        <f>C15*C17</f>
        <v>24500</v>
      </c>
      <c r="E19" s="143"/>
    </row>
    <row r="21" spans="2:5">
      <c r="B21" s="89" t="s">
        <v>166</v>
      </c>
    </row>
    <row r="23" spans="2:5">
      <c r="B23" s="139" t="s">
        <v>167</v>
      </c>
      <c r="C23" s="214">
        <v>7200000</v>
      </c>
      <c r="E23" s="85" t="s">
        <v>178</v>
      </c>
    </row>
    <row r="24" spans="2:5">
      <c r="B24" s="139" t="s">
        <v>274</v>
      </c>
      <c r="C24" s="214">
        <v>4800000</v>
      </c>
      <c r="E24" s="85" t="s">
        <v>179</v>
      </c>
    </row>
    <row r="25" spans="2:5">
      <c r="B25" s="139" t="s">
        <v>189</v>
      </c>
      <c r="C25" s="210">
        <v>4000</v>
      </c>
      <c r="E25" s="85" t="s">
        <v>180</v>
      </c>
    </row>
    <row r="27" spans="2:5">
      <c r="B27" s="141" t="s">
        <v>8</v>
      </c>
      <c r="C27" s="142">
        <f>SUM(C23:C24)/C25</f>
        <v>3000</v>
      </c>
    </row>
    <row r="29" spans="2:5" ht="15">
      <c r="B29" s="138" t="s">
        <v>272</v>
      </c>
      <c r="C29" s="154">
        <f>MAX(C27,10%*C19)</f>
        <v>3000</v>
      </c>
      <c r="E29" s="85"/>
    </row>
    <row r="30" spans="2:5">
      <c r="E30" s="85"/>
    </row>
    <row r="31" spans="2:5">
      <c r="B31" t="s">
        <v>270</v>
      </c>
      <c r="C31" s="221">
        <f>'Client''s funnel analysis'!D6-'Client''s funnel analysis'!C6</f>
        <v>2</v>
      </c>
      <c r="E31" s="175" t="s">
        <v>273</v>
      </c>
    </row>
    <row r="32" spans="2:5" ht="18">
      <c r="B32" s="165" t="s">
        <v>271</v>
      </c>
      <c r="C32" s="166">
        <f>C29*C31</f>
        <v>6000</v>
      </c>
      <c r="E32" s="85" t="s">
        <v>269</v>
      </c>
    </row>
  </sheetData>
  <sheetProtection sheet="1" objects="1" scenarios="1" selectLockedCells="1"/>
  <pageMargins left="0.7" right="0.7" top="0.75" bottom="0.75" header="0.3" footer="0.3"/>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55"/>
  <sheetViews>
    <sheetView showGridLines="0" topLeftCell="A5" zoomScale="91" zoomScaleNormal="91" zoomScalePageLayoutView="91" workbookViewId="0">
      <selection activeCell="G25" sqref="G25"/>
    </sheetView>
  </sheetViews>
  <sheetFormatPr baseColWidth="10" defaultColWidth="8.83203125" defaultRowHeight="14" x14ac:dyDescent="0"/>
  <cols>
    <col min="1" max="1" width="1.5" style="30" customWidth="1"/>
    <col min="2" max="4" width="8.83203125" style="30"/>
    <col min="5" max="5" width="15.1640625" style="30" customWidth="1"/>
    <col min="6" max="6" width="21" style="30" bestFit="1" customWidth="1"/>
    <col min="7" max="7" width="22.83203125" style="30" bestFit="1" customWidth="1"/>
    <col min="8" max="8" width="6.5" style="30" customWidth="1"/>
    <col min="9" max="9" width="7" style="30" bestFit="1" customWidth="1"/>
    <col min="10" max="10" width="13.5" style="30" bestFit="1" customWidth="1"/>
    <col min="11" max="11" width="17.6640625" style="30" customWidth="1"/>
    <col min="12" max="16384" width="8.83203125" style="30"/>
  </cols>
  <sheetData>
    <row r="1" spans="2:11" ht="6.75" customHeight="1" thickBot="1"/>
    <row r="2" spans="2:11" ht="9" customHeight="1">
      <c r="B2" s="289" t="s">
        <v>51</v>
      </c>
      <c r="C2" s="290"/>
      <c r="D2" s="290"/>
      <c r="E2" s="290"/>
      <c r="F2" s="290"/>
      <c r="G2" s="290"/>
      <c r="H2" s="290"/>
      <c r="I2" s="290"/>
      <c r="J2" s="290"/>
      <c r="K2" s="291"/>
    </row>
    <row r="3" spans="2:11" ht="15" thickBot="1">
      <c r="B3" s="292"/>
      <c r="C3" s="293"/>
      <c r="D3" s="293"/>
      <c r="E3" s="293"/>
      <c r="F3" s="293"/>
      <c r="G3" s="293"/>
      <c r="H3" s="293"/>
      <c r="I3" s="293"/>
      <c r="J3" s="293"/>
      <c r="K3" s="294"/>
    </row>
    <row r="4" spans="2:11" ht="56" customHeight="1" thickBot="1">
      <c r="B4" s="295" t="s">
        <v>52</v>
      </c>
      <c r="C4" s="296"/>
      <c r="D4" s="297"/>
      <c r="E4" s="31" t="s">
        <v>53</v>
      </c>
      <c r="F4" s="32" t="s">
        <v>54</v>
      </c>
      <c r="G4" s="298" t="s">
        <v>55</v>
      </c>
      <c r="H4" s="299"/>
      <c r="I4" s="299"/>
      <c r="J4" s="299"/>
      <c r="K4" s="300"/>
    </row>
    <row r="5" spans="2:11">
      <c r="B5" s="301" t="s">
        <v>56</v>
      </c>
      <c r="C5" s="276" t="s">
        <v>57</v>
      </c>
      <c r="D5" s="277"/>
      <c r="E5" s="277"/>
      <c r="F5" s="277"/>
      <c r="G5" s="277"/>
      <c r="H5" s="277"/>
      <c r="I5" s="277"/>
      <c r="J5" s="277"/>
      <c r="K5" s="278"/>
    </row>
    <row r="6" spans="2:11">
      <c r="B6" s="302"/>
      <c r="C6" s="279" t="s">
        <v>58</v>
      </c>
      <c r="D6" s="280"/>
      <c r="E6" s="280"/>
      <c r="F6" s="280"/>
      <c r="G6" s="280"/>
      <c r="H6" s="280"/>
      <c r="I6" s="280"/>
      <c r="J6" s="280"/>
      <c r="K6" s="281"/>
    </row>
    <row r="7" spans="2:11" ht="6" customHeight="1" thickBot="1">
      <c r="B7" s="302"/>
      <c r="C7" s="33"/>
      <c r="D7" s="33"/>
      <c r="E7" s="33"/>
      <c r="F7" s="33"/>
      <c r="G7" s="33"/>
      <c r="H7" s="33"/>
      <c r="I7" s="33"/>
      <c r="J7" s="33"/>
      <c r="K7" s="34"/>
    </row>
    <row r="8" spans="2:11" ht="21" customHeight="1" thickBot="1">
      <c r="B8" s="303"/>
      <c r="C8" s="283" t="s">
        <v>59</v>
      </c>
      <c r="D8" s="283"/>
      <c r="E8" s="283"/>
      <c r="F8" s="80">
        <v>400000</v>
      </c>
      <c r="G8" s="304" t="s">
        <v>60</v>
      </c>
      <c r="H8" s="305"/>
      <c r="I8" s="305"/>
      <c r="J8" s="305"/>
      <c r="K8" s="306"/>
    </row>
    <row r="9" spans="2:11" ht="18.75" customHeight="1">
      <c r="B9" s="273" t="s">
        <v>61</v>
      </c>
      <c r="C9" s="35" t="s">
        <v>62</v>
      </c>
      <c r="D9" s="36"/>
      <c r="E9" s="36"/>
      <c r="F9" s="36"/>
      <c r="G9" s="36"/>
      <c r="H9" s="36"/>
      <c r="I9" s="36"/>
      <c r="J9" s="36"/>
      <c r="K9" s="37"/>
    </row>
    <row r="10" spans="2:11" ht="13.5" customHeight="1">
      <c r="B10" s="274"/>
      <c r="C10" s="38" t="s">
        <v>63</v>
      </c>
      <c r="D10" s="39"/>
      <c r="E10" s="39"/>
      <c r="F10" s="40"/>
      <c r="G10" s="33"/>
      <c r="H10" s="41"/>
      <c r="I10" s="41"/>
      <c r="J10" s="41"/>
      <c r="K10" s="42"/>
    </row>
    <row r="11" spans="2:11" ht="6.75" customHeight="1">
      <c r="B11" s="274"/>
      <c r="D11" s="43"/>
      <c r="E11" s="43"/>
      <c r="F11" s="44"/>
      <c r="G11" s="33"/>
      <c r="H11" s="45"/>
      <c r="I11" s="45"/>
      <c r="J11" s="45"/>
      <c r="K11" s="46"/>
    </row>
    <row r="12" spans="2:11" ht="2.25" customHeight="1" thickBot="1">
      <c r="B12" s="274"/>
      <c r="C12" s="47"/>
      <c r="D12" s="43"/>
      <c r="E12" s="43"/>
      <c r="F12" s="44"/>
      <c r="G12" s="33"/>
      <c r="H12" s="45"/>
      <c r="I12" s="45"/>
      <c r="J12" s="45"/>
      <c r="K12" s="46"/>
    </row>
    <row r="13" spans="2:11" ht="20.25" customHeight="1" thickBot="1">
      <c r="B13" s="275"/>
      <c r="C13" s="48"/>
      <c r="D13" s="49"/>
      <c r="E13" s="49" t="s">
        <v>64</v>
      </c>
      <c r="F13" s="50">
        <v>0.5</v>
      </c>
      <c r="G13" s="51"/>
      <c r="H13" s="52"/>
      <c r="I13" s="52"/>
      <c r="J13" s="52"/>
      <c r="K13" s="53"/>
    </row>
    <row r="14" spans="2:11" ht="4.5" customHeight="1">
      <c r="B14" s="273" t="s">
        <v>65</v>
      </c>
      <c r="C14" s="284"/>
      <c r="D14" s="285"/>
      <c r="E14" s="285"/>
      <c r="F14" s="285"/>
      <c r="G14" s="285"/>
      <c r="H14" s="285"/>
      <c r="I14" s="285"/>
      <c r="J14" s="285"/>
      <c r="K14" s="281"/>
    </row>
    <row r="15" spans="2:11" ht="12" customHeight="1">
      <c r="B15" s="274"/>
      <c r="C15" s="279" t="s">
        <v>66</v>
      </c>
      <c r="D15" s="280"/>
      <c r="E15" s="280"/>
      <c r="F15" s="280"/>
      <c r="G15" s="280"/>
      <c r="H15" s="280"/>
      <c r="I15" s="280"/>
      <c r="J15" s="280"/>
      <c r="K15" s="281"/>
    </row>
    <row r="16" spans="2:11" ht="6.75" customHeight="1" thickBot="1">
      <c r="B16" s="274"/>
      <c r="C16" s="33"/>
      <c r="D16" s="33"/>
      <c r="E16" s="33"/>
      <c r="F16" s="33"/>
      <c r="G16" s="33"/>
      <c r="H16" s="33"/>
      <c r="I16" s="33"/>
      <c r="J16" s="33"/>
      <c r="K16" s="34"/>
    </row>
    <row r="17" spans="2:11" ht="16" thickBot="1">
      <c r="B17" s="274"/>
      <c r="C17" s="282" t="s">
        <v>67</v>
      </c>
      <c r="D17" s="282"/>
      <c r="E17" s="282"/>
      <c r="F17" s="79">
        <v>67000</v>
      </c>
      <c r="G17" s="286" t="s">
        <v>68</v>
      </c>
      <c r="H17" s="279"/>
      <c r="I17" s="279"/>
      <c r="J17" s="279"/>
      <c r="K17" s="34"/>
    </row>
    <row r="18" spans="2:11" ht="19" thickBot="1">
      <c r="B18" s="275"/>
      <c r="C18" s="283" t="s">
        <v>69</v>
      </c>
      <c r="D18" s="283"/>
      <c r="E18" s="283"/>
      <c r="F18" s="54">
        <f>(F8/F17)*F13</f>
        <v>2.9850746268656718</v>
      </c>
      <c r="G18" s="287"/>
      <c r="H18" s="288"/>
      <c r="I18" s="288"/>
      <c r="J18" s="288"/>
      <c r="K18" s="34"/>
    </row>
    <row r="19" spans="2:11" ht="15" customHeight="1">
      <c r="B19" s="273" t="s">
        <v>70</v>
      </c>
      <c r="C19" s="276" t="s">
        <v>71</v>
      </c>
      <c r="D19" s="277"/>
      <c r="E19" s="277"/>
      <c r="F19" s="277"/>
      <c r="G19" s="277"/>
      <c r="H19" s="277"/>
      <c r="I19" s="277"/>
      <c r="J19" s="277"/>
      <c r="K19" s="278"/>
    </row>
    <row r="20" spans="2:11" ht="12.75" customHeight="1">
      <c r="B20" s="274"/>
      <c r="C20" s="279" t="s">
        <v>72</v>
      </c>
      <c r="D20" s="280"/>
      <c r="E20" s="280"/>
      <c r="F20" s="280"/>
      <c r="G20" s="280"/>
      <c r="H20" s="280"/>
      <c r="I20" s="280"/>
      <c r="J20" s="280"/>
      <c r="K20" s="281"/>
    </row>
    <row r="21" spans="2:11" ht="5.25" customHeight="1" thickBot="1">
      <c r="B21" s="274"/>
      <c r="C21" s="33"/>
      <c r="D21" s="33"/>
      <c r="E21" s="33"/>
      <c r="F21" s="33"/>
      <c r="G21" s="33"/>
      <c r="H21" s="33"/>
      <c r="I21" s="33"/>
      <c r="J21" s="33"/>
      <c r="K21" s="34"/>
    </row>
    <row r="22" spans="2:11" ht="16" thickBot="1">
      <c r="B22" s="274"/>
      <c r="C22" s="33"/>
      <c r="D22" s="33"/>
      <c r="E22" s="55"/>
      <c r="F22" s="56" t="s">
        <v>73</v>
      </c>
      <c r="G22" s="56" t="s">
        <v>74</v>
      </c>
      <c r="H22" s="33"/>
      <c r="I22" s="33"/>
      <c r="J22" s="33"/>
      <c r="K22" s="34"/>
    </row>
    <row r="23" spans="2:11" ht="16" thickBot="1">
      <c r="B23" s="274"/>
      <c r="C23" s="282" t="s">
        <v>75</v>
      </c>
      <c r="D23" s="282"/>
      <c r="E23" s="282"/>
      <c r="F23" s="57">
        <v>3.0000000000000001E-3</v>
      </c>
      <c r="G23" s="57">
        <v>5.0000000000000001E-3</v>
      </c>
      <c r="H23" s="33" t="s">
        <v>76</v>
      </c>
      <c r="I23" s="33"/>
      <c r="J23" s="33"/>
      <c r="K23" s="34"/>
    </row>
    <row r="24" spans="2:11" ht="8" customHeight="1" thickBot="1">
      <c r="B24" s="274"/>
      <c r="C24" s="58"/>
      <c r="D24" s="58"/>
      <c r="E24" s="58"/>
      <c r="F24" s="59"/>
      <c r="G24" s="60"/>
      <c r="H24" s="33"/>
      <c r="I24" s="33"/>
      <c r="J24" s="33"/>
      <c r="K24" s="34"/>
    </row>
    <row r="25" spans="2:11" ht="19" thickBot="1">
      <c r="B25" s="275"/>
      <c r="C25" s="283" t="s">
        <v>77</v>
      </c>
      <c r="D25" s="283"/>
      <c r="E25" s="283"/>
      <c r="F25" s="61">
        <f>(F18/F23)</f>
        <v>995.0248756218906</v>
      </c>
      <c r="G25" s="62">
        <f>F18/G23</f>
        <v>597.01492537313436</v>
      </c>
      <c r="H25" s="33" t="s">
        <v>78</v>
      </c>
      <c r="I25" s="33"/>
      <c r="J25" s="33"/>
      <c r="K25" s="34"/>
    </row>
    <row r="26" spans="2:11" ht="13.5" customHeight="1">
      <c r="B26" s="273" t="s">
        <v>79</v>
      </c>
      <c r="C26" s="276" t="s">
        <v>80</v>
      </c>
      <c r="D26" s="277"/>
      <c r="E26" s="277"/>
      <c r="F26" s="277"/>
      <c r="G26" s="277"/>
      <c r="H26" s="277"/>
      <c r="I26" s="277"/>
      <c r="J26" s="277"/>
      <c r="K26" s="278"/>
    </row>
    <row r="27" spans="2:11" ht="12.75" customHeight="1">
      <c r="B27" s="274"/>
      <c r="C27" s="279" t="s">
        <v>81</v>
      </c>
      <c r="D27" s="280"/>
      <c r="E27" s="280"/>
      <c r="F27" s="280"/>
      <c r="G27" s="280"/>
      <c r="H27" s="280"/>
      <c r="I27" s="280"/>
      <c r="J27" s="280"/>
      <c r="K27" s="281"/>
    </row>
    <row r="28" spans="2:11" ht="3" customHeight="1" thickBot="1">
      <c r="B28" s="274"/>
      <c r="C28" s="33"/>
      <c r="D28" s="33"/>
      <c r="E28" s="33"/>
      <c r="F28" s="33"/>
      <c r="G28" s="33"/>
      <c r="H28" s="33"/>
      <c r="I28" s="33"/>
      <c r="J28" s="33"/>
      <c r="K28" s="34"/>
    </row>
    <row r="29" spans="2:11" ht="16" thickBot="1">
      <c r="B29" s="274"/>
      <c r="C29" s="33"/>
      <c r="D29" s="33"/>
      <c r="E29" s="55"/>
      <c r="F29" s="56" t="s">
        <v>73</v>
      </c>
      <c r="G29" s="56" t="s">
        <v>74</v>
      </c>
      <c r="H29" s="33"/>
      <c r="I29" s="33"/>
      <c r="J29" s="33"/>
      <c r="K29" s="34"/>
    </row>
    <row r="30" spans="2:11" ht="17" customHeight="1" thickBot="1">
      <c r="B30" s="274"/>
      <c r="C30" s="282" t="s">
        <v>82</v>
      </c>
      <c r="D30" s="282"/>
      <c r="E30" s="282"/>
      <c r="F30" s="63">
        <v>0.02</v>
      </c>
      <c r="G30" s="63">
        <v>0.04</v>
      </c>
      <c r="H30" s="33" t="s">
        <v>83</v>
      </c>
      <c r="I30" s="33"/>
      <c r="J30" s="33"/>
      <c r="K30" s="34"/>
    </row>
    <row r="31" spans="2:11" ht="8" customHeight="1" thickBot="1">
      <c r="B31" s="274"/>
      <c r="C31" s="58"/>
      <c r="D31" s="58"/>
      <c r="E31" s="58"/>
      <c r="F31" s="59"/>
      <c r="G31" s="60"/>
      <c r="H31" s="33"/>
      <c r="I31" s="33"/>
      <c r="J31" s="33"/>
      <c r="K31" s="34"/>
    </row>
    <row r="32" spans="2:11" ht="19" customHeight="1" thickBot="1">
      <c r="B32" s="275"/>
      <c r="C32" s="283" t="s">
        <v>84</v>
      </c>
      <c r="D32" s="283"/>
      <c r="E32" s="283"/>
      <c r="F32" s="64">
        <f>(F25/F30)</f>
        <v>49751.243781094527</v>
      </c>
      <c r="G32" s="65">
        <f>G25/G30</f>
        <v>14925.373134328358</v>
      </c>
      <c r="H32" s="33" t="s">
        <v>78</v>
      </c>
      <c r="I32" s="33"/>
      <c r="J32" s="51"/>
      <c r="K32" s="66"/>
    </row>
    <row r="33" spans="2:11">
      <c r="B33" s="67"/>
      <c r="C33" s="68"/>
      <c r="D33" s="68"/>
      <c r="E33" s="68"/>
      <c r="F33" s="68"/>
      <c r="G33" s="68"/>
      <c r="H33" s="68"/>
      <c r="I33" s="68" t="s">
        <v>85</v>
      </c>
      <c r="J33" s="69" t="s">
        <v>86</v>
      </c>
      <c r="K33" s="70" t="s">
        <v>87</v>
      </c>
    </row>
    <row r="34" spans="2:11">
      <c r="B34" s="71"/>
      <c r="C34" s="72"/>
      <c r="D34" s="72"/>
      <c r="E34" s="72"/>
      <c r="F34" s="72"/>
      <c r="G34" s="73"/>
      <c r="H34" s="72"/>
      <c r="I34" s="72"/>
      <c r="J34" s="74"/>
      <c r="K34" s="75" t="s">
        <v>88</v>
      </c>
    </row>
    <row r="35" spans="2:11">
      <c r="B35" s="71"/>
      <c r="C35" s="71"/>
      <c r="D35" s="71"/>
      <c r="E35" s="71"/>
      <c r="F35" s="71"/>
      <c r="G35" s="71"/>
      <c r="H35" s="71"/>
      <c r="I35" s="71"/>
      <c r="J35" s="71"/>
    </row>
    <row r="36" spans="2:11">
      <c r="B36" s="71"/>
      <c r="C36" s="71"/>
      <c r="D36" s="71"/>
      <c r="E36" s="71"/>
      <c r="F36" s="71"/>
      <c r="G36" s="71"/>
      <c r="H36" s="71"/>
      <c r="I36" s="71"/>
      <c r="J36" s="71"/>
    </row>
    <row r="37" spans="2:11">
      <c r="B37" s="71"/>
      <c r="C37" s="71"/>
      <c r="D37" s="71"/>
      <c r="E37" s="71"/>
      <c r="F37" s="71"/>
      <c r="G37" s="71"/>
      <c r="H37" s="71"/>
      <c r="I37" s="71"/>
      <c r="J37" s="71"/>
    </row>
    <row r="38" spans="2:11">
      <c r="B38" s="71"/>
      <c r="C38" s="71"/>
      <c r="D38" s="71"/>
      <c r="E38" s="71"/>
      <c r="F38" s="71"/>
      <c r="G38" s="71"/>
      <c r="H38" s="71"/>
      <c r="I38" s="71"/>
      <c r="J38" s="71"/>
    </row>
    <row r="39" spans="2:11">
      <c r="B39" s="71"/>
      <c r="C39" s="71"/>
      <c r="D39" s="71"/>
      <c r="E39" s="71"/>
      <c r="F39" s="71"/>
      <c r="G39" s="71"/>
      <c r="H39" s="71"/>
      <c r="I39" s="71"/>
      <c r="J39" s="71"/>
    </row>
    <row r="40" spans="2:11">
      <c r="B40" s="71"/>
      <c r="C40" s="71"/>
      <c r="D40" s="71"/>
      <c r="E40" s="71"/>
      <c r="F40" s="71"/>
      <c r="G40" s="71"/>
      <c r="H40" s="71"/>
      <c r="I40" s="71"/>
      <c r="J40" s="71"/>
    </row>
    <row r="41" spans="2:11">
      <c r="B41" s="71"/>
      <c r="C41" s="71"/>
      <c r="D41" s="71"/>
      <c r="E41" s="71"/>
      <c r="F41" s="71"/>
      <c r="G41" s="71"/>
      <c r="H41" s="71"/>
      <c r="I41" s="71"/>
      <c r="J41" s="71"/>
    </row>
    <row r="42" spans="2:11">
      <c r="B42" s="71"/>
      <c r="C42" s="71"/>
      <c r="D42" s="71"/>
      <c r="E42" s="71"/>
      <c r="F42" s="71"/>
      <c r="G42" s="71"/>
      <c r="H42" s="71"/>
      <c r="I42" s="71"/>
      <c r="J42" s="71"/>
    </row>
    <row r="43" spans="2:11">
      <c r="B43" s="71"/>
      <c r="C43" s="71"/>
      <c r="D43" s="71"/>
      <c r="E43" s="71"/>
      <c r="F43" s="71"/>
      <c r="G43" s="71"/>
      <c r="H43" s="71"/>
      <c r="I43" s="71"/>
      <c r="J43" s="71"/>
    </row>
    <row r="44" spans="2:11">
      <c r="B44" s="71"/>
      <c r="C44" s="71"/>
      <c r="D44" s="71"/>
      <c r="E44" s="71"/>
      <c r="F44" s="71"/>
      <c r="G44" s="71"/>
      <c r="H44" s="71"/>
      <c r="I44" s="71"/>
      <c r="J44" s="71"/>
    </row>
    <row r="45" spans="2:11">
      <c r="B45" s="71"/>
      <c r="C45" s="71"/>
      <c r="D45" s="71"/>
      <c r="E45" s="71"/>
      <c r="F45" s="71"/>
      <c r="G45" s="71"/>
      <c r="H45" s="71"/>
      <c r="I45" s="71"/>
      <c r="J45" s="71"/>
    </row>
    <row r="46" spans="2:11">
      <c r="B46" s="71"/>
      <c r="C46" s="71"/>
      <c r="D46" s="71"/>
      <c r="E46" s="71"/>
      <c r="F46" s="71"/>
      <c r="G46" s="71"/>
      <c r="H46" s="71"/>
      <c r="I46" s="71"/>
      <c r="J46" s="71"/>
    </row>
    <row r="47" spans="2:11">
      <c r="B47" s="271"/>
      <c r="C47" s="271"/>
      <c r="D47" s="271"/>
      <c r="E47" s="271"/>
      <c r="F47" s="271"/>
      <c r="G47" s="271"/>
      <c r="H47" s="271"/>
      <c r="I47" s="271"/>
      <c r="J47" s="271"/>
    </row>
    <row r="48" spans="2:11">
      <c r="B48" s="272"/>
      <c r="C48" s="272"/>
      <c r="D48" s="272"/>
      <c r="E48" s="272"/>
      <c r="F48" s="272"/>
      <c r="G48" s="272"/>
      <c r="H48" s="272"/>
      <c r="I48" s="272"/>
      <c r="J48" s="272"/>
    </row>
    <row r="49" spans="2:10">
      <c r="B49" s="71"/>
      <c r="C49" s="71"/>
      <c r="D49" s="71"/>
      <c r="E49" s="71"/>
      <c r="F49" s="71"/>
      <c r="G49" s="71"/>
      <c r="H49" s="71"/>
      <c r="I49" s="71"/>
      <c r="J49" s="71"/>
    </row>
    <row r="50" spans="2:10">
      <c r="B50" s="71"/>
      <c r="C50" s="71"/>
      <c r="D50" s="71"/>
      <c r="E50" s="71"/>
      <c r="F50" s="71"/>
      <c r="G50" s="71"/>
      <c r="H50" s="71"/>
      <c r="I50" s="71"/>
      <c r="J50" s="71"/>
    </row>
    <row r="51" spans="2:10">
      <c r="B51" s="71"/>
      <c r="C51" s="71"/>
      <c r="D51" s="71"/>
      <c r="E51" s="71"/>
      <c r="F51" s="71"/>
      <c r="G51" s="71"/>
      <c r="H51" s="71"/>
      <c r="I51" s="71"/>
      <c r="J51" s="71"/>
    </row>
    <row r="52" spans="2:10">
      <c r="B52" s="71"/>
      <c r="C52" s="71"/>
      <c r="D52" s="71"/>
      <c r="E52" s="71"/>
      <c r="F52" s="71"/>
      <c r="G52" s="71"/>
      <c r="H52" s="71"/>
      <c r="I52" s="71"/>
      <c r="J52" s="71"/>
    </row>
    <row r="53" spans="2:10">
      <c r="B53" s="71"/>
      <c r="C53" s="71"/>
      <c r="D53" s="71"/>
      <c r="E53" s="71"/>
      <c r="F53" s="71"/>
      <c r="G53" s="71"/>
      <c r="H53" s="71"/>
      <c r="I53" s="71"/>
      <c r="J53" s="71"/>
    </row>
    <row r="54" spans="2:10">
      <c r="B54" s="71"/>
      <c r="C54" s="71"/>
      <c r="D54" s="71"/>
      <c r="E54" s="71"/>
      <c r="F54" s="71"/>
      <c r="G54" s="71"/>
      <c r="H54" s="71"/>
      <c r="I54" s="71"/>
      <c r="J54" s="71"/>
    </row>
    <row r="55" spans="2:10">
      <c r="B55" s="71"/>
      <c r="C55" s="71"/>
      <c r="D55" s="71"/>
      <c r="E55" s="71"/>
      <c r="F55" s="71"/>
      <c r="G55" s="71"/>
      <c r="H55" s="71"/>
      <c r="I55" s="71"/>
      <c r="J55" s="71"/>
    </row>
  </sheetData>
  <mergeCells count="28">
    <mergeCell ref="B2:K3"/>
    <mergeCell ref="B4:D4"/>
    <mergeCell ref="G4:K4"/>
    <mergeCell ref="B5:B8"/>
    <mergeCell ref="C5:K5"/>
    <mergeCell ref="C6:K6"/>
    <mergeCell ref="C8:E8"/>
    <mergeCell ref="G8:K8"/>
    <mergeCell ref="B9:B13"/>
    <mergeCell ref="B14:B18"/>
    <mergeCell ref="C14:K14"/>
    <mergeCell ref="C15:K15"/>
    <mergeCell ref="C17:E17"/>
    <mergeCell ref="G17:J17"/>
    <mergeCell ref="C18:E18"/>
    <mergeCell ref="G18:J18"/>
    <mergeCell ref="B47:J47"/>
    <mergeCell ref="B48:J48"/>
    <mergeCell ref="B19:B25"/>
    <mergeCell ref="C19:K19"/>
    <mergeCell ref="C20:K20"/>
    <mergeCell ref="C23:E23"/>
    <mergeCell ref="C25:E25"/>
    <mergeCell ref="B26:B32"/>
    <mergeCell ref="C26:K26"/>
    <mergeCell ref="C27:K27"/>
    <mergeCell ref="C30:E30"/>
    <mergeCell ref="C32:E32"/>
  </mergeCells>
  <hyperlinks>
    <hyperlink ref="K33" r:id="rId1"/>
  </hyperlinks>
  <pageMargins left="0.2" right="0.2" top="0.75" bottom="0.75" header="0.3" footer="0.3"/>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9"/>
  <sheetViews>
    <sheetView topLeftCell="B1" workbookViewId="0">
      <selection activeCell="E18" sqref="E18"/>
    </sheetView>
  </sheetViews>
  <sheetFormatPr baseColWidth="10" defaultColWidth="8.83203125" defaultRowHeight="14" outlineLevelCol="1" x14ac:dyDescent="0"/>
  <cols>
    <col min="1" max="1" width="2.6640625" customWidth="1"/>
    <col min="2" max="2" width="4.33203125" customWidth="1"/>
    <col min="3" max="3" width="72" bestFit="1" customWidth="1"/>
    <col min="4" max="4" width="22.5" bestFit="1" customWidth="1"/>
    <col min="5" max="5" width="19.6640625" customWidth="1" outlineLevel="1"/>
    <col min="6" max="6" width="9.1640625" customWidth="1" outlineLevel="1"/>
    <col min="7" max="7" width="9.1640625" customWidth="1"/>
  </cols>
  <sheetData>
    <row r="2" spans="2:6">
      <c r="C2" s="14" t="s">
        <v>96</v>
      </c>
      <c r="D2" s="14" t="s">
        <v>97</v>
      </c>
      <c r="E2" s="14" t="s">
        <v>0</v>
      </c>
    </row>
    <row r="3" spans="2:6">
      <c r="B3">
        <v>1</v>
      </c>
      <c r="C3" t="s">
        <v>91</v>
      </c>
      <c r="D3" s="7">
        <v>10000</v>
      </c>
      <c r="E3" s="7">
        <v>10000</v>
      </c>
    </row>
    <row r="4" spans="2:6">
      <c r="C4" s="3" t="s">
        <v>8</v>
      </c>
      <c r="D4" s="7">
        <v>6000</v>
      </c>
      <c r="E4" s="7">
        <v>2733</v>
      </c>
      <c r="F4" t="s">
        <v>101</v>
      </c>
    </row>
    <row r="5" spans="2:6">
      <c r="C5" s="3" t="s">
        <v>9</v>
      </c>
      <c r="D5" s="8">
        <f>D3-D4</f>
        <v>4000</v>
      </c>
      <c r="E5" s="8">
        <f>E3-E4</f>
        <v>7267</v>
      </c>
    </row>
    <row r="6" spans="2:6">
      <c r="B6">
        <v>2</v>
      </c>
      <c r="C6" t="s">
        <v>10</v>
      </c>
    </row>
    <row r="7" spans="2:6">
      <c r="C7" s="3" t="s">
        <v>1</v>
      </c>
      <c r="D7" s="82">
        <f>'Inbound Marketing Goals'!F17</f>
        <v>67000</v>
      </c>
      <c r="E7" s="7">
        <v>700</v>
      </c>
    </row>
    <row r="8" spans="2:6">
      <c r="C8" s="3" t="s">
        <v>2</v>
      </c>
      <c r="D8" s="6">
        <v>0.6</v>
      </c>
      <c r="E8" s="6">
        <v>0.7</v>
      </c>
      <c r="F8" t="s">
        <v>11</v>
      </c>
    </row>
    <row r="9" spans="2:6">
      <c r="C9" s="3" t="s">
        <v>43</v>
      </c>
      <c r="D9" s="5">
        <v>1</v>
      </c>
      <c r="E9" s="4">
        <f>1/0.015</f>
        <v>66.666666666666671</v>
      </c>
    </row>
    <row r="10" spans="2:6">
      <c r="C10" s="3" t="s">
        <v>3</v>
      </c>
      <c r="D10" s="9">
        <f>D7*D8*D9</f>
        <v>40200</v>
      </c>
      <c r="E10" s="9">
        <f>E7*E8*E9</f>
        <v>32666.666666666664</v>
      </c>
      <c r="F10" t="s">
        <v>12</v>
      </c>
    </row>
    <row r="12" spans="2:6">
      <c r="C12" s="13" t="s">
        <v>95</v>
      </c>
      <c r="D12" s="11"/>
      <c r="E12" s="11"/>
    </row>
    <row r="13" spans="2:6">
      <c r="B13">
        <v>3</v>
      </c>
      <c r="C13" s="12" t="s">
        <v>40</v>
      </c>
      <c r="D13" s="78">
        <f>'Inbound Marketing Goals'!F18</f>
        <v>2.9850746268656718</v>
      </c>
      <c r="E13" s="5">
        <v>150</v>
      </c>
      <c r="F13" t="s">
        <v>42</v>
      </c>
    </row>
    <row r="14" spans="2:6">
      <c r="B14">
        <v>4</v>
      </c>
      <c r="C14" s="12" t="s">
        <v>41</v>
      </c>
      <c r="D14" s="8">
        <f>D13*D10</f>
        <v>120000</v>
      </c>
      <c r="E14" s="9">
        <f>E13*E10</f>
        <v>4900000</v>
      </c>
    </row>
    <row r="15" spans="2:6">
      <c r="C15" s="12"/>
      <c r="D15" s="112">
        <v>0.1</v>
      </c>
      <c r="E15" s="19"/>
      <c r="F15" s="12"/>
    </row>
    <row r="16" spans="2:6">
      <c r="B16">
        <v>5</v>
      </c>
      <c r="C16" s="12" t="s">
        <v>92</v>
      </c>
      <c r="D16" s="83">
        <f>D15*D14</f>
        <v>12000</v>
      </c>
      <c r="E16" s="19">
        <f>D15*E14</f>
        <v>490000</v>
      </c>
      <c r="F16" s="12" t="s">
        <v>45</v>
      </c>
    </row>
    <row r="17" spans="2:7">
      <c r="C17" s="12"/>
      <c r="D17" s="112"/>
      <c r="E17" s="19"/>
      <c r="F17" s="12"/>
    </row>
    <row r="18" spans="2:7">
      <c r="C18" s="12" t="s">
        <v>90</v>
      </c>
      <c r="D18" s="8">
        <f>D13*D4</f>
        <v>17910.447761194031</v>
      </c>
      <c r="E18" s="9">
        <f>E4*E13</f>
        <v>409950</v>
      </c>
      <c r="F18" t="s">
        <v>44</v>
      </c>
    </row>
    <row r="19" spans="2:7">
      <c r="C19" s="12" t="s">
        <v>98</v>
      </c>
      <c r="D19" s="84">
        <f>D18-D16</f>
        <v>5910.447761194031</v>
      </c>
      <c r="E19" s="9">
        <f>E18-E16</f>
        <v>-80050</v>
      </c>
      <c r="F19" t="s">
        <v>93</v>
      </c>
    </row>
    <row r="20" spans="2:7">
      <c r="C20" s="12"/>
      <c r="D20" s="101"/>
      <c r="E20" s="9"/>
    </row>
    <row r="21" spans="2:7">
      <c r="E21" s="9"/>
    </row>
    <row r="22" spans="2:7">
      <c r="E22" s="9"/>
    </row>
    <row r="24" spans="2:7" hidden="1">
      <c r="C24" s="81" t="s">
        <v>94</v>
      </c>
      <c r="D24" s="11"/>
      <c r="E24" s="11"/>
    </row>
    <row r="25" spans="2:7" hidden="1">
      <c r="B25">
        <v>6</v>
      </c>
      <c r="C25" s="10" t="s">
        <v>4</v>
      </c>
      <c r="E25" s="9">
        <f>E10-E3</f>
        <v>22666.666666666664</v>
      </c>
    </row>
    <row r="26" spans="2:7" hidden="1">
      <c r="B26">
        <v>7</v>
      </c>
      <c r="C26" s="10" t="s">
        <v>5</v>
      </c>
      <c r="E26" s="1">
        <f>E10/E3</f>
        <v>3.2666666666666666</v>
      </c>
      <c r="F26" t="s">
        <v>7</v>
      </c>
    </row>
    <row r="27" spans="2:7" hidden="1">
      <c r="B27">
        <v>8</v>
      </c>
      <c r="C27" s="10" t="s">
        <v>6</v>
      </c>
      <c r="E27" s="1">
        <f>E3/(E7*E8)</f>
        <v>20.408163265306126</v>
      </c>
    </row>
    <row r="28" spans="2:7" hidden="1"/>
    <row r="29" spans="2:7" hidden="1"/>
    <row r="30" spans="2:7" hidden="1">
      <c r="G30" s="85" t="s">
        <v>99</v>
      </c>
    </row>
    <row r="31" spans="2:7" hidden="1">
      <c r="C31" s="13" t="s">
        <v>13</v>
      </c>
    </row>
    <row r="32" spans="2:7" hidden="1">
      <c r="B32">
        <v>7</v>
      </c>
      <c r="C32" s="12" t="s">
        <v>14</v>
      </c>
      <c r="E32" s="4">
        <v>10000</v>
      </c>
    </row>
    <row r="33" spans="2:7" hidden="1">
      <c r="B33">
        <v>8</v>
      </c>
      <c r="C33" s="12" t="s">
        <v>15</v>
      </c>
      <c r="D33" s="8"/>
      <c r="E33" s="8">
        <f>E32*E7*E8</f>
        <v>4900000</v>
      </c>
    </row>
    <row r="34" spans="2:7" hidden="1">
      <c r="C34" s="12"/>
      <c r="E34" s="2"/>
    </row>
    <row r="35" spans="2:7" hidden="1"/>
    <row r="36" spans="2:7" hidden="1">
      <c r="B36">
        <v>3</v>
      </c>
      <c r="C36" s="10" t="s">
        <v>16</v>
      </c>
      <c r="E36" s="8"/>
      <c r="G36" s="85" t="s">
        <v>100</v>
      </c>
    </row>
    <row r="37" spans="2:7" hidden="1">
      <c r="C37" s="3" t="s">
        <v>48</v>
      </c>
      <c r="D37" s="8">
        <v>120000</v>
      </c>
      <c r="E37" t="s">
        <v>50</v>
      </c>
    </row>
    <row r="38" spans="2:7" hidden="1">
      <c r="C38" s="3" t="s">
        <v>47</v>
      </c>
      <c r="D38" s="6">
        <v>0.6</v>
      </c>
      <c r="E38" t="s">
        <v>49</v>
      </c>
    </row>
    <row r="39" spans="2:7" hidden="1">
      <c r="C39" s="3" t="s">
        <v>17</v>
      </c>
      <c r="E39" s="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53"/>
  <sheetViews>
    <sheetView showGridLines="0" topLeftCell="A17" workbookViewId="0">
      <selection activeCell="B44" sqref="B44"/>
    </sheetView>
  </sheetViews>
  <sheetFormatPr baseColWidth="10" defaultColWidth="8.83203125" defaultRowHeight="14" outlineLevelCol="1" x14ac:dyDescent="0"/>
  <cols>
    <col min="1" max="1" width="3.1640625" style="87" customWidth="1"/>
    <col min="2" max="2" width="39.5" style="87" customWidth="1"/>
    <col min="3" max="3" width="10.1640625" style="87" customWidth="1" outlineLevel="1"/>
    <col min="4" max="4" width="12.1640625" style="87" customWidth="1" outlineLevel="1"/>
    <col min="5" max="5" width="16.5" style="87" bestFit="1" customWidth="1"/>
    <col min="6" max="6" width="10.5" style="87" customWidth="1" outlineLevel="1"/>
    <col min="7" max="7" width="16.5" style="87" bestFit="1" customWidth="1"/>
    <col min="8" max="8" width="10.5" style="87" hidden="1" customWidth="1" outlineLevel="1"/>
    <col min="9" max="9" width="22.5" style="87" customWidth="1" collapsed="1"/>
    <col min="10" max="10" width="10.5" style="87" hidden="1" customWidth="1" outlineLevel="1"/>
    <col min="11" max="11" width="8.83203125" style="87" collapsed="1"/>
    <col min="12" max="12" width="8.83203125" style="87"/>
    <col min="13" max="14" width="9.1640625" style="87" hidden="1" customWidth="1" outlineLevel="1"/>
    <col min="15" max="15" width="12.5" style="87" hidden="1" customWidth="1" outlineLevel="1"/>
    <col min="16" max="16" width="10" style="87" hidden="1" customWidth="1" outlineLevel="1"/>
    <col min="17" max="17" width="20" style="87" bestFit="1" customWidth="1" collapsed="1"/>
    <col min="18" max="258" width="8.83203125" style="87"/>
    <col min="259" max="259" width="30.1640625" style="87" bestFit="1" customWidth="1"/>
    <col min="260" max="260" width="10.1640625" style="87" customWidth="1"/>
    <col min="261" max="261" width="12.1640625" style="87" customWidth="1"/>
    <col min="262" max="262" width="16.5" style="87" bestFit="1" customWidth="1"/>
    <col min="263" max="263" width="10.5" style="87" customWidth="1"/>
    <col min="264" max="264" width="16.5" style="87" bestFit="1" customWidth="1"/>
    <col min="265" max="265" width="10.5" style="87" customWidth="1"/>
    <col min="266" max="266" width="17.5" style="87" bestFit="1" customWidth="1"/>
    <col min="267" max="267" width="10.5" style="87" customWidth="1"/>
    <col min="268" max="514" width="8.83203125" style="87"/>
    <col min="515" max="515" width="30.1640625" style="87" bestFit="1" customWidth="1"/>
    <col min="516" max="516" width="10.1640625" style="87" customWidth="1"/>
    <col min="517" max="517" width="12.1640625" style="87" customWidth="1"/>
    <col min="518" max="518" width="16.5" style="87" bestFit="1" customWidth="1"/>
    <col min="519" max="519" width="10.5" style="87" customWidth="1"/>
    <col min="520" max="520" width="16.5" style="87" bestFit="1" customWidth="1"/>
    <col min="521" max="521" width="10.5" style="87" customWidth="1"/>
    <col min="522" max="522" width="17.5" style="87" bestFit="1" customWidth="1"/>
    <col min="523" max="523" width="10.5" style="87" customWidth="1"/>
    <col min="524" max="770" width="8.83203125" style="87"/>
    <col min="771" max="771" width="30.1640625" style="87" bestFit="1" customWidth="1"/>
    <col min="772" max="772" width="10.1640625" style="87" customWidth="1"/>
    <col min="773" max="773" width="12.1640625" style="87" customWidth="1"/>
    <col min="774" max="774" width="16.5" style="87" bestFit="1" customWidth="1"/>
    <col min="775" max="775" width="10.5" style="87" customWidth="1"/>
    <col min="776" max="776" width="16.5" style="87" bestFit="1" customWidth="1"/>
    <col min="777" max="777" width="10.5" style="87" customWidth="1"/>
    <col min="778" max="778" width="17.5" style="87" bestFit="1" customWidth="1"/>
    <col min="779" max="779" width="10.5" style="87" customWidth="1"/>
    <col min="780" max="1026" width="8.83203125" style="87"/>
    <col min="1027" max="1027" width="30.1640625" style="87" bestFit="1" customWidth="1"/>
    <col min="1028" max="1028" width="10.1640625" style="87" customWidth="1"/>
    <col min="1029" max="1029" width="12.1640625" style="87" customWidth="1"/>
    <col min="1030" max="1030" width="16.5" style="87" bestFit="1" customWidth="1"/>
    <col min="1031" max="1031" width="10.5" style="87" customWidth="1"/>
    <col min="1032" max="1032" width="16.5" style="87" bestFit="1" customWidth="1"/>
    <col min="1033" max="1033" width="10.5" style="87" customWidth="1"/>
    <col min="1034" max="1034" width="17.5" style="87" bestFit="1" customWidth="1"/>
    <col min="1035" max="1035" width="10.5" style="87" customWidth="1"/>
    <col min="1036" max="1282" width="8.83203125" style="87"/>
    <col min="1283" max="1283" width="30.1640625" style="87" bestFit="1" customWidth="1"/>
    <col min="1284" max="1284" width="10.1640625" style="87" customWidth="1"/>
    <col min="1285" max="1285" width="12.1640625" style="87" customWidth="1"/>
    <col min="1286" max="1286" width="16.5" style="87" bestFit="1" customWidth="1"/>
    <col min="1287" max="1287" width="10.5" style="87" customWidth="1"/>
    <col min="1288" max="1288" width="16.5" style="87" bestFit="1" customWidth="1"/>
    <col min="1289" max="1289" width="10.5" style="87" customWidth="1"/>
    <col min="1290" max="1290" width="17.5" style="87" bestFit="1" customWidth="1"/>
    <col min="1291" max="1291" width="10.5" style="87" customWidth="1"/>
    <col min="1292" max="1538" width="8.83203125" style="87"/>
    <col min="1539" max="1539" width="30.1640625" style="87" bestFit="1" customWidth="1"/>
    <col min="1540" max="1540" width="10.1640625" style="87" customWidth="1"/>
    <col min="1541" max="1541" width="12.1640625" style="87" customWidth="1"/>
    <col min="1542" max="1542" width="16.5" style="87" bestFit="1" customWidth="1"/>
    <col min="1543" max="1543" width="10.5" style="87" customWidth="1"/>
    <col min="1544" max="1544" width="16.5" style="87" bestFit="1" customWidth="1"/>
    <col min="1545" max="1545" width="10.5" style="87" customWidth="1"/>
    <col min="1546" max="1546" width="17.5" style="87" bestFit="1" customWidth="1"/>
    <col min="1547" max="1547" width="10.5" style="87" customWidth="1"/>
    <col min="1548" max="1794" width="8.83203125" style="87"/>
    <col min="1795" max="1795" width="30.1640625" style="87" bestFit="1" customWidth="1"/>
    <col min="1796" max="1796" width="10.1640625" style="87" customWidth="1"/>
    <col min="1797" max="1797" width="12.1640625" style="87" customWidth="1"/>
    <col min="1798" max="1798" width="16.5" style="87" bestFit="1" customWidth="1"/>
    <col min="1799" max="1799" width="10.5" style="87" customWidth="1"/>
    <col min="1800" max="1800" width="16.5" style="87" bestFit="1" customWidth="1"/>
    <col min="1801" max="1801" width="10.5" style="87" customWidth="1"/>
    <col min="1802" max="1802" width="17.5" style="87" bestFit="1" customWidth="1"/>
    <col min="1803" max="1803" width="10.5" style="87" customWidth="1"/>
    <col min="1804" max="2050" width="8.83203125" style="87"/>
    <col min="2051" max="2051" width="30.1640625" style="87" bestFit="1" customWidth="1"/>
    <col min="2052" max="2052" width="10.1640625" style="87" customWidth="1"/>
    <col min="2053" max="2053" width="12.1640625" style="87" customWidth="1"/>
    <col min="2054" max="2054" width="16.5" style="87" bestFit="1" customWidth="1"/>
    <col min="2055" max="2055" width="10.5" style="87" customWidth="1"/>
    <col min="2056" max="2056" width="16.5" style="87" bestFit="1" customWidth="1"/>
    <col min="2057" max="2057" width="10.5" style="87" customWidth="1"/>
    <col min="2058" max="2058" width="17.5" style="87" bestFit="1" customWidth="1"/>
    <col min="2059" max="2059" width="10.5" style="87" customWidth="1"/>
    <col min="2060" max="2306" width="8.83203125" style="87"/>
    <col min="2307" max="2307" width="30.1640625" style="87" bestFit="1" customWidth="1"/>
    <col min="2308" max="2308" width="10.1640625" style="87" customWidth="1"/>
    <col min="2309" max="2309" width="12.1640625" style="87" customWidth="1"/>
    <col min="2310" max="2310" width="16.5" style="87" bestFit="1" customWidth="1"/>
    <col min="2311" max="2311" width="10.5" style="87" customWidth="1"/>
    <col min="2312" max="2312" width="16.5" style="87" bestFit="1" customWidth="1"/>
    <col min="2313" max="2313" width="10.5" style="87" customWidth="1"/>
    <col min="2314" max="2314" width="17.5" style="87" bestFit="1" customWidth="1"/>
    <col min="2315" max="2315" width="10.5" style="87" customWidth="1"/>
    <col min="2316" max="2562" width="8.83203125" style="87"/>
    <col min="2563" max="2563" width="30.1640625" style="87" bestFit="1" customWidth="1"/>
    <col min="2564" max="2564" width="10.1640625" style="87" customWidth="1"/>
    <col min="2565" max="2565" width="12.1640625" style="87" customWidth="1"/>
    <col min="2566" max="2566" width="16.5" style="87" bestFit="1" customWidth="1"/>
    <col min="2567" max="2567" width="10.5" style="87" customWidth="1"/>
    <col min="2568" max="2568" width="16.5" style="87" bestFit="1" customWidth="1"/>
    <col min="2569" max="2569" width="10.5" style="87" customWidth="1"/>
    <col min="2570" max="2570" width="17.5" style="87" bestFit="1" customWidth="1"/>
    <col min="2571" max="2571" width="10.5" style="87" customWidth="1"/>
    <col min="2572" max="2818" width="8.83203125" style="87"/>
    <col min="2819" max="2819" width="30.1640625" style="87" bestFit="1" customWidth="1"/>
    <col min="2820" max="2820" width="10.1640625" style="87" customWidth="1"/>
    <col min="2821" max="2821" width="12.1640625" style="87" customWidth="1"/>
    <col min="2822" max="2822" width="16.5" style="87" bestFit="1" customWidth="1"/>
    <col min="2823" max="2823" width="10.5" style="87" customWidth="1"/>
    <col min="2824" max="2824" width="16.5" style="87" bestFit="1" customWidth="1"/>
    <col min="2825" max="2825" width="10.5" style="87" customWidth="1"/>
    <col min="2826" max="2826" width="17.5" style="87" bestFit="1" customWidth="1"/>
    <col min="2827" max="2827" width="10.5" style="87" customWidth="1"/>
    <col min="2828" max="3074" width="8.83203125" style="87"/>
    <col min="3075" max="3075" width="30.1640625" style="87" bestFit="1" customWidth="1"/>
    <col min="3076" max="3076" width="10.1640625" style="87" customWidth="1"/>
    <col min="3077" max="3077" width="12.1640625" style="87" customWidth="1"/>
    <col min="3078" max="3078" width="16.5" style="87" bestFit="1" customWidth="1"/>
    <col min="3079" max="3079" width="10.5" style="87" customWidth="1"/>
    <col min="3080" max="3080" width="16.5" style="87" bestFit="1" customWidth="1"/>
    <col min="3081" max="3081" width="10.5" style="87" customWidth="1"/>
    <col min="3082" max="3082" width="17.5" style="87" bestFit="1" customWidth="1"/>
    <col min="3083" max="3083" width="10.5" style="87" customWidth="1"/>
    <col min="3084" max="3330" width="8.83203125" style="87"/>
    <col min="3331" max="3331" width="30.1640625" style="87" bestFit="1" customWidth="1"/>
    <col min="3332" max="3332" width="10.1640625" style="87" customWidth="1"/>
    <col min="3333" max="3333" width="12.1640625" style="87" customWidth="1"/>
    <col min="3334" max="3334" width="16.5" style="87" bestFit="1" customWidth="1"/>
    <col min="3335" max="3335" width="10.5" style="87" customWidth="1"/>
    <col min="3336" max="3336" width="16.5" style="87" bestFit="1" customWidth="1"/>
    <col min="3337" max="3337" width="10.5" style="87" customWidth="1"/>
    <col min="3338" max="3338" width="17.5" style="87" bestFit="1" customWidth="1"/>
    <col min="3339" max="3339" width="10.5" style="87" customWidth="1"/>
    <col min="3340" max="3586" width="8.83203125" style="87"/>
    <col min="3587" max="3587" width="30.1640625" style="87" bestFit="1" customWidth="1"/>
    <col min="3588" max="3588" width="10.1640625" style="87" customWidth="1"/>
    <col min="3589" max="3589" width="12.1640625" style="87" customWidth="1"/>
    <col min="3590" max="3590" width="16.5" style="87" bestFit="1" customWidth="1"/>
    <col min="3591" max="3591" width="10.5" style="87" customWidth="1"/>
    <col min="3592" max="3592" width="16.5" style="87" bestFit="1" customWidth="1"/>
    <col min="3593" max="3593" width="10.5" style="87" customWidth="1"/>
    <col min="3594" max="3594" width="17.5" style="87" bestFit="1" customWidth="1"/>
    <col min="3595" max="3595" width="10.5" style="87" customWidth="1"/>
    <col min="3596" max="3842" width="8.83203125" style="87"/>
    <col min="3843" max="3843" width="30.1640625" style="87" bestFit="1" customWidth="1"/>
    <col min="3844" max="3844" width="10.1640625" style="87" customWidth="1"/>
    <col min="3845" max="3845" width="12.1640625" style="87" customWidth="1"/>
    <col min="3846" max="3846" width="16.5" style="87" bestFit="1" customWidth="1"/>
    <col min="3847" max="3847" width="10.5" style="87" customWidth="1"/>
    <col min="3848" max="3848" width="16.5" style="87" bestFit="1" customWidth="1"/>
    <col min="3849" max="3849" width="10.5" style="87" customWidth="1"/>
    <col min="3850" max="3850" width="17.5" style="87" bestFit="1" customWidth="1"/>
    <col min="3851" max="3851" width="10.5" style="87" customWidth="1"/>
    <col min="3852" max="4098" width="8.83203125" style="87"/>
    <col min="4099" max="4099" width="30.1640625" style="87" bestFit="1" customWidth="1"/>
    <col min="4100" max="4100" width="10.1640625" style="87" customWidth="1"/>
    <col min="4101" max="4101" width="12.1640625" style="87" customWidth="1"/>
    <col min="4102" max="4102" width="16.5" style="87" bestFit="1" customWidth="1"/>
    <col min="4103" max="4103" width="10.5" style="87" customWidth="1"/>
    <col min="4104" max="4104" width="16.5" style="87" bestFit="1" customWidth="1"/>
    <col min="4105" max="4105" width="10.5" style="87" customWidth="1"/>
    <col min="4106" max="4106" width="17.5" style="87" bestFit="1" customWidth="1"/>
    <col min="4107" max="4107" width="10.5" style="87" customWidth="1"/>
    <col min="4108" max="4354" width="8.83203125" style="87"/>
    <col min="4355" max="4355" width="30.1640625" style="87" bestFit="1" customWidth="1"/>
    <col min="4356" max="4356" width="10.1640625" style="87" customWidth="1"/>
    <col min="4357" max="4357" width="12.1640625" style="87" customWidth="1"/>
    <col min="4358" max="4358" width="16.5" style="87" bestFit="1" customWidth="1"/>
    <col min="4359" max="4359" width="10.5" style="87" customWidth="1"/>
    <col min="4360" max="4360" width="16.5" style="87" bestFit="1" customWidth="1"/>
    <col min="4361" max="4361" width="10.5" style="87" customWidth="1"/>
    <col min="4362" max="4362" width="17.5" style="87" bestFit="1" customWidth="1"/>
    <col min="4363" max="4363" width="10.5" style="87" customWidth="1"/>
    <col min="4364" max="4610" width="8.83203125" style="87"/>
    <col min="4611" max="4611" width="30.1640625" style="87" bestFit="1" customWidth="1"/>
    <col min="4612" max="4612" width="10.1640625" style="87" customWidth="1"/>
    <col min="4613" max="4613" width="12.1640625" style="87" customWidth="1"/>
    <col min="4614" max="4614" width="16.5" style="87" bestFit="1" customWidth="1"/>
    <col min="4615" max="4615" width="10.5" style="87" customWidth="1"/>
    <col min="4616" max="4616" width="16.5" style="87" bestFit="1" customWidth="1"/>
    <col min="4617" max="4617" width="10.5" style="87" customWidth="1"/>
    <col min="4618" max="4618" width="17.5" style="87" bestFit="1" customWidth="1"/>
    <col min="4619" max="4619" width="10.5" style="87" customWidth="1"/>
    <col min="4620" max="4866" width="8.83203125" style="87"/>
    <col min="4867" max="4867" width="30.1640625" style="87" bestFit="1" customWidth="1"/>
    <col min="4868" max="4868" width="10.1640625" style="87" customWidth="1"/>
    <col min="4869" max="4869" width="12.1640625" style="87" customWidth="1"/>
    <col min="4870" max="4870" width="16.5" style="87" bestFit="1" customWidth="1"/>
    <col min="4871" max="4871" width="10.5" style="87" customWidth="1"/>
    <col min="4872" max="4872" width="16.5" style="87" bestFit="1" customWidth="1"/>
    <col min="4873" max="4873" width="10.5" style="87" customWidth="1"/>
    <col min="4874" max="4874" width="17.5" style="87" bestFit="1" customWidth="1"/>
    <col min="4875" max="4875" width="10.5" style="87" customWidth="1"/>
    <col min="4876" max="5122" width="8.83203125" style="87"/>
    <col min="5123" max="5123" width="30.1640625" style="87" bestFit="1" customWidth="1"/>
    <col min="5124" max="5124" width="10.1640625" style="87" customWidth="1"/>
    <col min="5125" max="5125" width="12.1640625" style="87" customWidth="1"/>
    <col min="5126" max="5126" width="16.5" style="87" bestFit="1" customWidth="1"/>
    <col min="5127" max="5127" width="10.5" style="87" customWidth="1"/>
    <col min="5128" max="5128" width="16.5" style="87" bestFit="1" customWidth="1"/>
    <col min="5129" max="5129" width="10.5" style="87" customWidth="1"/>
    <col min="5130" max="5130" width="17.5" style="87" bestFit="1" customWidth="1"/>
    <col min="5131" max="5131" width="10.5" style="87" customWidth="1"/>
    <col min="5132" max="5378" width="8.83203125" style="87"/>
    <col min="5379" max="5379" width="30.1640625" style="87" bestFit="1" customWidth="1"/>
    <col min="5380" max="5380" width="10.1640625" style="87" customWidth="1"/>
    <col min="5381" max="5381" width="12.1640625" style="87" customWidth="1"/>
    <col min="5382" max="5382" width="16.5" style="87" bestFit="1" customWidth="1"/>
    <col min="5383" max="5383" width="10.5" style="87" customWidth="1"/>
    <col min="5384" max="5384" width="16.5" style="87" bestFit="1" customWidth="1"/>
    <col min="5385" max="5385" width="10.5" style="87" customWidth="1"/>
    <col min="5386" max="5386" width="17.5" style="87" bestFit="1" customWidth="1"/>
    <col min="5387" max="5387" width="10.5" style="87" customWidth="1"/>
    <col min="5388" max="5634" width="8.83203125" style="87"/>
    <col min="5635" max="5635" width="30.1640625" style="87" bestFit="1" customWidth="1"/>
    <col min="5636" max="5636" width="10.1640625" style="87" customWidth="1"/>
    <col min="5637" max="5637" width="12.1640625" style="87" customWidth="1"/>
    <col min="5638" max="5638" width="16.5" style="87" bestFit="1" customWidth="1"/>
    <col min="5639" max="5639" width="10.5" style="87" customWidth="1"/>
    <col min="5640" max="5640" width="16.5" style="87" bestFit="1" customWidth="1"/>
    <col min="5641" max="5641" width="10.5" style="87" customWidth="1"/>
    <col min="5642" max="5642" width="17.5" style="87" bestFit="1" customWidth="1"/>
    <col min="5643" max="5643" width="10.5" style="87" customWidth="1"/>
    <col min="5644" max="5890" width="8.83203125" style="87"/>
    <col min="5891" max="5891" width="30.1640625" style="87" bestFit="1" customWidth="1"/>
    <col min="5892" max="5892" width="10.1640625" style="87" customWidth="1"/>
    <col min="5893" max="5893" width="12.1640625" style="87" customWidth="1"/>
    <col min="5894" max="5894" width="16.5" style="87" bestFit="1" customWidth="1"/>
    <col min="5895" max="5895" width="10.5" style="87" customWidth="1"/>
    <col min="5896" max="5896" width="16.5" style="87" bestFit="1" customWidth="1"/>
    <col min="5897" max="5897" width="10.5" style="87" customWidth="1"/>
    <col min="5898" max="5898" width="17.5" style="87" bestFit="1" customWidth="1"/>
    <col min="5899" max="5899" width="10.5" style="87" customWidth="1"/>
    <col min="5900" max="6146" width="8.83203125" style="87"/>
    <col min="6147" max="6147" width="30.1640625" style="87" bestFit="1" customWidth="1"/>
    <col min="6148" max="6148" width="10.1640625" style="87" customWidth="1"/>
    <col min="6149" max="6149" width="12.1640625" style="87" customWidth="1"/>
    <col min="6150" max="6150" width="16.5" style="87" bestFit="1" customWidth="1"/>
    <col min="6151" max="6151" width="10.5" style="87" customWidth="1"/>
    <col min="6152" max="6152" width="16.5" style="87" bestFit="1" customWidth="1"/>
    <col min="6153" max="6153" width="10.5" style="87" customWidth="1"/>
    <col min="6154" max="6154" width="17.5" style="87" bestFit="1" customWidth="1"/>
    <col min="6155" max="6155" width="10.5" style="87" customWidth="1"/>
    <col min="6156" max="6402" width="8.83203125" style="87"/>
    <col min="6403" max="6403" width="30.1640625" style="87" bestFit="1" customWidth="1"/>
    <col min="6404" max="6404" width="10.1640625" style="87" customWidth="1"/>
    <col min="6405" max="6405" width="12.1640625" style="87" customWidth="1"/>
    <col min="6406" max="6406" width="16.5" style="87" bestFit="1" customWidth="1"/>
    <col min="6407" max="6407" width="10.5" style="87" customWidth="1"/>
    <col min="6408" max="6408" width="16.5" style="87" bestFit="1" customWidth="1"/>
    <col min="6409" max="6409" width="10.5" style="87" customWidth="1"/>
    <col min="6410" max="6410" width="17.5" style="87" bestFit="1" customWidth="1"/>
    <col min="6411" max="6411" width="10.5" style="87" customWidth="1"/>
    <col min="6412" max="6658" width="8.83203125" style="87"/>
    <col min="6659" max="6659" width="30.1640625" style="87" bestFit="1" customWidth="1"/>
    <col min="6660" max="6660" width="10.1640625" style="87" customWidth="1"/>
    <col min="6661" max="6661" width="12.1640625" style="87" customWidth="1"/>
    <col min="6662" max="6662" width="16.5" style="87" bestFit="1" customWidth="1"/>
    <col min="6663" max="6663" width="10.5" style="87" customWidth="1"/>
    <col min="6664" max="6664" width="16.5" style="87" bestFit="1" customWidth="1"/>
    <col min="6665" max="6665" width="10.5" style="87" customWidth="1"/>
    <col min="6666" max="6666" width="17.5" style="87" bestFit="1" customWidth="1"/>
    <col min="6667" max="6667" width="10.5" style="87" customWidth="1"/>
    <col min="6668" max="6914" width="8.83203125" style="87"/>
    <col min="6915" max="6915" width="30.1640625" style="87" bestFit="1" customWidth="1"/>
    <col min="6916" max="6916" width="10.1640625" style="87" customWidth="1"/>
    <col min="6917" max="6917" width="12.1640625" style="87" customWidth="1"/>
    <col min="6918" max="6918" width="16.5" style="87" bestFit="1" customWidth="1"/>
    <col min="6919" max="6919" width="10.5" style="87" customWidth="1"/>
    <col min="6920" max="6920" width="16.5" style="87" bestFit="1" customWidth="1"/>
    <col min="6921" max="6921" width="10.5" style="87" customWidth="1"/>
    <col min="6922" max="6922" width="17.5" style="87" bestFit="1" customWidth="1"/>
    <col min="6923" max="6923" width="10.5" style="87" customWidth="1"/>
    <col min="6924" max="7170" width="8.83203125" style="87"/>
    <col min="7171" max="7171" width="30.1640625" style="87" bestFit="1" customWidth="1"/>
    <col min="7172" max="7172" width="10.1640625" style="87" customWidth="1"/>
    <col min="7173" max="7173" width="12.1640625" style="87" customWidth="1"/>
    <col min="7174" max="7174" width="16.5" style="87" bestFit="1" customWidth="1"/>
    <col min="7175" max="7175" width="10.5" style="87" customWidth="1"/>
    <col min="7176" max="7176" width="16.5" style="87" bestFit="1" customWidth="1"/>
    <col min="7177" max="7177" width="10.5" style="87" customWidth="1"/>
    <col min="7178" max="7178" width="17.5" style="87" bestFit="1" customWidth="1"/>
    <col min="7179" max="7179" width="10.5" style="87" customWidth="1"/>
    <col min="7180" max="7426" width="8.83203125" style="87"/>
    <col min="7427" max="7427" width="30.1640625" style="87" bestFit="1" customWidth="1"/>
    <col min="7428" max="7428" width="10.1640625" style="87" customWidth="1"/>
    <col min="7429" max="7429" width="12.1640625" style="87" customWidth="1"/>
    <col min="7430" max="7430" width="16.5" style="87" bestFit="1" customWidth="1"/>
    <col min="7431" max="7431" width="10.5" style="87" customWidth="1"/>
    <col min="7432" max="7432" width="16.5" style="87" bestFit="1" customWidth="1"/>
    <col min="7433" max="7433" width="10.5" style="87" customWidth="1"/>
    <col min="7434" max="7434" width="17.5" style="87" bestFit="1" customWidth="1"/>
    <col min="7435" max="7435" width="10.5" style="87" customWidth="1"/>
    <col min="7436" max="7682" width="8.83203125" style="87"/>
    <col min="7683" max="7683" width="30.1640625" style="87" bestFit="1" customWidth="1"/>
    <col min="7684" max="7684" width="10.1640625" style="87" customWidth="1"/>
    <col min="7685" max="7685" width="12.1640625" style="87" customWidth="1"/>
    <col min="7686" max="7686" width="16.5" style="87" bestFit="1" customWidth="1"/>
    <col min="7687" max="7687" width="10.5" style="87" customWidth="1"/>
    <col min="7688" max="7688" width="16.5" style="87" bestFit="1" customWidth="1"/>
    <col min="7689" max="7689" width="10.5" style="87" customWidth="1"/>
    <col min="7690" max="7690" width="17.5" style="87" bestFit="1" customWidth="1"/>
    <col min="7691" max="7691" width="10.5" style="87" customWidth="1"/>
    <col min="7692" max="7938" width="8.83203125" style="87"/>
    <col min="7939" max="7939" width="30.1640625" style="87" bestFit="1" customWidth="1"/>
    <col min="7940" max="7940" width="10.1640625" style="87" customWidth="1"/>
    <col min="7941" max="7941" width="12.1640625" style="87" customWidth="1"/>
    <col min="7942" max="7942" width="16.5" style="87" bestFit="1" customWidth="1"/>
    <col min="7943" max="7943" width="10.5" style="87" customWidth="1"/>
    <col min="7944" max="7944" width="16.5" style="87" bestFit="1" customWidth="1"/>
    <col min="7945" max="7945" width="10.5" style="87" customWidth="1"/>
    <col min="7946" max="7946" width="17.5" style="87" bestFit="1" customWidth="1"/>
    <col min="7947" max="7947" width="10.5" style="87" customWidth="1"/>
    <col min="7948" max="8194" width="8.83203125" style="87"/>
    <col min="8195" max="8195" width="30.1640625" style="87" bestFit="1" customWidth="1"/>
    <col min="8196" max="8196" width="10.1640625" style="87" customWidth="1"/>
    <col min="8197" max="8197" width="12.1640625" style="87" customWidth="1"/>
    <col min="8198" max="8198" width="16.5" style="87" bestFit="1" customWidth="1"/>
    <col min="8199" max="8199" width="10.5" style="87" customWidth="1"/>
    <col min="8200" max="8200" width="16.5" style="87" bestFit="1" customWidth="1"/>
    <col min="8201" max="8201" width="10.5" style="87" customWidth="1"/>
    <col min="8202" max="8202" width="17.5" style="87" bestFit="1" customWidth="1"/>
    <col min="8203" max="8203" width="10.5" style="87" customWidth="1"/>
    <col min="8204" max="8450" width="8.83203125" style="87"/>
    <col min="8451" max="8451" width="30.1640625" style="87" bestFit="1" customWidth="1"/>
    <col min="8452" max="8452" width="10.1640625" style="87" customWidth="1"/>
    <col min="8453" max="8453" width="12.1640625" style="87" customWidth="1"/>
    <col min="8454" max="8454" width="16.5" style="87" bestFit="1" customWidth="1"/>
    <col min="8455" max="8455" width="10.5" style="87" customWidth="1"/>
    <col min="8456" max="8456" width="16.5" style="87" bestFit="1" customWidth="1"/>
    <col min="8457" max="8457" width="10.5" style="87" customWidth="1"/>
    <col min="8458" max="8458" width="17.5" style="87" bestFit="1" customWidth="1"/>
    <col min="8459" max="8459" width="10.5" style="87" customWidth="1"/>
    <col min="8460" max="8706" width="8.83203125" style="87"/>
    <col min="8707" max="8707" width="30.1640625" style="87" bestFit="1" customWidth="1"/>
    <col min="8708" max="8708" width="10.1640625" style="87" customWidth="1"/>
    <col min="8709" max="8709" width="12.1640625" style="87" customWidth="1"/>
    <col min="8710" max="8710" width="16.5" style="87" bestFit="1" customWidth="1"/>
    <col min="8711" max="8711" width="10.5" style="87" customWidth="1"/>
    <col min="8712" max="8712" width="16.5" style="87" bestFit="1" customWidth="1"/>
    <col min="8713" max="8713" width="10.5" style="87" customWidth="1"/>
    <col min="8714" max="8714" width="17.5" style="87" bestFit="1" customWidth="1"/>
    <col min="8715" max="8715" width="10.5" style="87" customWidth="1"/>
    <col min="8716" max="8962" width="8.83203125" style="87"/>
    <col min="8963" max="8963" width="30.1640625" style="87" bestFit="1" customWidth="1"/>
    <col min="8964" max="8964" width="10.1640625" style="87" customWidth="1"/>
    <col min="8965" max="8965" width="12.1640625" style="87" customWidth="1"/>
    <col min="8966" max="8966" width="16.5" style="87" bestFit="1" customWidth="1"/>
    <col min="8967" max="8967" width="10.5" style="87" customWidth="1"/>
    <col min="8968" max="8968" width="16.5" style="87" bestFit="1" customWidth="1"/>
    <col min="8969" max="8969" width="10.5" style="87" customWidth="1"/>
    <col min="8970" max="8970" width="17.5" style="87" bestFit="1" customWidth="1"/>
    <col min="8971" max="8971" width="10.5" style="87" customWidth="1"/>
    <col min="8972" max="9218" width="8.83203125" style="87"/>
    <col min="9219" max="9219" width="30.1640625" style="87" bestFit="1" customWidth="1"/>
    <col min="9220" max="9220" width="10.1640625" style="87" customWidth="1"/>
    <col min="9221" max="9221" width="12.1640625" style="87" customWidth="1"/>
    <col min="9222" max="9222" width="16.5" style="87" bestFit="1" customWidth="1"/>
    <col min="9223" max="9223" width="10.5" style="87" customWidth="1"/>
    <col min="9224" max="9224" width="16.5" style="87" bestFit="1" customWidth="1"/>
    <col min="9225" max="9225" width="10.5" style="87" customWidth="1"/>
    <col min="9226" max="9226" width="17.5" style="87" bestFit="1" customWidth="1"/>
    <col min="9227" max="9227" width="10.5" style="87" customWidth="1"/>
    <col min="9228" max="9474" width="8.83203125" style="87"/>
    <col min="9475" max="9475" width="30.1640625" style="87" bestFit="1" customWidth="1"/>
    <col min="9476" max="9476" width="10.1640625" style="87" customWidth="1"/>
    <col min="9477" max="9477" width="12.1640625" style="87" customWidth="1"/>
    <col min="9478" max="9478" width="16.5" style="87" bestFit="1" customWidth="1"/>
    <col min="9479" max="9479" width="10.5" style="87" customWidth="1"/>
    <col min="9480" max="9480" width="16.5" style="87" bestFit="1" customWidth="1"/>
    <col min="9481" max="9481" width="10.5" style="87" customWidth="1"/>
    <col min="9482" max="9482" width="17.5" style="87" bestFit="1" customWidth="1"/>
    <col min="9483" max="9483" width="10.5" style="87" customWidth="1"/>
    <col min="9484" max="9730" width="8.83203125" style="87"/>
    <col min="9731" max="9731" width="30.1640625" style="87" bestFit="1" customWidth="1"/>
    <col min="9732" max="9732" width="10.1640625" style="87" customWidth="1"/>
    <col min="9733" max="9733" width="12.1640625" style="87" customWidth="1"/>
    <col min="9734" max="9734" width="16.5" style="87" bestFit="1" customWidth="1"/>
    <col min="9735" max="9735" width="10.5" style="87" customWidth="1"/>
    <col min="9736" max="9736" width="16.5" style="87" bestFit="1" customWidth="1"/>
    <col min="9737" max="9737" width="10.5" style="87" customWidth="1"/>
    <col min="9738" max="9738" width="17.5" style="87" bestFit="1" customWidth="1"/>
    <col min="9739" max="9739" width="10.5" style="87" customWidth="1"/>
    <col min="9740" max="9986" width="8.83203125" style="87"/>
    <col min="9987" max="9987" width="30.1640625" style="87" bestFit="1" customWidth="1"/>
    <col min="9988" max="9988" width="10.1640625" style="87" customWidth="1"/>
    <col min="9989" max="9989" width="12.1640625" style="87" customWidth="1"/>
    <col min="9990" max="9990" width="16.5" style="87" bestFit="1" customWidth="1"/>
    <col min="9991" max="9991" width="10.5" style="87" customWidth="1"/>
    <col min="9992" max="9992" width="16.5" style="87" bestFit="1" customWidth="1"/>
    <col min="9993" max="9993" width="10.5" style="87" customWidth="1"/>
    <col min="9994" max="9994" width="17.5" style="87" bestFit="1" customWidth="1"/>
    <col min="9995" max="9995" width="10.5" style="87" customWidth="1"/>
    <col min="9996" max="10242" width="8.83203125" style="87"/>
    <col min="10243" max="10243" width="30.1640625" style="87" bestFit="1" customWidth="1"/>
    <col min="10244" max="10244" width="10.1640625" style="87" customWidth="1"/>
    <col min="10245" max="10245" width="12.1640625" style="87" customWidth="1"/>
    <col min="10246" max="10246" width="16.5" style="87" bestFit="1" customWidth="1"/>
    <col min="10247" max="10247" width="10.5" style="87" customWidth="1"/>
    <col min="10248" max="10248" width="16.5" style="87" bestFit="1" customWidth="1"/>
    <col min="10249" max="10249" width="10.5" style="87" customWidth="1"/>
    <col min="10250" max="10250" width="17.5" style="87" bestFit="1" customWidth="1"/>
    <col min="10251" max="10251" width="10.5" style="87" customWidth="1"/>
    <col min="10252" max="10498" width="8.83203125" style="87"/>
    <col min="10499" max="10499" width="30.1640625" style="87" bestFit="1" customWidth="1"/>
    <col min="10500" max="10500" width="10.1640625" style="87" customWidth="1"/>
    <col min="10501" max="10501" width="12.1640625" style="87" customWidth="1"/>
    <col min="10502" max="10502" width="16.5" style="87" bestFit="1" customWidth="1"/>
    <col min="10503" max="10503" width="10.5" style="87" customWidth="1"/>
    <col min="10504" max="10504" width="16.5" style="87" bestFit="1" customWidth="1"/>
    <col min="10505" max="10505" width="10.5" style="87" customWidth="1"/>
    <col min="10506" max="10506" width="17.5" style="87" bestFit="1" customWidth="1"/>
    <col min="10507" max="10507" width="10.5" style="87" customWidth="1"/>
    <col min="10508" max="10754" width="8.83203125" style="87"/>
    <col min="10755" max="10755" width="30.1640625" style="87" bestFit="1" customWidth="1"/>
    <col min="10756" max="10756" width="10.1640625" style="87" customWidth="1"/>
    <col min="10757" max="10757" width="12.1640625" style="87" customWidth="1"/>
    <col min="10758" max="10758" width="16.5" style="87" bestFit="1" customWidth="1"/>
    <col min="10759" max="10759" width="10.5" style="87" customWidth="1"/>
    <col min="10760" max="10760" width="16.5" style="87" bestFit="1" customWidth="1"/>
    <col min="10761" max="10761" width="10.5" style="87" customWidth="1"/>
    <col min="10762" max="10762" width="17.5" style="87" bestFit="1" customWidth="1"/>
    <col min="10763" max="10763" width="10.5" style="87" customWidth="1"/>
    <col min="10764" max="11010" width="8.83203125" style="87"/>
    <col min="11011" max="11011" width="30.1640625" style="87" bestFit="1" customWidth="1"/>
    <col min="11012" max="11012" width="10.1640625" style="87" customWidth="1"/>
    <col min="11013" max="11013" width="12.1640625" style="87" customWidth="1"/>
    <col min="11014" max="11014" width="16.5" style="87" bestFit="1" customWidth="1"/>
    <col min="11015" max="11015" width="10.5" style="87" customWidth="1"/>
    <col min="11016" max="11016" width="16.5" style="87" bestFit="1" customWidth="1"/>
    <col min="11017" max="11017" width="10.5" style="87" customWidth="1"/>
    <col min="11018" max="11018" width="17.5" style="87" bestFit="1" customWidth="1"/>
    <col min="11019" max="11019" width="10.5" style="87" customWidth="1"/>
    <col min="11020" max="11266" width="8.83203125" style="87"/>
    <col min="11267" max="11267" width="30.1640625" style="87" bestFit="1" customWidth="1"/>
    <col min="11268" max="11268" width="10.1640625" style="87" customWidth="1"/>
    <col min="11269" max="11269" width="12.1640625" style="87" customWidth="1"/>
    <col min="11270" max="11270" width="16.5" style="87" bestFit="1" customWidth="1"/>
    <col min="11271" max="11271" width="10.5" style="87" customWidth="1"/>
    <col min="11272" max="11272" width="16.5" style="87" bestFit="1" customWidth="1"/>
    <col min="11273" max="11273" width="10.5" style="87" customWidth="1"/>
    <col min="11274" max="11274" width="17.5" style="87" bestFit="1" customWidth="1"/>
    <col min="11275" max="11275" width="10.5" style="87" customWidth="1"/>
    <col min="11276" max="11522" width="8.83203125" style="87"/>
    <col min="11523" max="11523" width="30.1640625" style="87" bestFit="1" customWidth="1"/>
    <col min="11524" max="11524" width="10.1640625" style="87" customWidth="1"/>
    <col min="11525" max="11525" width="12.1640625" style="87" customWidth="1"/>
    <col min="11526" max="11526" width="16.5" style="87" bestFit="1" customWidth="1"/>
    <col min="11527" max="11527" width="10.5" style="87" customWidth="1"/>
    <col min="11528" max="11528" width="16.5" style="87" bestFit="1" customWidth="1"/>
    <col min="11529" max="11529" width="10.5" style="87" customWidth="1"/>
    <col min="11530" max="11530" width="17.5" style="87" bestFit="1" customWidth="1"/>
    <col min="11531" max="11531" width="10.5" style="87" customWidth="1"/>
    <col min="11532" max="11778" width="8.83203125" style="87"/>
    <col min="11779" max="11779" width="30.1640625" style="87" bestFit="1" customWidth="1"/>
    <col min="11780" max="11780" width="10.1640625" style="87" customWidth="1"/>
    <col min="11781" max="11781" width="12.1640625" style="87" customWidth="1"/>
    <col min="11782" max="11782" width="16.5" style="87" bestFit="1" customWidth="1"/>
    <col min="11783" max="11783" width="10.5" style="87" customWidth="1"/>
    <col min="11784" max="11784" width="16.5" style="87" bestFit="1" customWidth="1"/>
    <col min="11785" max="11785" width="10.5" style="87" customWidth="1"/>
    <col min="11786" max="11786" width="17.5" style="87" bestFit="1" customWidth="1"/>
    <col min="11787" max="11787" width="10.5" style="87" customWidth="1"/>
    <col min="11788" max="12034" width="8.83203125" style="87"/>
    <col min="12035" max="12035" width="30.1640625" style="87" bestFit="1" customWidth="1"/>
    <col min="12036" max="12036" width="10.1640625" style="87" customWidth="1"/>
    <col min="12037" max="12037" width="12.1640625" style="87" customWidth="1"/>
    <col min="12038" max="12038" width="16.5" style="87" bestFit="1" customWidth="1"/>
    <col min="12039" max="12039" width="10.5" style="87" customWidth="1"/>
    <col min="12040" max="12040" width="16.5" style="87" bestFit="1" customWidth="1"/>
    <col min="12041" max="12041" width="10.5" style="87" customWidth="1"/>
    <col min="12042" max="12042" width="17.5" style="87" bestFit="1" customWidth="1"/>
    <col min="12043" max="12043" width="10.5" style="87" customWidth="1"/>
    <col min="12044" max="12290" width="8.83203125" style="87"/>
    <col min="12291" max="12291" width="30.1640625" style="87" bestFit="1" customWidth="1"/>
    <col min="12292" max="12292" width="10.1640625" style="87" customWidth="1"/>
    <col min="12293" max="12293" width="12.1640625" style="87" customWidth="1"/>
    <col min="12294" max="12294" width="16.5" style="87" bestFit="1" customWidth="1"/>
    <col min="12295" max="12295" width="10.5" style="87" customWidth="1"/>
    <col min="12296" max="12296" width="16.5" style="87" bestFit="1" customWidth="1"/>
    <col min="12297" max="12297" width="10.5" style="87" customWidth="1"/>
    <col min="12298" max="12298" width="17.5" style="87" bestFit="1" customWidth="1"/>
    <col min="12299" max="12299" width="10.5" style="87" customWidth="1"/>
    <col min="12300" max="12546" width="8.83203125" style="87"/>
    <col min="12547" max="12547" width="30.1640625" style="87" bestFit="1" customWidth="1"/>
    <col min="12548" max="12548" width="10.1640625" style="87" customWidth="1"/>
    <col min="12549" max="12549" width="12.1640625" style="87" customWidth="1"/>
    <col min="12550" max="12550" width="16.5" style="87" bestFit="1" customWidth="1"/>
    <col min="12551" max="12551" width="10.5" style="87" customWidth="1"/>
    <col min="12552" max="12552" width="16.5" style="87" bestFit="1" customWidth="1"/>
    <col min="12553" max="12553" width="10.5" style="87" customWidth="1"/>
    <col min="12554" max="12554" width="17.5" style="87" bestFit="1" customWidth="1"/>
    <col min="12555" max="12555" width="10.5" style="87" customWidth="1"/>
    <col min="12556" max="12802" width="8.83203125" style="87"/>
    <col min="12803" max="12803" width="30.1640625" style="87" bestFit="1" customWidth="1"/>
    <col min="12804" max="12804" width="10.1640625" style="87" customWidth="1"/>
    <col min="12805" max="12805" width="12.1640625" style="87" customWidth="1"/>
    <col min="12806" max="12806" width="16.5" style="87" bestFit="1" customWidth="1"/>
    <col min="12807" max="12807" width="10.5" style="87" customWidth="1"/>
    <col min="12808" max="12808" width="16.5" style="87" bestFit="1" customWidth="1"/>
    <col min="12809" max="12809" width="10.5" style="87" customWidth="1"/>
    <col min="12810" max="12810" width="17.5" style="87" bestFit="1" customWidth="1"/>
    <col min="12811" max="12811" width="10.5" style="87" customWidth="1"/>
    <col min="12812" max="13058" width="8.83203125" style="87"/>
    <col min="13059" max="13059" width="30.1640625" style="87" bestFit="1" customWidth="1"/>
    <col min="13060" max="13060" width="10.1640625" style="87" customWidth="1"/>
    <col min="13061" max="13061" width="12.1640625" style="87" customWidth="1"/>
    <col min="13062" max="13062" width="16.5" style="87" bestFit="1" customWidth="1"/>
    <col min="13063" max="13063" width="10.5" style="87" customWidth="1"/>
    <col min="13064" max="13064" width="16.5" style="87" bestFit="1" customWidth="1"/>
    <col min="13065" max="13065" width="10.5" style="87" customWidth="1"/>
    <col min="13066" max="13066" width="17.5" style="87" bestFit="1" customWidth="1"/>
    <col min="13067" max="13067" width="10.5" style="87" customWidth="1"/>
    <col min="13068" max="13314" width="8.83203125" style="87"/>
    <col min="13315" max="13315" width="30.1640625" style="87" bestFit="1" customWidth="1"/>
    <col min="13316" max="13316" width="10.1640625" style="87" customWidth="1"/>
    <col min="13317" max="13317" width="12.1640625" style="87" customWidth="1"/>
    <col min="13318" max="13318" width="16.5" style="87" bestFit="1" customWidth="1"/>
    <col min="13319" max="13319" width="10.5" style="87" customWidth="1"/>
    <col min="13320" max="13320" width="16.5" style="87" bestFit="1" customWidth="1"/>
    <col min="13321" max="13321" width="10.5" style="87" customWidth="1"/>
    <col min="13322" max="13322" width="17.5" style="87" bestFit="1" customWidth="1"/>
    <col min="13323" max="13323" width="10.5" style="87" customWidth="1"/>
    <col min="13324" max="13570" width="8.83203125" style="87"/>
    <col min="13571" max="13571" width="30.1640625" style="87" bestFit="1" customWidth="1"/>
    <col min="13572" max="13572" width="10.1640625" style="87" customWidth="1"/>
    <col min="13573" max="13573" width="12.1640625" style="87" customWidth="1"/>
    <col min="13574" max="13574" width="16.5" style="87" bestFit="1" customWidth="1"/>
    <col min="13575" max="13575" width="10.5" style="87" customWidth="1"/>
    <col min="13576" max="13576" width="16.5" style="87" bestFit="1" customWidth="1"/>
    <col min="13577" max="13577" width="10.5" style="87" customWidth="1"/>
    <col min="13578" max="13578" width="17.5" style="87" bestFit="1" customWidth="1"/>
    <col min="13579" max="13579" width="10.5" style="87" customWidth="1"/>
    <col min="13580" max="13826" width="8.83203125" style="87"/>
    <col min="13827" max="13827" width="30.1640625" style="87" bestFit="1" customWidth="1"/>
    <col min="13828" max="13828" width="10.1640625" style="87" customWidth="1"/>
    <col min="13829" max="13829" width="12.1640625" style="87" customWidth="1"/>
    <col min="13830" max="13830" width="16.5" style="87" bestFit="1" customWidth="1"/>
    <col min="13831" max="13831" width="10.5" style="87" customWidth="1"/>
    <col min="13832" max="13832" width="16.5" style="87" bestFit="1" customWidth="1"/>
    <col min="13833" max="13833" width="10.5" style="87" customWidth="1"/>
    <col min="13834" max="13834" width="17.5" style="87" bestFit="1" customWidth="1"/>
    <col min="13835" max="13835" width="10.5" style="87" customWidth="1"/>
    <col min="13836" max="14082" width="8.83203125" style="87"/>
    <col min="14083" max="14083" width="30.1640625" style="87" bestFit="1" customWidth="1"/>
    <col min="14084" max="14084" width="10.1640625" style="87" customWidth="1"/>
    <col min="14085" max="14085" width="12.1640625" style="87" customWidth="1"/>
    <col min="14086" max="14086" width="16.5" style="87" bestFit="1" customWidth="1"/>
    <col min="14087" max="14087" width="10.5" style="87" customWidth="1"/>
    <col min="14088" max="14088" width="16.5" style="87" bestFit="1" customWidth="1"/>
    <col min="14089" max="14089" width="10.5" style="87" customWidth="1"/>
    <col min="14090" max="14090" width="17.5" style="87" bestFit="1" customWidth="1"/>
    <col min="14091" max="14091" width="10.5" style="87" customWidth="1"/>
    <col min="14092" max="14338" width="8.83203125" style="87"/>
    <col min="14339" max="14339" width="30.1640625" style="87" bestFit="1" customWidth="1"/>
    <col min="14340" max="14340" width="10.1640625" style="87" customWidth="1"/>
    <col min="14341" max="14341" width="12.1640625" style="87" customWidth="1"/>
    <col min="14342" max="14342" width="16.5" style="87" bestFit="1" customWidth="1"/>
    <col min="14343" max="14343" width="10.5" style="87" customWidth="1"/>
    <col min="14344" max="14344" width="16.5" style="87" bestFit="1" customWidth="1"/>
    <col min="14345" max="14345" width="10.5" style="87" customWidth="1"/>
    <col min="14346" max="14346" width="17.5" style="87" bestFit="1" customWidth="1"/>
    <col min="14347" max="14347" width="10.5" style="87" customWidth="1"/>
    <col min="14348" max="14594" width="8.83203125" style="87"/>
    <col min="14595" max="14595" width="30.1640625" style="87" bestFit="1" customWidth="1"/>
    <col min="14596" max="14596" width="10.1640625" style="87" customWidth="1"/>
    <col min="14597" max="14597" width="12.1640625" style="87" customWidth="1"/>
    <col min="14598" max="14598" width="16.5" style="87" bestFit="1" customWidth="1"/>
    <col min="14599" max="14599" width="10.5" style="87" customWidth="1"/>
    <col min="14600" max="14600" width="16.5" style="87" bestFit="1" customWidth="1"/>
    <col min="14601" max="14601" width="10.5" style="87" customWidth="1"/>
    <col min="14602" max="14602" width="17.5" style="87" bestFit="1" customWidth="1"/>
    <col min="14603" max="14603" width="10.5" style="87" customWidth="1"/>
    <col min="14604" max="14850" width="8.83203125" style="87"/>
    <col min="14851" max="14851" width="30.1640625" style="87" bestFit="1" customWidth="1"/>
    <col min="14852" max="14852" width="10.1640625" style="87" customWidth="1"/>
    <col min="14853" max="14853" width="12.1640625" style="87" customWidth="1"/>
    <col min="14854" max="14854" width="16.5" style="87" bestFit="1" customWidth="1"/>
    <col min="14855" max="14855" width="10.5" style="87" customWidth="1"/>
    <col min="14856" max="14856" width="16.5" style="87" bestFit="1" customWidth="1"/>
    <col min="14857" max="14857" width="10.5" style="87" customWidth="1"/>
    <col min="14858" max="14858" width="17.5" style="87" bestFit="1" customWidth="1"/>
    <col min="14859" max="14859" width="10.5" style="87" customWidth="1"/>
    <col min="14860" max="15106" width="8.83203125" style="87"/>
    <col min="15107" max="15107" width="30.1640625" style="87" bestFit="1" customWidth="1"/>
    <col min="15108" max="15108" width="10.1640625" style="87" customWidth="1"/>
    <col min="15109" max="15109" width="12.1640625" style="87" customWidth="1"/>
    <col min="15110" max="15110" width="16.5" style="87" bestFit="1" customWidth="1"/>
    <col min="15111" max="15111" width="10.5" style="87" customWidth="1"/>
    <col min="15112" max="15112" width="16.5" style="87" bestFit="1" customWidth="1"/>
    <col min="15113" max="15113" width="10.5" style="87" customWidth="1"/>
    <col min="15114" max="15114" width="17.5" style="87" bestFit="1" customWidth="1"/>
    <col min="15115" max="15115" width="10.5" style="87" customWidth="1"/>
    <col min="15116" max="15362" width="8.83203125" style="87"/>
    <col min="15363" max="15363" width="30.1640625" style="87" bestFit="1" customWidth="1"/>
    <col min="15364" max="15364" width="10.1640625" style="87" customWidth="1"/>
    <col min="15365" max="15365" width="12.1640625" style="87" customWidth="1"/>
    <col min="15366" max="15366" width="16.5" style="87" bestFit="1" customWidth="1"/>
    <col min="15367" max="15367" width="10.5" style="87" customWidth="1"/>
    <col min="15368" max="15368" width="16.5" style="87" bestFit="1" customWidth="1"/>
    <col min="15369" max="15369" width="10.5" style="87" customWidth="1"/>
    <col min="15370" max="15370" width="17.5" style="87" bestFit="1" customWidth="1"/>
    <col min="15371" max="15371" width="10.5" style="87" customWidth="1"/>
    <col min="15372" max="15618" width="8.83203125" style="87"/>
    <col min="15619" max="15619" width="30.1640625" style="87" bestFit="1" customWidth="1"/>
    <col min="15620" max="15620" width="10.1640625" style="87" customWidth="1"/>
    <col min="15621" max="15621" width="12.1640625" style="87" customWidth="1"/>
    <col min="15622" max="15622" width="16.5" style="87" bestFit="1" customWidth="1"/>
    <col min="15623" max="15623" width="10.5" style="87" customWidth="1"/>
    <col min="15624" max="15624" width="16.5" style="87" bestFit="1" customWidth="1"/>
    <col min="15625" max="15625" width="10.5" style="87" customWidth="1"/>
    <col min="15626" max="15626" width="17.5" style="87" bestFit="1" customWidth="1"/>
    <col min="15627" max="15627" width="10.5" style="87" customWidth="1"/>
    <col min="15628" max="15874" width="8.83203125" style="87"/>
    <col min="15875" max="15875" width="30.1640625" style="87" bestFit="1" customWidth="1"/>
    <col min="15876" max="15876" width="10.1640625" style="87" customWidth="1"/>
    <col min="15877" max="15877" width="12.1640625" style="87" customWidth="1"/>
    <col min="15878" max="15878" width="16.5" style="87" bestFit="1" customWidth="1"/>
    <col min="15879" max="15879" width="10.5" style="87" customWidth="1"/>
    <col min="15880" max="15880" width="16.5" style="87" bestFit="1" customWidth="1"/>
    <col min="15881" max="15881" width="10.5" style="87" customWidth="1"/>
    <col min="15882" max="15882" width="17.5" style="87" bestFit="1" customWidth="1"/>
    <col min="15883" max="15883" width="10.5" style="87" customWidth="1"/>
    <col min="15884" max="16130" width="8.83203125" style="87"/>
    <col min="16131" max="16131" width="30.1640625" style="87" bestFit="1" customWidth="1"/>
    <col min="16132" max="16132" width="10.1640625" style="87" customWidth="1"/>
    <col min="16133" max="16133" width="12.1640625" style="87" customWidth="1"/>
    <col min="16134" max="16134" width="16.5" style="87" bestFit="1" customWidth="1"/>
    <col min="16135" max="16135" width="10.5" style="87" customWidth="1"/>
    <col min="16136" max="16136" width="16.5" style="87" bestFit="1" customWidth="1"/>
    <col min="16137" max="16137" width="10.5" style="87" customWidth="1"/>
    <col min="16138" max="16138" width="17.5" style="87" bestFit="1" customWidth="1"/>
    <col min="16139" max="16139" width="10.5" style="87" customWidth="1"/>
    <col min="16140" max="16384" width="8.83203125" style="87"/>
  </cols>
  <sheetData>
    <row r="1" spans="2:14" ht="7.5" customHeight="1"/>
    <row r="2" spans="2:14" customFormat="1">
      <c r="B2" s="307" t="s">
        <v>102</v>
      </c>
      <c r="C2" s="307"/>
      <c r="D2" s="307"/>
      <c r="E2" s="307"/>
      <c r="F2" s="86"/>
      <c r="G2" s="95">
        <v>12</v>
      </c>
      <c r="H2" s="86"/>
      <c r="I2" s="86"/>
      <c r="J2" s="87"/>
    </row>
    <row r="3" spans="2:14" customFormat="1">
      <c r="B3" s="159"/>
      <c r="C3" s="160"/>
      <c r="D3" s="160"/>
      <c r="E3" s="168" t="s">
        <v>103</v>
      </c>
      <c r="F3" s="242"/>
      <c r="G3" s="168" t="s">
        <v>104</v>
      </c>
      <c r="H3" s="242"/>
      <c r="I3" s="168" t="s">
        <v>105</v>
      </c>
    </row>
    <row r="4" spans="2:14" customFormat="1">
      <c r="B4" s="164" t="s">
        <v>106</v>
      </c>
      <c r="C4" s="98"/>
      <c r="D4" s="98"/>
      <c r="E4" s="104">
        <f>'Client''s funnel analysis'!C4</f>
        <v>10000</v>
      </c>
      <c r="F4" s="87"/>
      <c r="G4" s="104">
        <f>'Client''s funnel analysis'!C5</f>
        <v>100</v>
      </c>
      <c r="H4" s="87"/>
      <c r="I4" s="104">
        <f>'Client''s funnel analysis'!C6</f>
        <v>2</v>
      </c>
      <c r="N4" s="224" t="s">
        <v>277</v>
      </c>
    </row>
    <row r="5" spans="2:14" customFormat="1">
      <c r="B5" s="164" t="s">
        <v>107</v>
      </c>
      <c r="C5" s="98"/>
      <c r="D5" s="98"/>
      <c r="E5" s="104">
        <f>'Client''s funnel analysis'!E4</f>
        <v>4000</v>
      </c>
      <c r="F5" s="87"/>
      <c r="G5" s="104">
        <f>'Client''s funnel analysis'!E5</f>
        <v>80</v>
      </c>
      <c r="H5" s="87"/>
      <c r="I5" s="104">
        <f>'Client''s funnel analysis'!E6</f>
        <v>4</v>
      </c>
      <c r="N5" s="224" t="s">
        <v>197</v>
      </c>
    </row>
    <row r="6" spans="2:14" customFormat="1">
      <c r="B6" s="164" t="s">
        <v>108</v>
      </c>
      <c r="C6" s="98"/>
      <c r="D6" s="98"/>
      <c r="E6" s="91">
        <f>(E5-E4)/$G$2</f>
        <v>-500</v>
      </c>
      <c r="F6" s="87"/>
      <c r="G6" s="91">
        <f>(G5-G4)/$G$2</f>
        <v>-1.6666666666666667</v>
      </c>
      <c r="H6" s="87"/>
      <c r="I6" s="90">
        <f>(I5-I4)/$G$2</f>
        <v>0.16666666666666666</v>
      </c>
      <c r="K6" s="87"/>
      <c r="N6" s="224" t="s">
        <v>278</v>
      </c>
    </row>
    <row r="7" spans="2:14" customFormat="1">
      <c r="B7" s="164" t="s">
        <v>109</v>
      </c>
      <c r="C7" s="98"/>
      <c r="D7" s="98"/>
      <c r="E7" s="92">
        <f>E6/(E4+E6)</f>
        <v>-5.2631578947368418E-2</v>
      </c>
      <c r="F7" s="87"/>
      <c r="G7" s="92">
        <f>G6/(G6+G4)</f>
        <v>-1.6949152542372881E-2</v>
      </c>
      <c r="H7" s="87"/>
      <c r="I7" s="92">
        <f>I6/(I6+I4)</f>
        <v>7.6923076923076927E-2</v>
      </c>
      <c r="K7" s="87"/>
      <c r="N7" s="224" t="s">
        <v>279</v>
      </c>
    </row>
    <row r="8" spans="2:14" customFormat="1">
      <c r="B8" s="89" t="s">
        <v>110</v>
      </c>
      <c r="C8" s="98"/>
      <c r="D8" s="98"/>
      <c r="E8" s="92">
        <f>E5/E4-1</f>
        <v>-0.6</v>
      </c>
      <c r="F8" s="87"/>
      <c r="G8" s="92">
        <f>G5/G4-1</f>
        <v>-0.19999999999999996</v>
      </c>
      <c r="H8" s="87"/>
      <c r="I8" s="92">
        <f>I5/I4-1</f>
        <v>1</v>
      </c>
      <c r="K8" s="87"/>
      <c r="N8" s="87"/>
    </row>
    <row r="9" spans="2:14" customFormat="1">
      <c r="B9" s="164"/>
      <c r="C9" s="98"/>
      <c r="D9" s="98"/>
      <c r="E9" s="92"/>
      <c r="F9" s="87"/>
      <c r="G9" s="92"/>
      <c r="H9" s="87"/>
      <c r="I9" s="92"/>
      <c r="K9" s="87"/>
    </row>
    <row r="10" spans="2:14" customFormat="1" hidden="1">
      <c r="B10" s="164" t="s">
        <v>182</v>
      </c>
      <c r="C10" s="98"/>
      <c r="D10" s="98"/>
      <c r="E10" s="92"/>
      <c r="F10" s="87"/>
      <c r="G10" s="92">
        <f>G4/E4</f>
        <v>0.01</v>
      </c>
      <c r="H10" s="87"/>
      <c r="I10" s="92"/>
    </row>
    <row r="11" spans="2:14" customFormat="1" hidden="1">
      <c r="B11" s="164" t="s">
        <v>181</v>
      </c>
      <c r="C11" s="98"/>
      <c r="D11" s="98"/>
      <c r="E11" s="92"/>
      <c r="F11" s="87"/>
      <c r="G11" s="92">
        <f>G5/E5</f>
        <v>0.02</v>
      </c>
      <c r="H11" s="87"/>
      <c r="I11" s="92"/>
    </row>
    <row r="12" spans="2:14" customFormat="1" hidden="1">
      <c r="B12" s="89" t="s">
        <v>185</v>
      </c>
      <c r="C12" s="98"/>
      <c r="D12" s="98"/>
      <c r="E12" s="92"/>
      <c r="F12" s="87"/>
      <c r="G12" s="92">
        <f>G11/G10-1</f>
        <v>1</v>
      </c>
      <c r="H12" s="87"/>
      <c r="I12" s="92"/>
    </row>
    <row r="13" spans="2:14" customFormat="1" hidden="1">
      <c r="B13" s="164"/>
      <c r="C13" s="98"/>
      <c r="D13" s="98"/>
      <c r="E13" s="92"/>
      <c r="F13" s="87"/>
      <c r="G13" s="92"/>
      <c r="H13" s="87"/>
      <c r="I13" s="92"/>
    </row>
    <row r="14" spans="2:14" customFormat="1" hidden="1">
      <c r="B14" s="164" t="s">
        <v>183</v>
      </c>
      <c r="C14" s="98"/>
      <c r="D14" s="98"/>
      <c r="E14" s="92"/>
      <c r="F14" s="87"/>
      <c r="G14" s="92"/>
      <c r="H14" s="87"/>
      <c r="I14" s="92">
        <f>I4/G4</f>
        <v>0.02</v>
      </c>
    </row>
    <row r="15" spans="2:14" customFormat="1" hidden="1">
      <c r="B15" s="164" t="s">
        <v>184</v>
      </c>
      <c r="C15" s="98"/>
      <c r="D15" s="98"/>
      <c r="F15" s="87"/>
      <c r="H15" s="87"/>
      <c r="I15" s="146">
        <f>I5/G5</f>
        <v>0.05</v>
      </c>
      <c r="N15" s="87"/>
    </row>
    <row r="16" spans="2:14" customFormat="1" hidden="1">
      <c r="B16" s="89" t="s">
        <v>185</v>
      </c>
      <c r="C16" s="98"/>
      <c r="D16" s="98"/>
      <c r="F16" s="87"/>
      <c r="H16" s="87"/>
      <c r="I16" s="146">
        <f>I15/I14-1</f>
        <v>1.5</v>
      </c>
      <c r="N16" s="87"/>
    </row>
    <row r="17" spans="2:21" customFormat="1">
      <c r="B17" s="89"/>
      <c r="C17" s="98"/>
      <c r="D17" s="98"/>
      <c r="F17" s="87"/>
      <c r="H17" s="87"/>
      <c r="I17" s="146"/>
      <c r="N17" s="87"/>
    </row>
    <row r="18" spans="2:21" customFormat="1">
      <c r="B18" s="176" t="s">
        <v>267</v>
      </c>
      <c r="C18" s="76"/>
      <c r="D18" s="208"/>
      <c r="E18" s="257" t="str">
        <f>IF(AND(E8&lt;0,G8&lt;0),"Conversions",IF(AND(E8&gt;0,G8&gt;0),"Traffic &amp; Conversions",IF(AND(E8&gt;0,G8&lt;0),"Traffic","Conversions")))</f>
        <v>Conversions</v>
      </c>
      <c r="F18" s="249"/>
      <c r="G18" s="249"/>
      <c r="H18" s="249"/>
      <c r="I18" s="249"/>
      <c r="J18" s="76"/>
      <c r="N18" s="87"/>
    </row>
    <row r="19" spans="2:21" customFormat="1">
      <c r="B19" s="207"/>
      <c r="C19" s="207"/>
      <c r="D19" s="87"/>
      <c r="E19" s="209"/>
      <c r="F19" s="87"/>
      <c r="G19" s="207"/>
      <c r="H19" s="81"/>
      <c r="I19" s="81"/>
      <c r="J19" s="81"/>
      <c r="N19" s="87"/>
    </row>
    <row r="20" spans="2:21" customFormat="1">
      <c r="B20" s="159"/>
      <c r="C20" s="160"/>
      <c r="D20" s="160"/>
      <c r="E20" s="171" t="s">
        <v>265</v>
      </c>
      <c r="F20" s="225"/>
      <c r="G20" s="170" t="s">
        <v>113</v>
      </c>
      <c r="H20" s="230"/>
      <c r="I20" s="169" t="s">
        <v>114</v>
      </c>
      <c r="J20" s="235"/>
      <c r="N20" s="87" t="s">
        <v>103</v>
      </c>
      <c r="O20" s="87" t="s">
        <v>186</v>
      </c>
      <c r="P20" s="87" t="s">
        <v>187</v>
      </c>
    </row>
    <row r="21" spans="2:21">
      <c r="B21" s="87" t="s">
        <v>266</v>
      </c>
      <c r="C21" s="98"/>
      <c r="D21" s="98"/>
      <c r="E21" s="206">
        <f>4*4</f>
        <v>16</v>
      </c>
      <c r="F21" s="228"/>
      <c r="G21" s="206">
        <f>6*4</f>
        <v>24</v>
      </c>
      <c r="H21" s="233"/>
      <c r="I21" s="206">
        <f>4*10</f>
        <v>40</v>
      </c>
      <c r="J21" s="238"/>
      <c r="N21" s="167" t="s">
        <v>263</v>
      </c>
    </row>
    <row r="22" spans="2:21" customFormat="1">
      <c r="B22" s="89"/>
      <c r="C22" s="96" t="s">
        <v>115</v>
      </c>
      <c r="D22" s="96" t="s">
        <v>116</v>
      </c>
      <c r="E22" s="93" t="s">
        <v>117</v>
      </c>
      <c r="F22" s="226" t="s">
        <v>118</v>
      </c>
      <c r="G22" s="93" t="s">
        <v>117</v>
      </c>
      <c r="H22" s="231" t="s">
        <v>118</v>
      </c>
      <c r="I22" s="93" t="s">
        <v>117</v>
      </c>
      <c r="J22" s="236" t="s">
        <v>118</v>
      </c>
      <c r="M22" s="172" t="s">
        <v>188</v>
      </c>
      <c r="N22" s="157">
        <v>0.6</v>
      </c>
      <c r="O22" s="157">
        <v>0.3</v>
      </c>
      <c r="P22" s="157">
        <v>0.5</v>
      </c>
    </row>
    <row r="23" spans="2:21" customFormat="1">
      <c r="B23" s="14" t="s">
        <v>119</v>
      </c>
      <c r="C23" s="162" t="s">
        <v>120</v>
      </c>
      <c r="D23" s="162" t="s">
        <v>121</v>
      </c>
      <c r="E23" s="163" t="s">
        <v>122</v>
      </c>
      <c r="F23" s="227" t="s">
        <v>123</v>
      </c>
      <c r="G23" s="163" t="s">
        <v>122</v>
      </c>
      <c r="H23" s="232" t="s">
        <v>123</v>
      </c>
      <c r="I23" s="163" t="s">
        <v>122</v>
      </c>
      <c r="J23" s="237" t="s">
        <v>123</v>
      </c>
      <c r="M23" s="172" t="s">
        <v>264</v>
      </c>
      <c r="N23" s="155">
        <f>1-N22</f>
        <v>0.4</v>
      </c>
      <c r="O23" s="155">
        <f>1-O22</f>
        <v>0.7</v>
      </c>
      <c r="P23" s="155">
        <f>1-P22</f>
        <v>0.5</v>
      </c>
      <c r="S23" s="87"/>
    </row>
    <row r="24" spans="2:21" customFormat="1">
      <c r="B24" s="85" t="s">
        <v>124</v>
      </c>
      <c r="C24" s="98"/>
      <c r="D24" s="98"/>
      <c r="F24" s="228"/>
      <c r="H24" s="233"/>
      <c r="J24" s="238"/>
      <c r="R24" s="87"/>
      <c r="S24" s="87"/>
    </row>
    <row r="25" spans="2:21" customFormat="1">
      <c r="B25" s="113" t="s">
        <v>135</v>
      </c>
      <c r="C25" s="107">
        <v>1</v>
      </c>
      <c r="D25" s="107">
        <v>100</v>
      </c>
      <c r="E25" s="240">
        <f>E$21/$C25*IF($E$18="Traffic",$N25,IF($E$18="Conversions",$O25,$P25))</f>
        <v>2.4</v>
      </c>
      <c r="F25" s="229">
        <f>E25*$D25</f>
        <v>240</v>
      </c>
      <c r="G25" s="240">
        <f>G$21/$C25*IF($E$18="Traffic",$N25,IF($E$18="Conversions",$O25,$P25))</f>
        <v>3.5999999999999996</v>
      </c>
      <c r="H25" s="234">
        <f>G25*$D25</f>
        <v>359.99999999999994</v>
      </c>
      <c r="I25" s="240">
        <f>I$21/$C25*IF($E$18="Traffic",$N25,IF($E$18="Conversions",$O25,$P25))</f>
        <v>6</v>
      </c>
      <c r="J25" s="239">
        <f>I25*$D25</f>
        <v>600</v>
      </c>
      <c r="L25" s="87"/>
      <c r="M25" s="146"/>
      <c r="N25" s="149">
        <v>0.3</v>
      </c>
      <c r="O25" s="149">
        <v>0.15</v>
      </c>
      <c r="P25" s="149">
        <v>0.3</v>
      </c>
      <c r="R25" s="87"/>
      <c r="S25" s="2"/>
      <c r="T25" s="2"/>
      <c r="U25" s="2"/>
    </row>
    <row r="26" spans="2:21" customFormat="1">
      <c r="B26" s="113" t="s">
        <v>136</v>
      </c>
      <c r="C26" s="107">
        <v>1</v>
      </c>
      <c r="D26" s="107">
        <v>75</v>
      </c>
      <c r="E26" s="240">
        <f>E$21/$C26*IF($E$18="Traffic",$N26,IF($E$18="Conversions",$O26,$P26))</f>
        <v>0.8</v>
      </c>
      <c r="F26" s="229">
        <f t="shared" ref="F26:H27" si="0">E26*$D26</f>
        <v>60</v>
      </c>
      <c r="G26" s="240">
        <f>G$21/$C26*IF($E$18="Traffic",$N26,IF($E$18="Conversions",$O26,$P26))</f>
        <v>1.2000000000000002</v>
      </c>
      <c r="H26" s="234">
        <f t="shared" si="0"/>
        <v>90.000000000000014</v>
      </c>
      <c r="I26" s="240">
        <f>I$21/$C26*IF($E$18="Traffic",$N26,IF($E$18="Conversions",$O26,$P26))</f>
        <v>2</v>
      </c>
      <c r="J26" s="239">
        <f>I26*$D26</f>
        <v>150</v>
      </c>
      <c r="L26" s="87"/>
      <c r="M26" s="146"/>
      <c r="N26" s="149">
        <v>0.15</v>
      </c>
      <c r="O26" s="149">
        <v>0.05</v>
      </c>
      <c r="P26" s="149">
        <v>0.1</v>
      </c>
      <c r="R26" s="87"/>
      <c r="S26" s="2"/>
      <c r="T26" s="2"/>
      <c r="U26" s="2"/>
    </row>
    <row r="27" spans="2:21" customFormat="1">
      <c r="B27" s="113" t="s">
        <v>137</v>
      </c>
      <c r="C27" s="199">
        <v>0.2</v>
      </c>
      <c r="D27" s="107">
        <v>25</v>
      </c>
      <c r="E27" s="240">
        <f>E$21/$C27*IF($E$18="Traffic",$N27,IF($E$18="Conversions",$O27,$P27))</f>
        <v>7.9999999999999982</v>
      </c>
      <c r="F27" s="229">
        <f t="shared" si="0"/>
        <v>199.99999999999994</v>
      </c>
      <c r="G27" s="240">
        <f>G$21/$C27*IF($E$18="Traffic",$N27,IF($E$18="Conversions",$O27,$P27))</f>
        <v>11.999999999999996</v>
      </c>
      <c r="H27" s="234">
        <f t="shared" si="0"/>
        <v>299.99999999999989</v>
      </c>
      <c r="I27" s="240">
        <f>I$21/$C27*IF($E$18="Traffic",$N27,IF($E$18="Conversions",$O27,$P27))</f>
        <v>19.999999999999996</v>
      </c>
      <c r="J27" s="239">
        <f>I27*$D27</f>
        <v>499.99999999999989</v>
      </c>
      <c r="L27" s="87"/>
      <c r="M27" s="146"/>
      <c r="N27" s="202">
        <f>N22-SUM(N25:N26)</f>
        <v>0.15000000000000002</v>
      </c>
      <c r="O27" s="202">
        <f>O22-SUM(O25:O26)</f>
        <v>9.9999999999999978E-2</v>
      </c>
      <c r="P27" s="202">
        <f>P22-SUM(P25:P26)</f>
        <v>9.9999999999999978E-2</v>
      </c>
      <c r="R27" s="87"/>
      <c r="S27" s="2"/>
      <c r="T27" s="2"/>
      <c r="U27" s="2"/>
    </row>
    <row r="28" spans="2:21" customFormat="1">
      <c r="B28" s="85" t="s">
        <v>125</v>
      </c>
      <c r="C28" s="107"/>
      <c r="D28" s="107"/>
      <c r="E28" s="241"/>
      <c r="F28" s="229"/>
      <c r="G28" s="241"/>
      <c r="H28" s="234"/>
      <c r="I28" s="241"/>
      <c r="J28" s="239"/>
      <c r="L28" s="87"/>
      <c r="M28" s="146"/>
      <c r="N28" s="140"/>
      <c r="O28" s="140"/>
      <c r="P28" s="140"/>
      <c r="R28" s="87"/>
      <c r="S28" s="2"/>
      <c r="T28" s="2"/>
      <c r="U28" s="2"/>
    </row>
    <row r="29" spans="2:21" customFormat="1">
      <c r="B29" s="113" t="s">
        <v>138</v>
      </c>
      <c r="C29" s="107">
        <v>3</v>
      </c>
      <c r="D29" s="107">
        <v>100</v>
      </c>
      <c r="E29" s="240">
        <f>E$21/$C29*IF($E$18="Traffic",$N29,IF($E$18="Conversions",$O29,$P29))</f>
        <v>0.79999999999999993</v>
      </c>
      <c r="F29" s="229">
        <f t="shared" ref="F29:H31" si="1">E29*$D29</f>
        <v>80</v>
      </c>
      <c r="G29" s="240">
        <f>G$21/$C29*IF($E$18="Traffic",$N29,IF($E$18="Conversions",$O29,$P29))</f>
        <v>1.2</v>
      </c>
      <c r="H29" s="234">
        <f t="shared" si="1"/>
        <v>120</v>
      </c>
      <c r="I29" s="240">
        <f>I$21/$C29*IF($E$18="Traffic",$N29,IF($E$18="Conversions",$O29,$P29))</f>
        <v>2</v>
      </c>
      <c r="J29" s="239">
        <f>I29*$D29</f>
        <v>200</v>
      </c>
      <c r="L29" s="87"/>
      <c r="M29" s="146"/>
      <c r="N29" s="149">
        <v>0.05</v>
      </c>
      <c r="O29" s="149">
        <v>0.15</v>
      </c>
      <c r="P29" s="149">
        <v>0.1</v>
      </c>
      <c r="R29" s="87"/>
      <c r="S29" s="2"/>
      <c r="T29" s="2"/>
      <c r="U29" s="2"/>
    </row>
    <row r="30" spans="2:21" customFormat="1">
      <c r="B30" s="113" t="s">
        <v>139</v>
      </c>
      <c r="C30" s="107">
        <v>2</v>
      </c>
      <c r="D30" s="107">
        <v>50</v>
      </c>
      <c r="E30" s="240">
        <f>E$21/$C30*IF($E$18="Traffic",$N30,IF($E$18="Conversions",$O30,$P30))</f>
        <v>0.8</v>
      </c>
      <c r="F30" s="229">
        <f t="shared" si="1"/>
        <v>40</v>
      </c>
      <c r="G30" s="240">
        <f>G$21/$C30*IF($E$18="Traffic",$N30,IF($E$18="Conversions",$O30,$P30))</f>
        <v>1.2000000000000002</v>
      </c>
      <c r="H30" s="234">
        <f t="shared" si="1"/>
        <v>60.000000000000007</v>
      </c>
      <c r="I30" s="240">
        <f>I$21/$C30*IF($E$18="Traffic",$N30,IF($E$18="Conversions",$O30,$P30))</f>
        <v>2</v>
      </c>
      <c r="J30" s="239">
        <f>I30*$D30</f>
        <v>100</v>
      </c>
      <c r="L30" s="87"/>
      <c r="M30" s="146"/>
      <c r="N30" s="149">
        <v>0.05</v>
      </c>
      <c r="O30" s="149">
        <v>0.1</v>
      </c>
      <c r="P30" s="149">
        <v>0.05</v>
      </c>
      <c r="R30" s="87"/>
      <c r="S30" s="2"/>
      <c r="T30" s="2"/>
      <c r="U30" s="2"/>
    </row>
    <row r="31" spans="2:21" customFormat="1">
      <c r="B31" s="113" t="s">
        <v>140</v>
      </c>
      <c r="C31" s="199">
        <v>0.3</v>
      </c>
      <c r="D31" s="107">
        <v>25</v>
      </c>
      <c r="E31" s="240">
        <f>E$21/$C31*IF($E$18="Traffic",$N31,IF($E$18="Conversions",$O31,$P31))</f>
        <v>2.666666666666667</v>
      </c>
      <c r="F31" s="229">
        <f t="shared" si="1"/>
        <v>66.666666666666671</v>
      </c>
      <c r="G31" s="240">
        <f>G$21/$C31*IF($E$18="Traffic",$N31,IF($E$18="Conversions",$O31,$P31))</f>
        <v>4</v>
      </c>
      <c r="H31" s="234">
        <f t="shared" si="1"/>
        <v>100</v>
      </c>
      <c r="I31" s="240">
        <f>I$21/$C31*IF($E$18="Traffic",$N31,IF($E$18="Conversions",$O31,$P31))</f>
        <v>6.6666666666666679</v>
      </c>
      <c r="J31" s="239">
        <f>I31*$D31</f>
        <v>166.66666666666669</v>
      </c>
      <c r="L31" s="87"/>
      <c r="M31" s="146"/>
      <c r="N31" s="149">
        <v>0.05</v>
      </c>
      <c r="O31" s="149">
        <v>0.05</v>
      </c>
      <c r="P31" s="149">
        <v>0.05</v>
      </c>
      <c r="R31" s="87"/>
      <c r="S31" s="2"/>
      <c r="T31" s="2"/>
      <c r="U31" s="2"/>
    </row>
    <row r="32" spans="2:21" customFormat="1">
      <c r="B32" s="85" t="s">
        <v>126</v>
      </c>
      <c r="C32" s="107"/>
      <c r="D32" s="107"/>
      <c r="E32" s="241"/>
      <c r="F32" s="229"/>
      <c r="G32" s="241"/>
      <c r="H32" s="234"/>
      <c r="I32" s="241"/>
      <c r="J32" s="239"/>
      <c r="L32" s="87"/>
      <c r="M32" s="146"/>
      <c r="N32" s="140"/>
      <c r="O32" s="140"/>
      <c r="P32" s="149"/>
      <c r="R32" s="87"/>
      <c r="S32" s="2"/>
      <c r="T32" s="2"/>
      <c r="U32" s="2"/>
    </row>
    <row r="33" spans="2:21" customFormat="1">
      <c r="B33" s="113" t="s">
        <v>141</v>
      </c>
      <c r="C33" s="107">
        <v>3</v>
      </c>
      <c r="D33" s="107">
        <v>75</v>
      </c>
      <c r="E33" s="240">
        <f>E$21/$C33*IF($E$18="Traffic",$N33,IF($E$18="Conversions",$O33,$P33))</f>
        <v>0.53333333333333333</v>
      </c>
      <c r="F33" s="229">
        <f t="shared" ref="F33:H36" si="2">E33*$D33</f>
        <v>40</v>
      </c>
      <c r="G33" s="240">
        <f>G$21/$C33*IF($E$18="Traffic",$N33,IF($E$18="Conversions",$O33,$P33))</f>
        <v>0.8</v>
      </c>
      <c r="H33" s="234">
        <f t="shared" si="2"/>
        <v>60</v>
      </c>
      <c r="I33" s="240">
        <f>I$21/$C33*IF($E$18="Traffic",$N33,IF($E$18="Conversions",$O33,$P33))</f>
        <v>1.3333333333333335</v>
      </c>
      <c r="J33" s="239">
        <f>I33*$D33</f>
        <v>100.00000000000001</v>
      </c>
      <c r="L33" s="87"/>
      <c r="M33" s="146"/>
      <c r="N33" s="149">
        <v>0.05</v>
      </c>
      <c r="O33" s="149">
        <v>0.1</v>
      </c>
      <c r="P33" s="149">
        <v>0.05</v>
      </c>
      <c r="R33" s="87"/>
      <c r="S33" s="2"/>
      <c r="T33" s="2"/>
      <c r="U33" s="2"/>
    </row>
    <row r="34" spans="2:21" customFormat="1">
      <c r="B34" s="113" t="s">
        <v>142</v>
      </c>
      <c r="C34" s="107">
        <v>1</v>
      </c>
      <c r="D34" s="107">
        <v>50</v>
      </c>
      <c r="E34" s="240">
        <f>E$21/$C34*IF($E$18="Traffic",$N34,IF($E$18="Conversions",$O34,$P34))</f>
        <v>0.8</v>
      </c>
      <c r="F34" s="229">
        <f t="shared" si="2"/>
        <v>40</v>
      </c>
      <c r="G34" s="240">
        <f>G$21/$C34*IF($E$18="Traffic",$N34,IF($E$18="Conversions",$O34,$P34))</f>
        <v>1.2000000000000002</v>
      </c>
      <c r="H34" s="234">
        <f t="shared" si="2"/>
        <v>60.000000000000007</v>
      </c>
      <c r="I34" s="240">
        <f>I$21/$C34*IF($E$18="Traffic",$N34,IF($E$18="Conversions",$O34,$P34))</f>
        <v>2</v>
      </c>
      <c r="J34" s="239">
        <f>I34*$D34</f>
        <v>100</v>
      </c>
      <c r="L34" s="87"/>
      <c r="M34" s="146"/>
      <c r="N34" s="149">
        <v>0.05</v>
      </c>
      <c r="O34" s="149">
        <v>0.05</v>
      </c>
      <c r="P34" s="149">
        <v>0.05</v>
      </c>
      <c r="R34" s="87"/>
      <c r="S34" s="2"/>
      <c r="T34" s="2"/>
      <c r="U34" s="2"/>
    </row>
    <row r="35" spans="2:21" customFormat="1">
      <c r="B35" s="113" t="s">
        <v>143</v>
      </c>
      <c r="C35" s="107">
        <v>2</v>
      </c>
      <c r="D35" s="107">
        <v>75</v>
      </c>
      <c r="E35" s="240">
        <f>E$21/$C35*IF($E$18="Traffic",$N35,IF($E$18="Conversions",$O35,$P35))</f>
        <v>1.2</v>
      </c>
      <c r="F35" s="229">
        <f t="shared" si="2"/>
        <v>90</v>
      </c>
      <c r="G35" s="240">
        <f>G$21/$C35*IF($E$18="Traffic",$N35,IF($E$18="Conversions",$O35,$P35))</f>
        <v>1.7999999999999998</v>
      </c>
      <c r="H35" s="234">
        <f t="shared" si="2"/>
        <v>135</v>
      </c>
      <c r="I35" s="240">
        <f>I$21/$C35*IF($E$18="Traffic",$N35,IF($E$18="Conversions",$O35,$P35))</f>
        <v>3</v>
      </c>
      <c r="J35" s="239">
        <f>I35*$D35</f>
        <v>225</v>
      </c>
      <c r="L35" s="87"/>
      <c r="M35" s="146"/>
      <c r="N35" s="149">
        <v>0.05</v>
      </c>
      <c r="O35" s="149">
        <v>0.15</v>
      </c>
      <c r="P35" s="149">
        <v>0.1</v>
      </c>
      <c r="R35" s="87"/>
      <c r="S35" s="2"/>
      <c r="T35" s="2"/>
      <c r="U35" s="2"/>
    </row>
    <row r="36" spans="2:21" customFormat="1">
      <c r="B36" s="201" t="s">
        <v>262</v>
      </c>
      <c r="C36" s="107">
        <v>1</v>
      </c>
      <c r="D36" s="107">
        <v>100</v>
      </c>
      <c r="E36" s="240">
        <f>E$21/$C36*IF($E$18="Traffic",$N36,IF($E$18="Conversions",$O36,$P36))</f>
        <v>1.6</v>
      </c>
      <c r="F36" s="229">
        <f t="shared" si="2"/>
        <v>160</v>
      </c>
      <c r="G36" s="240">
        <f>G$21/$C36*IF($E$18="Traffic",$N36,IF($E$18="Conversions",$O36,$P36))</f>
        <v>2.4000000000000004</v>
      </c>
      <c r="H36" s="234">
        <f t="shared" si="2"/>
        <v>240.00000000000003</v>
      </c>
      <c r="I36" s="240">
        <f>I$21/$C36*IF($E$18="Traffic",$N36,IF($E$18="Conversions",$O36,$P36))</f>
        <v>4</v>
      </c>
      <c r="J36" s="239">
        <f>I36*$D36</f>
        <v>400</v>
      </c>
      <c r="L36" s="87"/>
      <c r="M36" s="146"/>
      <c r="N36" s="149">
        <v>0.1</v>
      </c>
      <c r="O36" s="149">
        <v>0.1</v>
      </c>
      <c r="P36" s="149">
        <v>0.1</v>
      </c>
      <c r="R36" s="87"/>
      <c r="S36" s="2"/>
      <c r="T36" s="2"/>
      <c r="U36" s="2"/>
    </row>
    <row r="37" spans="2:21" customFormat="1">
      <c r="B37" t="s">
        <v>191</v>
      </c>
      <c r="C37" s="107"/>
      <c r="D37" s="107"/>
      <c r="E37" s="161"/>
      <c r="F37" s="229">
        <f>C41</f>
        <v>1000</v>
      </c>
      <c r="G37" s="161"/>
      <c r="H37" s="234">
        <f>C41</f>
        <v>1000</v>
      </c>
      <c r="I37" s="161"/>
      <c r="J37" s="239">
        <f>C41</f>
        <v>1000</v>
      </c>
      <c r="L37" s="87"/>
      <c r="M37" s="146"/>
      <c r="N37" s="148"/>
      <c r="O37" s="148"/>
      <c r="S37" s="204"/>
      <c r="T37" s="204"/>
      <c r="U37" s="204"/>
    </row>
    <row r="38" spans="2:21">
      <c r="B38" s="99" t="s">
        <v>282</v>
      </c>
      <c r="C38" s="110"/>
      <c r="D38" s="110"/>
      <c r="E38" s="110"/>
      <c r="F38" s="243">
        <f>SUM(F25:F37)</f>
        <v>2016.6666666666665</v>
      </c>
      <c r="G38" s="110"/>
      <c r="H38" s="245">
        <f>SUM(H25:H37)</f>
        <v>2525</v>
      </c>
      <c r="I38" s="110"/>
      <c r="J38" s="247">
        <f>SUM(J25:J37)</f>
        <v>3541.666666666667</v>
      </c>
      <c r="N38" s="87" t="str">
        <f>IF(SUM(N25:N36)=100%,"","not OK")</f>
        <v/>
      </c>
      <c r="O38" s="87" t="str">
        <f>IF(SUM(O25:O36)=100%,"","not OK")</f>
        <v/>
      </c>
      <c r="P38" s="87" t="str">
        <f>IF(SUM(P25:P36)=100%,"","not OK")</f>
        <v/>
      </c>
      <c r="S38" s="205"/>
      <c r="T38" s="205"/>
      <c r="U38" s="205"/>
    </row>
    <row r="39" spans="2:21" hidden="1">
      <c r="B39" s="99" t="s">
        <v>275</v>
      </c>
      <c r="C39" s="110"/>
      <c r="D39" s="110"/>
      <c r="E39" s="110"/>
      <c r="F39" s="244">
        <f>(($E$44-$C$41)-F38)/($E$44-$C$41)</f>
        <v>0.59666666666666668</v>
      </c>
      <c r="G39" s="110"/>
      <c r="H39" s="246">
        <f>(($E$44-$C$41)-H38)/($E$44-$C$41)</f>
        <v>0.495</v>
      </c>
      <c r="I39" s="110"/>
      <c r="J39" s="248">
        <f>(($E$44-$C$41)-J38)/($E$44-$C$41)</f>
        <v>0.29166666666666663</v>
      </c>
    </row>
    <row r="40" spans="2:21">
      <c r="B40" s="250" t="s">
        <v>276</v>
      </c>
      <c r="C40" s="157">
        <v>0.3</v>
      </c>
    </row>
    <row r="41" spans="2:21">
      <c r="B41" s="87" t="s">
        <v>268</v>
      </c>
      <c r="C41" s="158">
        <v>1000</v>
      </c>
    </row>
    <row r="42" spans="2:21">
      <c r="B42" s="251" t="s">
        <v>281</v>
      </c>
      <c r="C42" s="252"/>
      <c r="D42" s="253"/>
      <c r="E42" s="266">
        <f>F38*(1+$C$40)+$C$41</f>
        <v>3621.6666666666665</v>
      </c>
      <c r="F42" s="265"/>
      <c r="G42" s="266">
        <f>H38*(1+$C$40)+$C$41</f>
        <v>4282.5</v>
      </c>
      <c r="H42" s="265"/>
      <c r="I42" s="267">
        <f>J38*(1+$C$40)+$C$41</f>
        <v>5604.166666666667</v>
      </c>
      <c r="J42" s="256"/>
    </row>
    <row r="43" spans="2:21">
      <c r="B43" s="254"/>
      <c r="C43" s="174"/>
      <c r="D43" s="194"/>
      <c r="E43" s="194"/>
      <c r="F43" s="255"/>
      <c r="G43" s="194"/>
      <c r="H43" s="255"/>
      <c r="I43" s="194"/>
      <c r="J43" s="255"/>
    </row>
    <row r="44" spans="2:21">
      <c r="B44" s="260" t="s">
        <v>280</v>
      </c>
      <c r="C44" s="262"/>
      <c r="D44" s="263"/>
      <c r="E44" s="268">
        <f>'Value analysis'!C32</f>
        <v>6000</v>
      </c>
    </row>
    <row r="45" spans="2:21" customFormat="1">
      <c r="B45" s="261" t="s">
        <v>283</v>
      </c>
      <c r="C45" s="264"/>
      <c r="D45" s="264"/>
      <c r="E45" s="269" t="str">
        <f>IF(J39&gt;C40,"Fastest",IF(H39&gt;C40,"Faster",IF(F39&gt;C40,"Fast","No plan delivers desired operating margin")))</f>
        <v>Faster</v>
      </c>
      <c r="F45" s="259"/>
      <c r="G45" s="258"/>
      <c r="H45" s="259"/>
      <c r="I45" s="259"/>
      <c r="J45" s="208"/>
      <c r="N45" s="87"/>
    </row>
    <row r="46" spans="2:21">
      <c r="C46" s="158"/>
    </row>
    <row r="47" spans="2:21">
      <c r="C47" s="156"/>
      <c r="E47" s="167"/>
    </row>
    <row r="53" spans="2:3">
      <c r="B53" s="87" t="s">
        <v>192</v>
      </c>
      <c r="C53" s="203"/>
    </row>
  </sheetData>
  <mergeCells count="1">
    <mergeCell ref="B2:E2"/>
  </mergeCells>
  <pageMargins left="0.7" right="0.7" top="0.75" bottom="0.75" header="0.3" footer="0.3"/>
  <pageSetup orientation="portrait"/>
  <ignoredErrors>
    <ignoredError sqref="F37 H37 H25:H36 F32 F28 F25:F27 F29:F31 F33:F36 G25:G36 I25:I36" formula="1"/>
  </ignoredError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8"/>
  <sheetViews>
    <sheetView showGridLines="0" topLeftCell="A4" zoomScale="87" zoomScaleNormal="87" zoomScalePageLayoutView="87" workbookViewId="0">
      <selection activeCell="D15" sqref="D15"/>
    </sheetView>
  </sheetViews>
  <sheetFormatPr baseColWidth="10" defaultColWidth="8.83203125" defaultRowHeight="14" x14ac:dyDescent="0"/>
  <cols>
    <col min="1" max="1" width="1.83203125" customWidth="1"/>
    <col min="2" max="2" width="41.5" bestFit="1" customWidth="1"/>
    <col min="3" max="3" width="1.5" customWidth="1"/>
    <col min="4" max="4" width="15.1640625" bestFit="1" customWidth="1"/>
    <col min="5" max="5" width="1.83203125" customWidth="1"/>
    <col min="6" max="6" width="18.33203125" bestFit="1" customWidth="1"/>
    <col min="7" max="7" width="18.6640625" customWidth="1"/>
    <col min="8" max="8" width="2.33203125" customWidth="1"/>
    <col min="9" max="9" width="26.6640625" customWidth="1"/>
    <col min="10" max="10" width="26" bestFit="1" customWidth="1"/>
    <col min="11" max="11" width="30.5" bestFit="1" customWidth="1"/>
    <col min="13" max="13" width="9.6640625" customWidth="1"/>
    <col min="14" max="18" width="9.1640625" customWidth="1"/>
  </cols>
  <sheetData>
    <row r="3" spans="2:16" ht="40.5" customHeight="1"/>
    <row r="5" spans="2:16" ht="6.75" customHeight="1" thickBot="1">
      <c r="B5" s="16"/>
      <c r="C5" s="16"/>
      <c r="D5" s="16"/>
      <c r="N5" t="s">
        <v>199</v>
      </c>
      <c r="O5" t="s">
        <v>200</v>
      </c>
      <c r="P5" t="s">
        <v>201</v>
      </c>
    </row>
    <row r="6" spans="2:16" ht="15" thickBot="1">
      <c r="B6" s="185" t="s">
        <v>202</v>
      </c>
      <c r="C6" s="16"/>
      <c r="D6" s="16"/>
      <c r="N6">
        <v>1</v>
      </c>
      <c r="O6" s="91">
        <f>D8</f>
        <v>100</v>
      </c>
      <c r="P6">
        <f>D9</f>
        <v>4000</v>
      </c>
    </row>
    <row r="7" spans="2:16" ht="15" thickBot="1">
      <c r="B7" s="177" t="s">
        <v>203</v>
      </c>
      <c r="C7" s="16"/>
      <c r="D7" s="215">
        <f>'Client''s funnel analysis'!C4</f>
        <v>10000</v>
      </c>
      <c r="F7" s="178" t="s">
        <v>204</v>
      </c>
      <c r="G7" s="178" t="s">
        <v>205</v>
      </c>
      <c r="N7">
        <v>2</v>
      </c>
      <c r="O7" s="91">
        <f>IF($D$8&lt;6, $D$8*1.3, IF($D$8&lt;21, $D$8*1.3, IF($D$8&lt;50, $D$8*1.2, IF($D$8&gt;100,$D$8*1.2, IF($D$8&lt;500, $D$8*1.3, IF($D$8&gt;499, $D$8*1.4))))))</f>
        <v>130</v>
      </c>
      <c r="P7" s="91">
        <f>P6+O7</f>
        <v>4130</v>
      </c>
    </row>
    <row r="8" spans="2:16" ht="15" thickBot="1">
      <c r="B8" s="179" t="s">
        <v>206</v>
      </c>
      <c r="C8" s="16"/>
      <c r="D8" s="216">
        <f>'Client''s funnel analysis'!C5</f>
        <v>100</v>
      </c>
      <c r="F8" s="180">
        <f>D7*0.02</f>
        <v>200</v>
      </c>
      <c r="G8" s="180">
        <f>D7*0.05</f>
        <v>500</v>
      </c>
      <c r="I8" s="308" t="s">
        <v>207</v>
      </c>
      <c r="J8" s="309"/>
      <c r="K8" s="310"/>
      <c r="N8">
        <v>3</v>
      </c>
      <c r="O8" s="91">
        <f>IF($D$8&lt;6, O7*1.3, IF($D$8&lt;21, O7*1.3, IF($D$8&lt;50, O7*1.2, IF($D$8&gt;100,O7*1.2, IF($D$8&lt;500, O7*1.3, IF($D$8&gt;499, O7*1.4))))))</f>
        <v>169</v>
      </c>
      <c r="P8" s="91">
        <f>P7+O8</f>
        <v>4299</v>
      </c>
    </row>
    <row r="9" spans="2:16" ht="15" thickBot="1">
      <c r="B9" s="179" t="s">
        <v>208</v>
      </c>
      <c r="C9" s="16"/>
      <c r="D9" s="197">
        <v>4000</v>
      </c>
      <c r="F9" s="181"/>
      <c r="G9" s="181"/>
      <c r="I9" s="177"/>
      <c r="J9" s="308" t="s">
        <v>209</v>
      </c>
      <c r="K9" s="310"/>
      <c r="N9">
        <v>4</v>
      </c>
      <c r="O9" s="91">
        <f>IF($D$8&lt;6, O8*1.3, IF($D$8&lt;21, O8*1.3, IF($D$8&lt;50, O8*1.2, IF($D$8&gt;100,O8*1.2, IF($D$8&lt;500, O8*1.3, IF($D$8&gt;499, O8*1.4))))))</f>
        <v>219.70000000000002</v>
      </c>
      <c r="P9" s="91">
        <f t="shared" ref="P9:P20" si="0">P8+O9</f>
        <v>4518.7</v>
      </c>
    </row>
    <row r="10" spans="2:16" ht="15" thickBot="1">
      <c r="B10" s="182" t="s">
        <v>210</v>
      </c>
      <c r="C10" s="16"/>
      <c r="D10" s="216">
        <f>'Client''s funnel analysis'!C6</f>
        <v>2</v>
      </c>
      <c r="F10" s="16"/>
      <c r="I10" s="183"/>
      <c r="J10" s="180" t="s">
        <v>211</v>
      </c>
      <c r="K10" s="180" t="s">
        <v>212</v>
      </c>
      <c r="N10">
        <v>5</v>
      </c>
      <c r="O10" s="91">
        <f t="shared" ref="O10:O20" si="1">IF($D$8&lt;6, O9*1.3, IF($D$8&lt;21, O9*1.3, IF($D$8&lt;50, O9*1.2, IF($D$8&gt;100,O9*1.2, IF($D$8&lt;500, O9*1.3, IF($D$8&gt;499, O9*1.4))))))</f>
        <v>285.61</v>
      </c>
      <c r="P10" s="91">
        <f t="shared" si="0"/>
        <v>4804.3099999999995</v>
      </c>
    </row>
    <row r="11" spans="2:16">
      <c r="B11" s="182" t="s">
        <v>213</v>
      </c>
      <c r="C11" s="16"/>
      <c r="D11" s="216">
        <f>'Client''s funnel analysis'!D6</f>
        <v>4</v>
      </c>
      <c r="F11" s="16"/>
      <c r="I11" s="177" t="s">
        <v>214</v>
      </c>
      <c r="J11" s="177" t="s">
        <v>215</v>
      </c>
      <c r="K11" s="177" t="s">
        <v>216</v>
      </c>
      <c r="N11">
        <v>6</v>
      </c>
      <c r="O11" s="91">
        <f>IF($D$8&lt;6, O10*1.3, IF($D$8&lt;21, O10*1.3, IF($D$8&lt;50, O10*1.2, IF($D$8&gt;100,O10*1.2, IF($D$8&lt;500, O10*1.3, IF($D$8&gt;499, O10*1.4))))))</f>
        <v>371.29300000000001</v>
      </c>
      <c r="P11" s="91">
        <f>P10+O11</f>
        <v>5175.6029999999992</v>
      </c>
    </row>
    <row r="12" spans="2:16" ht="15" thickBot="1">
      <c r="B12" s="183" t="s">
        <v>225</v>
      </c>
      <c r="C12" s="16"/>
      <c r="D12" s="217">
        <f>'Client''s funnel analysis'!C9</f>
        <v>0.02</v>
      </c>
      <c r="I12" s="179" t="s">
        <v>217</v>
      </c>
      <c r="J12" s="179" t="s">
        <v>215</v>
      </c>
      <c r="K12" s="179" t="s">
        <v>218</v>
      </c>
      <c r="N12">
        <v>7</v>
      </c>
      <c r="O12" s="91">
        <f t="shared" si="1"/>
        <v>482.68090000000001</v>
      </c>
      <c r="P12" s="91">
        <f t="shared" si="0"/>
        <v>5658.2838999999994</v>
      </c>
    </row>
    <row r="13" spans="2:16" ht="15" thickBot="1">
      <c r="E13" s="87"/>
      <c r="F13" s="87"/>
      <c r="I13" s="179" t="s">
        <v>219</v>
      </c>
      <c r="J13" s="179" t="s">
        <v>215</v>
      </c>
      <c r="K13" s="179" t="s">
        <v>220</v>
      </c>
      <c r="N13">
        <v>8</v>
      </c>
      <c r="O13" s="91">
        <f t="shared" si="1"/>
        <v>627.48517000000004</v>
      </c>
      <c r="P13" s="91">
        <f t="shared" si="0"/>
        <v>6285.7690699999994</v>
      </c>
    </row>
    <row r="14" spans="2:16" ht="15" thickBot="1">
      <c r="B14" s="185" t="s">
        <v>229</v>
      </c>
      <c r="C14" s="16"/>
      <c r="D14" s="16"/>
      <c r="I14" s="183" t="s">
        <v>221</v>
      </c>
      <c r="J14" s="183" t="s">
        <v>222</v>
      </c>
      <c r="K14" s="183" t="s">
        <v>223</v>
      </c>
      <c r="N14">
        <v>9</v>
      </c>
      <c r="O14" s="91">
        <f t="shared" si="1"/>
        <v>815.73072100000013</v>
      </c>
      <c r="P14" s="91">
        <f t="shared" si="0"/>
        <v>7101.4997909999993</v>
      </c>
    </row>
    <row r="15" spans="2:16" ht="15" thickBot="1">
      <c r="B15" s="177" t="s">
        <v>233</v>
      </c>
      <c r="C15" s="16"/>
      <c r="D15" s="218">
        <f>IF($D$7&lt;2000, $D$7*1.5, IF($D$7&gt;1999, $D$7*1.3))</f>
        <v>13000</v>
      </c>
      <c r="F15" s="178" t="s">
        <v>204</v>
      </c>
      <c r="G15" s="178" t="s">
        <v>205</v>
      </c>
      <c r="N15">
        <v>10</v>
      </c>
      <c r="O15" s="91">
        <f t="shared" si="1"/>
        <v>1060.4499373000001</v>
      </c>
      <c r="P15" s="91">
        <f t="shared" si="0"/>
        <v>8161.9497282999992</v>
      </c>
    </row>
    <row r="16" spans="2:16" ht="15" thickBot="1">
      <c r="B16" s="179" t="s">
        <v>237</v>
      </c>
      <c r="C16" s="16"/>
      <c r="D16" s="219">
        <f>O11</f>
        <v>371.29300000000001</v>
      </c>
      <c r="F16" s="198">
        <f>D15*0.02</f>
        <v>260</v>
      </c>
      <c r="G16" s="180">
        <f>D15*0.05</f>
        <v>650</v>
      </c>
      <c r="I16" s="308" t="s">
        <v>224</v>
      </c>
      <c r="J16" s="309"/>
      <c r="K16" s="310"/>
      <c r="N16">
        <v>11</v>
      </c>
      <c r="O16" s="91">
        <f t="shared" si="1"/>
        <v>1378.5849184900003</v>
      </c>
      <c r="P16" s="91">
        <f t="shared" si="0"/>
        <v>9540.5346467899999</v>
      </c>
    </row>
    <row r="17" spans="2:16" ht="15" thickBot="1">
      <c r="B17" s="179" t="s">
        <v>241</v>
      </c>
      <c r="C17" s="16"/>
      <c r="D17" s="219">
        <f>P11</f>
        <v>5175.6029999999992</v>
      </c>
      <c r="F17" s="181"/>
      <c r="G17" s="181"/>
      <c r="I17" s="177"/>
      <c r="J17" s="308" t="s">
        <v>209</v>
      </c>
      <c r="K17" s="310"/>
      <c r="N17">
        <v>12</v>
      </c>
      <c r="O17" s="91">
        <f t="shared" si="1"/>
        <v>1792.1603940370005</v>
      </c>
      <c r="P17" s="91">
        <f t="shared" si="0"/>
        <v>11332.695040827</v>
      </c>
    </row>
    <row r="18" spans="2:16" ht="15" thickBot="1">
      <c r="B18" s="183" t="s">
        <v>245</v>
      </c>
      <c r="C18" s="16"/>
      <c r="D18" s="220">
        <f>D16*D12</f>
        <v>7.4258600000000001</v>
      </c>
      <c r="I18" s="183"/>
      <c r="J18" s="180" t="s">
        <v>211</v>
      </c>
      <c r="K18" s="180" t="s">
        <v>212</v>
      </c>
      <c r="N18">
        <v>13</v>
      </c>
      <c r="O18" s="91">
        <f t="shared" si="1"/>
        <v>2329.8085122481007</v>
      </c>
      <c r="P18" s="91">
        <f t="shared" si="0"/>
        <v>13662.503553075101</v>
      </c>
    </row>
    <row r="19" spans="2:16" ht="15" thickBot="1">
      <c r="I19" s="177" t="s">
        <v>226</v>
      </c>
      <c r="J19" s="177" t="s">
        <v>227</v>
      </c>
      <c r="K19" s="177" t="s">
        <v>228</v>
      </c>
      <c r="N19">
        <v>14</v>
      </c>
      <c r="O19" s="91">
        <f t="shared" si="1"/>
        <v>3028.7510659225309</v>
      </c>
      <c r="P19" s="91">
        <f t="shared" si="0"/>
        <v>16691.254618997631</v>
      </c>
    </row>
    <row r="20" spans="2:16" ht="15" thickBot="1">
      <c r="B20" s="185" t="s">
        <v>249</v>
      </c>
      <c r="C20" s="16"/>
      <c r="D20" s="186"/>
      <c r="I20" s="179" t="s">
        <v>230</v>
      </c>
      <c r="J20" s="179" t="s">
        <v>231</v>
      </c>
      <c r="K20" s="179" t="s">
        <v>232</v>
      </c>
      <c r="N20">
        <v>15</v>
      </c>
      <c r="O20" s="91">
        <f t="shared" si="1"/>
        <v>3937.37638569929</v>
      </c>
      <c r="P20" s="91">
        <f t="shared" si="0"/>
        <v>20628.631004696923</v>
      </c>
    </row>
    <row r="21" spans="2:16" ht="15" thickBot="1">
      <c r="B21" s="177" t="s">
        <v>233</v>
      </c>
      <c r="C21" s="16"/>
      <c r="D21" s="218">
        <f>IF($D$7&lt;200, $D$7*1.9, IF($D$7&lt;500, $D$7*2.5, IF($D$7&lt;2000, $D$7*2.2, IF($D$7&gt;1999,$D$7*1.6))))</f>
        <v>16000</v>
      </c>
      <c r="F21" s="178" t="s">
        <v>204</v>
      </c>
      <c r="G21" s="178" t="s">
        <v>205</v>
      </c>
      <c r="I21" s="179" t="s">
        <v>234</v>
      </c>
      <c r="J21" s="179" t="s">
        <v>235</v>
      </c>
      <c r="K21" s="179" t="s">
        <v>236</v>
      </c>
    </row>
    <row r="22" spans="2:16" ht="15" thickBot="1">
      <c r="B22" s="179" t="s">
        <v>237</v>
      </c>
      <c r="C22" s="16"/>
      <c r="D22" s="219">
        <f>O17</f>
        <v>1792.1603940370005</v>
      </c>
      <c r="F22" s="198">
        <f>D21*0.02</f>
        <v>320</v>
      </c>
      <c r="G22" s="180">
        <f>D21*0.05</f>
        <v>800</v>
      </c>
      <c r="I22" s="179" t="s">
        <v>238</v>
      </c>
      <c r="J22" s="179" t="s">
        <v>239</v>
      </c>
      <c r="K22" s="179" t="s">
        <v>240</v>
      </c>
    </row>
    <row r="23" spans="2:16">
      <c r="B23" s="179" t="s">
        <v>241</v>
      </c>
      <c r="C23" s="16"/>
      <c r="D23" s="219">
        <f>P17</f>
        <v>11332.695040827</v>
      </c>
      <c r="F23" s="181"/>
      <c r="G23" s="181"/>
      <c r="I23" s="179" t="s">
        <v>242</v>
      </c>
      <c r="J23" s="179" t="s">
        <v>243</v>
      </c>
      <c r="K23" s="179" t="s">
        <v>244</v>
      </c>
    </row>
    <row r="24" spans="2:16" ht="15" thickBot="1">
      <c r="B24" s="183" t="s">
        <v>245</v>
      </c>
      <c r="C24" s="16"/>
      <c r="D24" s="220">
        <f>D22*D12</f>
        <v>35.84320788074001</v>
      </c>
      <c r="I24" s="183" t="s">
        <v>246</v>
      </c>
      <c r="J24" s="183" t="s">
        <v>247</v>
      </c>
      <c r="K24" s="184" t="s">
        <v>248</v>
      </c>
    </row>
    <row r="25" spans="2:16" ht="18" customHeight="1" thickBot="1"/>
    <row r="26" spans="2:16" ht="15" thickBot="1">
      <c r="B26" s="185" t="s">
        <v>255</v>
      </c>
      <c r="K26" s="187"/>
    </row>
    <row r="27" spans="2:16" ht="15" thickBot="1">
      <c r="B27" s="177" t="s">
        <v>103</v>
      </c>
      <c r="D27" s="218">
        <f>D21-D7</f>
        <v>6000</v>
      </c>
      <c r="I27" s="308" t="s">
        <v>250</v>
      </c>
      <c r="J27" s="310"/>
    </row>
    <row r="28" spans="2:16">
      <c r="B28" s="179" t="s">
        <v>258</v>
      </c>
      <c r="D28" s="219">
        <f>D22-D8</f>
        <v>1692.1603940370005</v>
      </c>
      <c r="I28" s="177" t="s">
        <v>226</v>
      </c>
      <c r="J28" s="188" t="s">
        <v>251</v>
      </c>
    </row>
    <row r="29" spans="2:16">
      <c r="B29" s="179" t="s">
        <v>259</v>
      </c>
      <c r="D29" s="219">
        <f>D23-D9</f>
        <v>7332.6950408270004</v>
      </c>
      <c r="I29" s="179" t="s">
        <v>230</v>
      </c>
      <c r="J29" s="189" t="s">
        <v>251</v>
      </c>
    </row>
    <row r="30" spans="2:16" ht="15" thickBot="1">
      <c r="B30" s="183" t="s">
        <v>260</v>
      </c>
      <c r="D30" s="220">
        <f>D24-D10</f>
        <v>33.84320788074001</v>
      </c>
      <c r="I30" s="179" t="s">
        <v>234</v>
      </c>
      <c r="J30" s="189" t="s">
        <v>252</v>
      </c>
    </row>
    <row r="31" spans="2:16">
      <c r="I31" s="179" t="s">
        <v>238</v>
      </c>
      <c r="J31" s="189" t="s">
        <v>252</v>
      </c>
    </row>
    <row r="32" spans="2:16">
      <c r="I32" s="179" t="s">
        <v>242</v>
      </c>
      <c r="J32" s="189" t="s">
        <v>251</v>
      </c>
    </row>
    <row r="33" spans="6:10" ht="15" thickBot="1">
      <c r="I33" s="183" t="s">
        <v>246</v>
      </c>
      <c r="J33" s="190" t="s">
        <v>253</v>
      </c>
    </row>
    <row r="34" spans="6:10">
      <c r="F34" s="194"/>
      <c r="G34" s="194"/>
      <c r="I34" s="191" t="s">
        <v>254</v>
      </c>
    </row>
    <row r="35" spans="6:10">
      <c r="F35" s="195"/>
      <c r="G35" s="194"/>
      <c r="I35" s="192" t="s">
        <v>256</v>
      </c>
    </row>
    <row r="36" spans="6:10">
      <c r="F36" s="194"/>
      <c r="G36" s="196"/>
      <c r="I36" s="193" t="s">
        <v>257</v>
      </c>
    </row>
    <row r="37" spans="6:10">
      <c r="F37" s="194"/>
      <c r="G37" s="196"/>
    </row>
    <row r="38" spans="6:10">
      <c r="F38" s="194"/>
      <c r="G38" s="194"/>
    </row>
  </sheetData>
  <sheetProtection selectLockedCells="1"/>
  <mergeCells count="5">
    <mergeCell ref="I8:K8"/>
    <mergeCell ref="J9:K9"/>
    <mergeCell ref="I16:K16"/>
    <mergeCell ref="J17:K17"/>
    <mergeCell ref="I27:J27"/>
  </mergeCells>
  <conditionalFormatting sqref="F8">
    <cfRule type="cellIs" dxfId="37" priority="18" operator="lessThan">
      <formula>$D$8</formula>
    </cfRule>
    <cfRule type="cellIs" dxfId="36" priority="19" operator="greaterThan">
      <formula>$D$8</formula>
    </cfRule>
  </conditionalFormatting>
  <conditionalFormatting sqref="F16">
    <cfRule type="cellIs" dxfId="35" priority="16" operator="lessThan">
      <formula>$D$16</formula>
    </cfRule>
    <cfRule type="cellIs" dxfId="34" priority="17" operator="greaterThan">
      <formula>$D$16</formula>
    </cfRule>
  </conditionalFormatting>
  <conditionalFormatting sqref="G8">
    <cfRule type="cellIs" dxfId="33" priority="12" operator="lessThan">
      <formula>$D$8</formula>
    </cfRule>
    <cfRule type="cellIs" dxfId="32" priority="15" operator="greaterThan">
      <formula>$D$8</formula>
    </cfRule>
  </conditionalFormatting>
  <conditionalFormatting sqref="G16">
    <cfRule type="cellIs" dxfId="31" priority="11" operator="lessThan">
      <formula>$D$16</formula>
    </cfRule>
    <cfRule type="cellIs" dxfId="30" priority="14" operator="greaterThan">
      <formula>$D$16</formula>
    </cfRule>
  </conditionalFormatting>
  <conditionalFormatting sqref="G22">
    <cfRule type="cellIs" dxfId="29" priority="10" operator="lessThan">
      <formula>$D$22</formula>
    </cfRule>
    <cfRule type="cellIs" dxfId="28" priority="13" operator="greaterThan">
      <formula>$D$22</formula>
    </cfRule>
  </conditionalFormatting>
  <conditionalFormatting sqref="F22">
    <cfRule type="cellIs" dxfId="27" priority="1" operator="lessThan">
      <formula>$D$22</formula>
    </cfRule>
    <cfRule type="cellIs" dxfId="26" priority="2" operator="greaterThan">
      <formula>$D$22</formula>
    </cfRule>
    <cfRule type="cellIs" dxfId="25" priority="3" operator="lessThan">
      <formula>$D$22</formula>
    </cfRule>
    <cfRule type="cellIs" dxfId="24" priority="4" operator="greaterThan">
      <formula>$D$22</formula>
    </cfRule>
    <cfRule type="cellIs" dxfId="23" priority="5" operator="lessThan">
      <formula>$D$22</formula>
    </cfRule>
  </conditionalFormatting>
  <conditionalFormatting sqref="G36">
    <cfRule type="cellIs" dxfId="22" priority="20" operator="lessThan">
      <formula>#REF!</formula>
    </cfRule>
    <cfRule type="cellIs" dxfId="21" priority="21" operator="greaterThan">
      <formula>#REF!</formula>
    </cfRule>
  </conditionalFormatting>
  <conditionalFormatting sqref="G37">
    <cfRule type="cellIs" dxfId="20" priority="22" operator="lessThan">
      <formula>#REF!</formula>
    </cfRule>
    <cfRule type="cellIs" dxfId="19" priority="23" operator="greaterThan">
      <formula>#REF!</formula>
    </cfRule>
  </conditionalFormatting>
  <pageMargins left="0.7" right="0.7" top="0.75" bottom="0.75" header="0.3" footer="0.3"/>
  <pageSetup orientation="portrait"/>
  <ignoredErrors>
    <ignoredError sqref="D7:D8 D10:D11" unlockedFormula="1"/>
  </ignoredError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8"/>
  <sheetViews>
    <sheetView showGridLines="0" tabSelected="1" topLeftCell="A4" zoomScale="87" zoomScaleNormal="87" zoomScalePageLayoutView="87" workbookViewId="0">
      <selection activeCell="F32" sqref="F32"/>
    </sheetView>
  </sheetViews>
  <sheetFormatPr baseColWidth="10" defaultColWidth="8.83203125" defaultRowHeight="14" x14ac:dyDescent="0"/>
  <cols>
    <col min="1" max="1" width="1.83203125" customWidth="1"/>
    <col min="2" max="2" width="41.5" bestFit="1" customWidth="1"/>
    <col min="3" max="3" width="1.5" customWidth="1"/>
    <col min="4" max="4" width="15.1640625" bestFit="1" customWidth="1"/>
    <col min="5" max="5" width="1.83203125" customWidth="1"/>
    <col min="6" max="6" width="18.33203125" bestFit="1" customWidth="1"/>
    <col min="7" max="7" width="18.6640625" customWidth="1"/>
    <col min="8" max="8" width="2.33203125" customWidth="1"/>
    <col min="9" max="9" width="26.6640625" customWidth="1"/>
    <col min="10" max="10" width="26" bestFit="1" customWidth="1"/>
    <col min="11" max="11" width="30.5" bestFit="1" customWidth="1"/>
    <col min="13" max="13" width="9.6640625" customWidth="1"/>
    <col min="14" max="16" width="9.1640625" hidden="1" customWidth="1"/>
    <col min="17" max="18" width="9.1640625" customWidth="1"/>
  </cols>
  <sheetData>
    <row r="3" spans="2:16" ht="40.5" customHeight="1"/>
    <row r="5" spans="2:16" ht="6.75" customHeight="1" thickBot="1">
      <c r="B5" s="16"/>
      <c r="C5" s="16"/>
      <c r="D5" s="16"/>
      <c r="N5" t="s">
        <v>199</v>
      </c>
      <c r="O5" t="s">
        <v>200</v>
      </c>
      <c r="P5" t="s">
        <v>201</v>
      </c>
    </row>
    <row r="6" spans="2:16" ht="15" thickBot="1">
      <c r="B6" s="185" t="s">
        <v>202</v>
      </c>
      <c r="C6" s="16"/>
      <c r="D6" s="16"/>
      <c r="N6">
        <v>1</v>
      </c>
      <c r="O6" s="91">
        <f>D8</f>
        <v>100</v>
      </c>
      <c r="P6">
        <f>D9</f>
        <v>4000</v>
      </c>
    </row>
    <row r="7" spans="2:16" ht="15" thickBot="1">
      <c r="B7" s="177" t="s">
        <v>203</v>
      </c>
      <c r="C7" s="16"/>
      <c r="D7" s="215">
        <f>'Client''s funnel analysis'!C4</f>
        <v>10000</v>
      </c>
      <c r="F7" s="178" t="s">
        <v>204</v>
      </c>
      <c r="G7" s="178" t="s">
        <v>205</v>
      </c>
      <c r="N7">
        <v>2</v>
      </c>
      <c r="O7" s="91">
        <f>IF($D$8&lt;6, $D$8*$K$28, IF($D$8&lt;21, $D$8*$K$29, IF($D$8&lt;50, $D$8*$K$30, IF($D$8&lt;100,$D$8*$K$31, IF($D$8&lt;500, $D$8*$K$32, IF($D$8&gt;499, $D$8*$K$33))))))</f>
        <v>112.47741363480026</v>
      </c>
      <c r="P7" s="91">
        <f>P6+O7</f>
        <v>4112.4774136348005</v>
      </c>
    </row>
    <row r="8" spans="2:16" ht="15" thickBot="1">
      <c r="B8" s="179" t="s">
        <v>206</v>
      </c>
      <c r="C8" s="16"/>
      <c r="D8" s="216">
        <f>'Client''s funnel analysis'!C5</f>
        <v>100</v>
      </c>
      <c r="F8" s="180">
        <f>D7*0.02</f>
        <v>200</v>
      </c>
      <c r="G8" s="180">
        <f>D7*0.05</f>
        <v>500</v>
      </c>
      <c r="I8" s="308" t="s">
        <v>207</v>
      </c>
      <c r="J8" s="309"/>
      <c r="K8" s="310"/>
      <c r="N8">
        <v>3</v>
      </c>
      <c r="O8" s="91">
        <f>IF($D$8&lt;6, O7*$K$28, IF($D$8&lt;21, O7*$K$29, IF($D$8&lt;50, O7*$K$30, IF($D$8&lt;100,O7*$K$31, IF($D$8&lt;500, O7*$K$32, IF($D$8&gt;499, O7*$K$33))))))</f>
        <v>126.51168577973951</v>
      </c>
      <c r="P8" s="91">
        <f>P7+O8</f>
        <v>4238.9890994145399</v>
      </c>
    </row>
    <row r="9" spans="2:16" ht="15" thickBot="1">
      <c r="B9" s="179" t="s">
        <v>208</v>
      </c>
      <c r="C9" s="16"/>
      <c r="D9" s="197">
        <v>4000</v>
      </c>
      <c r="F9" s="181"/>
      <c r="G9" s="181"/>
      <c r="I9" s="177"/>
      <c r="J9" s="308" t="s">
        <v>209</v>
      </c>
      <c r="K9" s="310"/>
      <c r="N9">
        <v>4</v>
      </c>
      <c r="O9" s="91">
        <f t="shared" ref="O9:O20" si="0">IF($D$8&lt;6, O8*$K$28, IF($D$8&lt;21, O8*$K$29, IF($D$8&lt;50, O8*$K$30, IF($D$8&lt;100,O8*$K$31, IF($D$8&lt;500, O8*$K$32, IF($D$8&gt;499, O8*$K$33))))))</f>
        <v>142.29707211083638</v>
      </c>
      <c r="P9" s="91">
        <f t="shared" ref="P9:P20" si="1">P8+O9</f>
        <v>4381.2861715253766</v>
      </c>
    </row>
    <row r="10" spans="2:16" ht="15" thickBot="1">
      <c r="B10" s="182" t="s">
        <v>210</v>
      </c>
      <c r="C10" s="16"/>
      <c r="D10" s="216">
        <f>'Client''s funnel analysis'!C6</f>
        <v>2</v>
      </c>
      <c r="F10" s="16"/>
      <c r="I10" s="183"/>
      <c r="J10" s="180" t="s">
        <v>211</v>
      </c>
      <c r="K10" s="180" t="s">
        <v>212</v>
      </c>
      <c r="N10">
        <v>5</v>
      </c>
      <c r="O10" s="91">
        <f t="shared" si="0"/>
        <v>160.05206638831544</v>
      </c>
      <c r="P10" s="91">
        <f t="shared" si="1"/>
        <v>4541.338237913692</v>
      </c>
    </row>
    <row r="11" spans="2:16">
      <c r="B11" s="182" t="s">
        <v>213</v>
      </c>
      <c r="C11" s="16"/>
      <c r="D11" s="216">
        <f>'Client''s funnel analysis'!D6</f>
        <v>4</v>
      </c>
      <c r="F11" s="16"/>
      <c r="I11" s="177" t="s">
        <v>214</v>
      </c>
      <c r="J11" s="177" t="s">
        <v>295</v>
      </c>
      <c r="K11" s="177" t="s">
        <v>296</v>
      </c>
      <c r="N11">
        <v>6</v>
      </c>
      <c r="O11" s="91">
        <f t="shared" si="0"/>
        <v>180.02242474263068</v>
      </c>
      <c r="P11" s="91">
        <f>P10+O11</f>
        <v>4721.3606626563223</v>
      </c>
    </row>
    <row r="12" spans="2:16" ht="15" thickBot="1">
      <c r="B12" s="183" t="s">
        <v>225</v>
      </c>
      <c r="C12" s="16"/>
      <c r="D12" s="217">
        <f>'Client''s funnel analysis'!C9</f>
        <v>0.02</v>
      </c>
      <c r="I12" s="179" t="s">
        <v>217</v>
      </c>
      <c r="J12" s="179" t="s">
        <v>284</v>
      </c>
      <c r="K12" s="179" t="s">
        <v>285</v>
      </c>
      <c r="N12">
        <v>7</v>
      </c>
      <c r="O12" s="91">
        <f t="shared" si="0"/>
        <v>202.48456731316571</v>
      </c>
      <c r="P12" s="91">
        <f t="shared" si="1"/>
        <v>4923.8452299694882</v>
      </c>
    </row>
    <row r="13" spans="2:16" ht="15" thickBot="1">
      <c r="E13" s="87"/>
      <c r="F13" s="87"/>
      <c r="I13" s="179" t="s">
        <v>219</v>
      </c>
      <c r="J13" s="179" t="s">
        <v>216</v>
      </c>
      <c r="K13" s="179" t="s">
        <v>286</v>
      </c>
      <c r="N13">
        <v>8</v>
      </c>
      <c r="O13" s="91">
        <f t="shared" si="0"/>
        <v>227.74940432346497</v>
      </c>
      <c r="P13" s="91">
        <f t="shared" si="1"/>
        <v>5151.5946342929528</v>
      </c>
    </row>
    <row r="14" spans="2:16" ht="15" thickBot="1">
      <c r="B14" s="185" t="s">
        <v>229</v>
      </c>
      <c r="C14" s="16"/>
      <c r="D14" s="16"/>
      <c r="I14" s="183" t="s">
        <v>221</v>
      </c>
      <c r="J14" s="183" t="s">
        <v>215</v>
      </c>
      <c r="K14" s="183" t="s">
        <v>287</v>
      </c>
      <c r="N14">
        <v>9</v>
      </c>
      <c r="O14" s="91">
        <f t="shared" si="0"/>
        <v>256.16663955169736</v>
      </c>
      <c r="P14" s="91">
        <f t="shared" si="1"/>
        <v>5407.7612738446505</v>
      </c>
    </row>
    <row r="15" spans="2:16" ht="15" thickBot="1">
      <c r="B15" s="177" t="s">
        <v>233</v>
      </c>
      <c r="C15" s="16"/>
      <c r="D15" s="218">
        <f>IF($D$7&lt;200, $D$7*6, IF($D$7&lt;500, $D$7*3.2, IF($D$7&lt;2000, $D$7*1.9, IF($D$7&gt;1999,$D$7*1.5))))</f>
        <v>15000</v>
      </c>
      <c r="F15" s="178" t="s">
        <v>204</v>
      </c>
      <c r="G15" s="178" t="s">
        <v>205</v>
      </c>
      <c r="N15">
        <v>10</v>
      </c>
      <c r="O15" s="91">
        <f t="shared" si="0"/>
        <v>288.1296107629305</v>
      </c>
      <c r="P15" s="91">
        <f t="shared" si="1"/>
        <v>5695.890884607581</v>
      </c>
    </row>
    <row r="16" spans="2:16" ht="15" thickBot="1">
      <c r="B16" s="179" t="s">
        <v>237</v>
      </c>
      <c r="C16" s="16"/>
      <c r="D16" s="219">
        <f>O11</f>
        <v>180.02242474263068</v>
      </c>
      <c r="F16" s="198">
        <f>D15*0.02</f>
        <v>300</v>
      </c>
      <c r="G16" s="180">
        <f>D15*0.05</f>
        <v>750</v>
      </c>
      <c r="I16" s="308" t="s">
        <v>224</v>
      </c>
      <c r="J16" s="309"/>
      <c r="K16" s="310"/>
      <c r="N16">
        <v>11</v>
      </c>
      <c r="O16" s="91">
        <f t="shared" si="0"/>
        <v>324.08073410216133</v>
      </c>
      <c r="P16" s="91">
        <f t="shared" si="1"/>
        <v>6019.971618709742</v>
      </c>
    </row>
    <row r="17" spans="2:16" ht="15" thickBot="1">
      <c r="B17" s="179" t="s">
        <v>241</v>
      </c>
      <c r="C17" s="16"/>
      <c r="D17" s="219">
        <f>P11</f>
        <v>4721.3606626563223</v>
      </c>
      <c r="F17" s="181"/>
      <c r="G17" s="181"/>
      <c r="I17" s="177"/>
      <c r="J17" s="308" t="s">
        <v>209</v>
      </c>
      <c r="K17" s="310"/>
      <c r="N17">
        <v>12</v>
      </c>
      <c r="O17" s="91">
        <f t="shared" si="0"/>
        <v>364.51762780678519</v>
      </c>
      <c r="P17" s="91">
        <f t="shared" si="1"/>
        <v>6384.4892465165267</v>
      </c>
    </row>
    <row r="18" spans="2:16" ht="15" thickBot="1">
      <c r="B18" s="183" t="s">
        <v>245</v>
      </c>
      <c r="C18" s="16"/>
      <c r="D18" s="220">
        <f>D16*D12</f>
        <v>3.6004484948526136</v>
      </c>
      <c r="I18" s="183"/>
      <c r="J18" s="180" t="s">
        <v>211</v>
      </c>
      <c r="K18" s="180" t="s">
        <v>212</v>
      </c>
      <c r="N18">
        <v>13</v>
      </c>
      <c r="O18" s="91">
        <f t="shared" si="0"/>
        <v>409.99999999999949</v>
      </c>
      <c r="P18" s="91">
        <f t="shared" si="1"/>
        <v>6794.4892465165258</v>
      </c>
    </row>
    <row r="19" spans="2:16" ht="15" thickBot="1">
      <c r="I19" s="177" t="s">
        <v>226</v>
      </c>
      <c r="J19" s="177" t="s">
        <v>288</v>
      </c>
      <c r="K19" s="177" t="s">
        <v>289</v>
      </c>
      <c r="N19">
        <v>14</v>
      </c>
      <c r="O19" s="91">
        <f t="shared" si="0"/>
        <v>461.15739590268049</v>
      </c>
      <c r="P19" s="91">
        <f t="shared" si="1"/>
        <v>7255.6466424192058</v>
      </c>
    </row>
    <row r="20" spans="2:16" ht="15" thickBot="1">
      <c r="B20" s="185" t="s">
        <v>249</v>
      </c>
      <c r="C20" s="16"/>
      <c r="D20" s="186"/>
      <c r="I20" s="179" t="s">
        <v>230</v>
      </c>
      <c r="J20" s="179" t="s">
        <v>290</v>
      </c>
      <c r="K20" s="179" t="s">
        <v>291</v>
      </c>
      <c r="N20">
        <v>15</v>
      </c>
      <c r="O20" s="91">
        <f t="shared" si="0"/>
        <v>518.69791169693133</v>
      </c>
      <c r="P20" s="91">
        <f t="shared" si="1"/>
        <v>7774.3445541161373</v>
      </c>
    </row>
    <row r="21" spans="2:16" ht="15" thickBot="1">
      <c r="B21" s="177" t="s">
        <v>233</v>
      </c>
      <c r="C21" s="16"/>
      <c r="D21" s="218">
        <f>IF($D$7&lt;200, $D$7*13.4, IF($D$7&lt;500, $D$7*6.2, IF($D$7&lt;2000, $D$7*2.9, IF($D$7&gt;1999,$D$7*2.1))))</f>
        <v>21000</v>
      </c>
      <c r="F21" s="178" t="s">
        <v>204</v>
      </c>
      <c r="G21" s="178" t="s">
        <v>205</v>
      </c>
      <c r="I21" s="179" t="s">
        <v>234</v>
      </c>
      <c r="J21" s="179" t="s">
        <v>235</v>
      </c>
      <c r="K21" s="179" t="s">
        <v>292</v>
      </c>
    </row>
    <row r="22" spans="2:16" ht="15" thickBot="1">
      <c r="B22" s="179" t="s">
        <v>237</v>
      </c>
      <c r="C22" s="16"/>
      <c r="D22" s="219">
        <f>O17</f>
        <v>364.51762780678519</v>
      </c>
      <c r="F22" s="198">
        <f>D21*0.02</f>
        <v>420</v>
      </c>
      <c r="G22" s="180">
        <f>D21*0.05</f>
        <v>1050</v>
      </c>
      <c r="I22" s="179" t="s">
        <v>238</v>
      </c>
      <c r="J22" s="179" t="s">
        <v>235</v>
      </c>
      <c r="K22" s="179" t="s">
        <v>292</v>
      </c>
    </row>
    <row r="23" spans="2:16">
      <c r="B23" s="179" t="s">
        <v>241</v>
      </c>
      <c r="C23" s="16"/>
      <c r="D23" s="219">
        <f>P17</f>
        <v>6384.4892465165267</v>
      </c>
      <c r="F23" s="181"/>
      <c r="G23" s="181"/>
      <c r="I23" s="179" t="s">
        <v>242</v>
      </c>
      <c r="J23" s="179" t="s">
        <v>293</v>
      </c>
      <c r="K23" s="179" t="s">
        <v>239</v>
      </c>
    </row>
    <row r="24" spans="2:16" ht="15" thickBot="1">
      <c r="B24" s="183" t="s">
        <v>245</v>
      </c>
      <c r="C24" s="16"/>
      <c r="D24" s="220">
        <f>D22*D12</f>
        <v>7.2903525561357041</v>
      </c>
      <c r="I24" s="183" t="s">
        <v>246</v>
      </c>
      <c r="J24" s="183" t="s">
        <v>294</v>
      </c>
      <c r="K24" s="184" t="s">
        <v>290</v>
      </c>
    </row>
    <row r="25" spans="2:16" ht="18" customHeight="1" thickBot="1"/>
    <row r="26" spans="2:16" ht="15" thickBot="1">
      <c r="B26" s="185" t="s">
        <v>255</v>
      </c>
      <c r="K26" s="187"/>
    </row>
    <row r="27" spans="2:16" ht="15" thickBot="1">
      <c r="B27" s="177" t="s">
        <v>103</v>
      </c>
      <c r="D27" s="218">
        <f>D21-D7</f>
        <v>11000</v>
      </c>
      <c r="I27" s="308" t="s">
        <v>250</v>
      </c>
      <c r="J27" s="310"/>
    </row>
    <row r="28" spans="2:16">
      <c r="B28" s="179" t="s">
        <v>258</v>
      </c>
      <c r="D28" s="219">
        <f>D22-D8</f>
        <v>264.51762780678519</v>
      </c>
      <c r="I28" s="177" t="s">
        <v>226</v>
      </c>
      <c r="J28" s="188" t="s">
        <v>251</v>
      </c>
      <c r="K28" s="270">
        <f>15.2^(1/12)</f>
        <v>1.2545470849825127</v>
      </c>
    </row>
    <row r="29" spans="2:16">
      <c r="B29" s="179" t="s">
        <v>259</v>
      </c>
      <c r="D29" s="219">
        <f>D23-D9</f>
        <v>2384.4892465165267</v>
      </c>
      <c r="I29" s="179" t="s">
        <v>230</v>
      </c>
      <c r="J29" s="189" t="s">
        <v>251</v>
      </c>
      <c r="K29" s="270">
        <f>7.5^(1/12)</f>
        <v>1.1828284774935729</v>
      </c>
    </row>
    <row r="30" spans="2:16" ht="15" thickBot="1">
      <c r="B30" s="183" t="s">
        <v>260</v>
      </c>
      <c r="D30" s="220">
        <f>D24-D10</f>
        <v>5.2903525561357041</v>
      </c>
      <c r="I30" s="179" t="s">
        <v>234</v>
      </c>
      <c r="J30" s="189" t="s">
        <v>252</v>
      </c>
      <c r="K30" s="270">
        <f>5.7^(1/12)</f>
        <v>1.1560844808538808</v>
      </c>
    </row>
    <row r="31" spans="2:16">
      <c r="I31" s="179" t="s">
        <v>238</v>
      </c>
      <c r="J31" s="189" t="s">
        <v>252</v>
      </c>
      <c r="K31" s="270">
        <f>5.7^(1/12)</f>
        <v>1.1560844808538808</v>
      </c>
    </row>
    <row r="32" spans="2:16">
      <c r="I32" s="179" t="s">
        <v>242</v>
      </c>
      <c r="J32" s="189" t="s">
        <v>251</v>
      </c>
      <c r="K32" s="270">
        <f>4.1^(1/12)</f>
        <v>1.1247741363480026</v>
      </c>
    </row>
    <row r="33" spans="6:11" ht="15" thickBot="1">
      <c r="I33" s="183" t="s">
        <v>246</v>
      </c>
      <c r="J33" s="190" t="s">
        <v>253</v>
      </c>
      <c r="K33" s="270">
        <f>2.8^(1/12)</f>
        <v>1.0895901518968287</v>
      </c>
    </row>
    <row r="34" spans="6:11">
      <c r="F34" s="194"/>
      <c r="G34" s="194"/>
      <c r="I34" s="191" t="s">
        <v>254</v>
      </c>
    </row>
    <row r="35" spans="6:11">
      <c r="F35" s="195"/>
      <c r="G35" s="194"/>
      <c r="I35" s="192" t="s">
        <v>256</v>
      </c>
    </row>
    <row r="36" spans="6:11">
      <c r="F36" s="194"/>
      <c r="G36" s="196"/>
      <c r="I36" s="193" t="s">
        <v>257</v>
      </c>
    </row>
    <row r="37" spans="6:11">
      <c r="F37" s="194"/>
      <c r="G37" s="196"/>
    </row>
    <row r="38" spans="6:11">
      <c r="F38" s="194"/>
      <c r="G38" s="194"/>
    </row>
  </sheetData>
  <sheetProtection selectLockedCells="1"/>
  <mergeCells count="5">
    <mergeCell ref="I8:K8"/>
    <mergeCell ref="J9:K9"/>
    <mergeCell ref="I16:K16"/>
    <mergeCell ref="J17:K17"/>
    <mergeCell ref="I27:J27"/>
  </mergeCells>
  <conditionalFormatting sqref="F8">
    <cfRule type="cellIs" dxfId="18" priority="14" operator="lessThan">
      <formula>$D$8</formula>
    </cfRule>
    <cfRule type="cellIs" dxfId="17" priority="15" operator="greaterThan">
      <formula>$D$8</formula>
    </cfRule>
  </conditionalFormatting>
  <conditionalFormatting sqref="F16">
    <cfRule type="cellIs" dxfId="16" priority="12" operator="lessThan">
      <formula>$D$16</formula>
    </cfRule>
    <cfRule type="cellIs" dxfId="15" priority="13" operator="greaterThan">
      <formula>$D$16</formula>
    </cfRule>
  </conditionalFormatting>
  <conditionalFormatting sqref="G8">
    <cfRule type="cellIs" dxfId="14" priority="8" operator="lessThan">
      <formula>$D$8</formula>
    </cfRule>
    <cfRule type="cellIs" dxfId="13" priority="11" operator="greaterThan">
      <formula>$D$8</formula>
    </cfRule>
  </conditionalFormatting>
  <conditionalFormatting sqref="G16">
    <cfRule type="cellIs" dxfId="12" priority="7" operator="lessThan">
      <formula>$D$16</formula>
    </cfRule>
    <cfRule type="cellIs" dxfId="11" priority="10" operator="greaterThan">
      <formula>$D$16</formula>
    </cfRule>
  </conditionalFormatting>
  <conditionalFormatting sqref="G22">
    <cfRule type="cellIs" dxfId="10" priority="6" operator="lessThan">
      <formula>$D$22</formula>
    </cfRule>
    <cfRule type="cellIs" dxfId="9" priority="9" operator="greaterThan">
      <formula>$D$22</formula>
    </cfRule>
  </conditionalFormatting>
  <conditionalFormatting sqref="F22">
    <cfRule type="cellIs" dxfId="8" priority="1" operator="lessThan">
      <formula>$D$22</formula>
    </cfRule>
    <cfRule type="cellIs" dxfId="7" priority="2" operator="greaterThan">
      <formula>$D$22</formula>
    </cfRule>
    <cfRule type="cellIs" dxfId="6" priority="3" operator="lessThan">
      <formula>$D$22</formula>
    </cfRule>
    <cfRule type="cellIs" dxfId="5" priority="4" operator="greaterThan">
      <formula>$D$22</formula>
    </cfRule>
    <cfRule type="cellIs" dxfId="4" priority="5" operator="lessThan">
      <formula>$D$22</formula>
    </cfRule>
  </conditionalFormatting>
  <conditionalFormatting sqref="G36">
    <cfRule type="cellIs" dxfId="3" priority="16" operator="lessThan">
      <formula>#REF!</formula>
    </cfRule>
    <cfRule type="cellIs" dxfId="2" priority="17" operator="greaterThan">
      <formula>#REF!</formula>
    </cfRule>
  </conditionalFormatting>
  <conditionalFormatting sqref="G37">
    <cfRule type="cellIs" dxfId="1" priority="18" operator="lessThan">
      <formula>#REF!</formula>
    </cfRule>
    <cfRule type="cellIs" dxfId="0" priority="19" operator="greaterThan">
      <formula>#REF!</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F8" sqref="F8"/>
    </sheetView>
  </sheetViews>
  <sheetFormatPr baseColWidth="10" defaultColWidth="8.83203125" defaultRowHeight="14" outlineLevelRow="1" outlineLevelCol="1" x14ac:dyDescent="0"/>
  <cols>
    <col min="1" max="1" width="30.1640625" style="87" bestFit="1" customWidth="1"/>
    <col min="2" max="2" width="10.1640625" style="87" hidden="1" customWidth="1" outlineLevel="1"/>
    <col min="3" max="3" width="12.1640625" style="87" hidden="1" customWidth="1" outlineLevel="1"/>
    <col min="4" max="4" width="16.5" style="87" bestFit="1" customWidth="1" collapsed="1"/>
    <col min="5" max="5" width="10.5" style="87" hidden="1" customWidth="1" outlineLevel="1"/>
    <col min="6" max="6" width="16.5" style="87" bestFit="1" customWidth="1" collapsed="1"/>
    <col min="7" max="7" width="10.5" style="87" hidden="1" customWidth="1" outlineLevel="1"/>
    <col min="8" max="8" width="17.5" style="87" bestFit="1" customWidth="1" collapsed="1"/>
    <col min="9" max="9" width="10.5" style="87" hidden="1" customWidth="1" outlineLevel="1"/>
    <col min="10" max="10" width="8.83203125" style="87" collapsed="1"/>
    <col min="11" max="12" width="8.83203125" style="87"/>
    <col min="13" max="13" width="14.6640625" style="87" customWidth="1"/>
    <col min="14" max="14" width="16.5" style="87" customWidth="1"/>
    <col min="15" max="15" width="20" style="87" bestFit="1" customWidth="1"/>
    <col min="16" max="256" width="8.83203125" style="87"/>
    <col min="257" max="257" width="30.1640625" style="87" bestFit="1" customWidth="1"/>
    <col min="258" max="258" width="10.1640625" style="87" customWidth="1"/>
    <col min="259" max="259" width="12.1640625" style="87" customWidth="1"/>
    <col min="260" max="260" width="16.5" style="87" bestFit="1" customWidth="1"/>
    <col min="261" max="261" width="10.5" style="87" customWidth="1"/>
    <col min="262" max="262" width="16.5" style="87" bestFit="1" customWidth="1"/>
    <col min="263" max="263" width="10.5" style="87" customWidth="1"/>
    <col min="264" max="264" width="17.5" style="87" bestFit="1" customWidth="1"/>
    <col min="265" max="265" width="10.5" style="87" customWidth="1"/>
    <col min="266" max="512" width="8.83203125" style="87"/>
    <col min="513" max="513" width="30.1640625" style="87" bestFit="1" customWidth="1"/>
    <col min="514" max="514" width="10.1640625" style="87" customWidth="1"/>
    <col min="515" max="515" width="12.1640625" style="87" customWidth="1"/>
    <col min="516" max="516" width="16.5" style="87" bestFit="1" customWidth="1"/>
    <col min="517" max="517" width="10.5" style="87" customWidth="1"/>
    <col min="518" max="518" width="16.5" style="87" bestFit="1" customWidth="1"/>
    <col min="519" max="519" width="10.5" style="87" customWidth="1"/>
    <col min="520" max="520" width="17.5" style="87" bestFit="1" customWidth="1"/>
    <col min="521" max="521" width="10.5" style="87" customWidth="1"/>
    <col min="522" max="768" width="8.83203125" style="87"/>
    <col min="769" max="769" width="30.1640625" style="87" bestFit="1" customWidth="1"/>
    <col min="770" max="770" width="10.1640625" style="87" customWidth="1"/>
    <col min="771" max="771" width="12.1640625" style="87" customWidth="1"/>
    <col min="772" max="772" width="16.5" style="87" bestFit="1" customWidth="1"/>
    <col min="773" max="773" width="10.5" style="87" customWidth="1"/>
    <col min="774" max="774" width="16.5" style="87" bestFit="1" customWidth="1"/>
    <col min="775" max="775" width="10.5" style="87" customWidth="1"/>
    <col min="776" max="776" width="17.5" style="87" bestFit="1" customWidth="1"/>
    <col min="777" max="777" width="10.5" style="87" customWidth="1"/>
    <col min="778" max="1024" width="8.83203125" style="87"/>
    <col min="1025" max="1025" width="30.1640625" style="87" bestFit="1" customWidth="1"/>
    <col min="1026" max="1026" width="10.1640625" style="87" customWidth="1"/>
    <col min="1027" max="1027" width="12.1640625" style="87" customWidth="1"/>
    <col min="1028" max="1028" width="16.5" style="87" bestFit="1" customWidth="1"/>
    <col min="1029" max="1029" width="10.5" style="87" customWidth="1"/>
    <col min="1030" max="1030" width="16.5" style="87" bestFit="1" customWidth="1"/>
    <col min="1031" max="1031" width="10.5" style="87" customWidth="1"/>
    <col min="1032" max="1032" width="17.5" style="87" bestFit="1" customWidth="1"/>
    <col min="1033" max="1033" width="10.5" style="87" customWidth="1"/>
    <col min="1034" max="1280" width="8.83203125" style="87"/>
    <col min="1281" max="1281" width="30.1640625" style="87" bestFit="1" customWidth="1"/>
    <col min="1282" max="1282" width="10.1640625" style="87" customWidth="1"/>
    <col min="1283" max="1283" width="12.1640625" style="87" customWidth="1"/>
    <col min="1284" max="1284" width="16.5" style="87" bestFit="1" customWidth="1"/>
    <col min="1285" max="1285" width="10.5" style="87" customWidth="1"/>
    <col min="1286" max="1286" width="16.5" style="87" bestFit="1" customWidth="1"/>
    <col min="1287" max="1287" width="10.5" style="87" customWidth="1"/>
    <col min="1288" max="1288" width="17.5" style="87" bestFit="1" customWidth="1"/>
    <col min="1289" max="1289" width="10.5" style="87" customWidth="1"/>
    <col min="1290" max="1536" width="8.83203125" style="87"/>
    <col min="1537" max="1537" width="30.1640625" style="87" bestFit="1" customWidth="1"/>
    <col min="1538" max="1538" width="10.1640625" style="87" customWidth="1"/>
    <col min="1539" max="1539" width="12.1640625" style="87" customWidth="1"/>
    <col min="1540" max="1540" width="16.5" style="87" bestFit="1" customWidth="1"/>
    <col min="1541" max="1541" width="10.5" style="87" customWidth="1"/>
    <col min="1542" max="1542" width="16.5" style="87" bestFit="1" customWidth="1"/>
    <col min="1543" max="1543" width="10.5" style="87" customWidth="1"/>
    <col min="1544" max="1544" width="17.5" style="87" bestFit="1" customWidth="1"/>
    <col min="1545" max="1545" width="10.5" style="87" customWidth="1"/>
    <col min="1546" max="1792" width="8.83203125" style="87"/>
    <col min="1793" max="1793" width="30.1640625" style="87" bestFit="1" customWidth="1"/>
    <col min="1794" max="1794" width="10.1640625" style="87" customWidth="1"/>
    <col min="1795" max="1795" width="12.1640625" style="87" customWidth="1"/>
    <col min="1796" max="1796" width="16.5" style="87" bestFit="1" customWidth="1"/>
    <col min="1797" max="1797" width="10.5" style="87" customWidth="1"/>
    <col min="1798" max="1798" width="16.5" style="87" bestFit="1" customWidth="1"/>
    <col min="1799" max="1799" width="10.5" style="87" customWidth="1"/>
    <col min="1800" max="1800" width="17.5" style="87" bestFit="1" customWidth="1"/>
    <col min="1801" max="1801" width="10.5" style="87" customWidth="1"/>
    <col min="1802" max="2048" width="8.83203125" style="87"/>
    <col min="2049" max="2049" width="30.1640625" style="87" bestFit="1" customWidth="1"/>
    <col min="2050" max="2050" width="10.1640625" style="87" customWidth="1"/>
    <col min="2051" max="2051" width="12.1640625" style="87" customWidth="1"/>
    <col min="2052" max="2052" width="16.5" style="87" bestFit="1" customWidth="1"/>
    <col min="2053" max="2053" width="10.5" style="87" customWidth="1"/>
    <col min="2054" max="2054" width="16.5" style="87" bestFit="1" customWidth="1"/>
    <col min="2055" max="2055" width="10.5" style="87" customWidth="1"/>
    <col min="2056" max="2056" width="17.5" style="87" bestFit="1" customWidth="1"/>
    <col min="2057" max="2057" width="10.5" style="87" customWidth="1"/>
    <col min="2058" max="2304" width="8.83203125" style="87"/>
    <col min="2305" max="2305" width="30.1640625" style="87" bestFit="1" customWidth="1"/>
    <col min="2306" max="2306" width="10.1640625" style="87" customWidth="1"/>
    <col min="2307" max="2307" width="12.1640625" style="87" customWidth="1"/>
    <col min="2308" max="2308" width="16.5" style="87" bestFit="1" customWidth="1"/>
    <col min="2309" max="2309" width="10.5" style="87" customWidth="1"/>
    <col min="2310" max="2310" width="16.5" style="87" bestFit="1" customWidth="1"/>
    <col min="2311" max="2311" width="10.5" style="87" customWidth="1"/>
    <col min="2312" max="2312" width="17.5" style="87" bestFit="1" customWidth="1"/>
    <col min="2313" max="2313" width="10.5" style="87" customWidth="1"/>
    <col min="2314" max="2560" width="8.83203125" style="87"/>
    <col min="2561" max="2561" width="30.1640625" style="87" bestFit="1" customWidth="1"/>
    <col min="2562" max="2562" width="10.1640625" style="87" customWidth="1"/>
    <col min="2563" max="2563" width="12.1640625" style="87" customWidth="1"/>
    <col min="2564" max="2564" width="16.5" style="87" bestFit="1" customWidth="1"/>
    <col min="2565" max="2565" width="10.5" style="87" customWidth="1"/>
    <col min="2566" max="2566" width="16.5" style="87" bestFit="1" customWidth="1"/>
    <col min="2567" max="2567" width="10.5" style="87" customWidth="1"/>
    <col min="2568" max="2568" width="17.5" style="87" bestFit="1" customWidth="1"/>
    <col min="2569" max="2569" width="10.5" style="87" customWidth="1"/>
    <col min="2570" max="2816" width="8.83203125" style="87"/>
    <col min="2817" max="2817" width="30.1640625" style="87" bestFit="1" customWidth="1"/>
    <col min="2818" max="2818" width="10.1640625" style="87" customWidth="1"/>
    <col min="2819" max="2819" width="12.1640625" style="87" customWidth="1"/>
    <col min="2820" max="2820" width="16.5" style="87" bestFit="1" customWidth="1"/>
    <col min="2821" max="2821" width="10.5" style="87" customWidth="1"/>
    <col min="2822" max="2822" width="16.5" style="87" bestFit="1" customWidth="1"/>
    <col min="2823" max="2823" width="10.5" style="87" customWidth="1"/>
    <col min="2824" max="2824" width="17.5" style="87" bestFit="1" customWidth="1"/>
    <col min="2825" max="2825" width="10.5" style="87" customWidth="1"/>
    <col min="2826" max="3072" width="8.83203125" style="87"/>
    <col min="3073" max="3073" width="30.1640625" style="87" bestFit="1" customWidth="1"/>
    <col min="3074" max="3074" width="10.1640625" style="87" customWidth="1"/>
    <col min="3075" max="3075" width="12.1640625" style="87" customWidth="1"/>
    <col min="3076" max="3076" width="16.5" style="87" bestFit="1" customWidth="1"/>
    <col min="3077" max="3077" width="10.5" style="87" customWidth="1"/>
    <col min="3078" max="3078" width="16.5" style="87" bestFit="1" customWidth="1"/>
    <col min="3079" max="3079" width="10.5" style="87" customWidth="1"/>
    <col min="3080" max="3080" width="17.5" style="87" bestFit="1" customWidth="1"/>
    <col min="3081" max="3081" width="10.5" style="87" customWidth="1"/>
    <col min="3082" max="3328" width="8.83203125" style="87"/>
    <col min="3329" max="3329" width="30.1640625" style="87" bestFit="1" customWidth="1"/>
    <col min="3330" max="3330" width="10.1640625" style="87" customWidth="1"/>
    <col min="3331" max="3331" width="12.1640625" style="87" customWidth="1"/>
    <col min="3332" max="3332" width="16.5" style="87" bestFit="1" customWidth="1"/>
    <col min="3333" max="3333" width="10.5" style="87" customWidth="1"/>
    <col min="3334" max="3334" width="16.5" style="87" bestFit="1" customWidth="1"/>
    <col min="3335" max="3335" width="10.5" style="87" customWidth="1"/>
    <col min="3336" max="3336" width="17.5" style="87" bestFit="1" customWidth="1"/>
    <col min="3337" max="3337" width="10.5" style="87" customWidth="1"/>
    <col min="3338" max="3584" width="8.83203125" style="87"/>
    <col min="3585" max="3585" width="30.1640625" style="87" bestFit="1" customWidth="1"/>
    <col min="3586" max="3586" width="10.1640625" style="87" customWidth="1"/>
    <col min="3587" max="3587" width="12.1640625" style="87" customWidth="1"/>
    <col min="3588" max="3588" width="16.5" style="87" bestFit="1" customWidth="1"/>
    <col min="3589" max="3589" width="10.5" style="87" customWidth="1"/>
    <col min="3590" max="3590" width="16.5" style="87" bestFit="1" customWidth="1"/>
    <col min="3591" max="3591" width="10.5" style="87" customWidth="1"/>
    <col min="3592" max="3592" width="17.5" style="87" bestFit="1" customWidth="1"/>
    <col min="3593" max="3593" width="10.5" style="87" customWidth="1"/>
    <col min="3594" max="3840" width="8.83203125" style="87"/>
    <col min="3841" max="3841" width="30.1640625" style="87" bestFit="1" customWidth="1"/>
    <col min="3842" max="3842" width="10.1640625" style="87" customWidth="1"/>
    <col min="3843" max="3843" width="12.1640625" style="87" customWidth="1"/>
    <col min="3844" max="3844" width="16.5" style="87" bestFit="1" customWidth="1"/>
    <col min="3845" max="3845" width="10.5" style="87" customWidth="1"/>
    <col min="3846" max="3846" width="16.5" style="87" bestFit="1" customWidth="1"/>
    <col min="3847" max="3847" width="10.5" style="87" customWidth="1"/>
    <col min="3848" max="3848" width="17.5" style="87" bestFit="1" customWidth="1"/>
    <col min="3849" max="3849" width="10.5" style="87" customWidth="1"/>
    <col min="3850" max="4096" width="8.83203125" style="87"/>
    <col min="4097" max="4097" width="30.1640625" style="87" bestFit="1" customWidth="1"/>
    <col min="4098" max="4098" width="10.1640625" style="87" customWidth="1"/>
    <col min="4099" max="4099" width="12.1640625" style="87" customWidth="1"/>
    <col min="4100" max="4100" width="16.5" style="87" bestFit="1" customWidth="1"/>
    <col min="4101" max="4101" width="10.5" style="87" customWidth="1"/>
    <col min="4102" max="4102" width="16.5" style="87" bestFit="1" customWidth="1"/>
    <col min="4103" max="4103" width="10.5" style="87" customWidth="1"/>
    <col min="4104" max="4104" width="17.5" style="87" bestFit="1" customWidth="1"/>
    <col min="4105" max="4105" width="10.5" style="87" customWidth="1"/>
    <col min="4106" max="4352" width="8.83203125" style="87"/>
    <col min="4353" max="4353" width="30.1640625" style="87" bestFit="1" customWidth="1"/>
    <col min="4354" max="4354" width="10.1640625" style="87" customWidth="1"/>
    <col min="4355" max="4355" width="12.1640625" style="87" customWidth="1"/>
    <col min="4356" max="4356" width="16.5" style="87" bestFit="1" customWidth="1"/>
    <col min="4357" max="4357" width="10.5" style="87" customWidth="1"/>
    <col min="4358" max="4358" width="16.5" style="87" bestFit="1" customWidth="1"/>
    <col min="4359" max="4359" width="10.5" style="87" customWidth="1"/>
    <col min="4360" max="4360" width="17.5" style="87" bestFit="1" customWidth="1"/>
    <col min="4361" max="4361" width="10.5" style="87" customWidth="1"/>
    <col min="4362" max="4608" width="8.83203125" style="87"/>
    <col min="4609" max="4609" width="30.1640625" style="87" bestFit="1" customWidth="1"/>
    <col min="4610" max="4610" width="10.1640625" style="87" customWidth="1"/>
    <col min="4611" max="4611" width="12.1640625" style="87" customWidth="1"/>
    <col min="4612" max="4612" width="16.5" style="87" bestFit="1" customWidth="1"/>
    <col min="4613" max="4613" width="10.5" style="87" customWidth="1"/>
    <col min="4614" max="4614" width="16.5" style="87" bestFit="1" customWidth="1"/>
    <col min="4615" max="4615" width="10.5" style="87" customWidth="1"/>
    <col min="4616" max="4616" width="17.5" style="87" bestFit="1" customWidth="1"/>
    <col min="4617" max="4617" width="10.5" style="87" customWidth="1"/>
    <col min="4618" max="4864" width="8.83203125" style="87"/>
    <col min="4865" max="4865" width="30.1640625" style="87" bestFit="1" customWidth="1"/>
    <col min="4866" max="4866" width="10.1640625" style="87" customWidth="1"/>
    <col min="4867" max="4867" width="12.1640625" style="87" customWidth="1"/>
    <col min="4868" max="4868" width="16.5" style="87" bestFit="1" customWidth="1"/>
    <col min="4869" max="4869" width="10.5" style="87" customWidth="1"/>
    <col min="4870" max="4870" width="16.5" style="87" bestFit="1" customWidth="1"/>
    <col min="4871" max="4871" width="10.5" style="87" customWidth="1"/>
    <col min="4872" max="4872" width="17.5" style="87" bestFit="1" customWidth="1"/>
    <col min="4873" max="4873" width="10.5" style="87" customWidth="1"/>
    <col min="4874" max="5120" width="8.83203125" style="87"/>
    <col min="5121" max="5121" width="30.1640625" style="87" bestFit="1" customWidth="1"/>
    <col min="5122" max="5122" width="10.1640625" style="87" customWidth="1"/>
    <col min="5123" max="5123" width="12.1640625" style="87" customWidth="1"/>
    <col min="5124" max="5124" width="16.5" style="87" bestFit="1" customWidth="1"/>
    <col min="5125" max="5125" width="10.5" style="87" customWidth="1"/>
    <col min="5126" max="5126" width="16.5" style="87" bestFit="1" customWidth="1"/>
    <col min="5127" max="5127" width="10.5" style="87" customWidth="1"/>
    <col min="5128" max="5128" width="17.5" style="87" bestFit="1" customWidth="1"/>
    <col min="5129" max="5129" width="10.5" style="87" customWidth="1"/>
    <col min="5130" max="5376" width="8.83203125" style="87"/>
    <col min="5377" max="5377" width="30.1640625" style="87" bestFit="1" customWidth="1"/>
    <col min="5378" max="5378" width="10.1640625" style="87" customWidth="1"/>
    <col min="5379" max="5379" width="12.1640625" style="87" customWidth="1"/>
    <col min="5380" max="5380" width="16.5" style="87" bestFit="1" customWidth="1"/>
    <col min="5381" max="5381" width="10.5" style="87" customWidth="1"/>
    <col min="5382" max="5382" width="16.5" style="87" bestFit="1" customWidth="1"/>
    <col min="5383" max="5383" width="10.5" style="87" customWidth="1"/>
    <col min="5384" max="5384" width="17.5" style="87" bestFit="1" customWidth="1"/>
    <col min="5385" max="5385" width="10.5" style="87" customWidth="1"/>
    <col min="5386" max="5632" width="8.83203125" style="87"/>
    <col min="5633" max="5633" width="30.1640625" style="87" bestFit="1" customWidth="1"/>
    <col min="5634" max="5634" width="10.1640625" style="87" customWidth="1"/>
    <col min="5635" max="5635" width="12.1640625" style="87" customWidth="1"/>
    <col min="5636" max="5636" width="16.5" style="87" bestFit="1" customWidth="1"/>
    <col min="5637" max="5637" width="10.5" style="87" customWidth="1"/>
    <col min="5638" max="5638" width="16.5" style="87" bestFit="1" customWidth="1"/>
    <col min="5639" max="5639" width="10.5" style="87" customWidth="1"/>
    <col min="5640" max="5640" width="17.5" style="87" bestFit="1" customWidth="1"/>
    <col min="5641" max="5641" width="10.5" style="87" customWidth="1"/>
    <col min="5642" max="5888" width="8.83203125" style="87"/>
    <col min="5889" max="5889" width="30.1640625" style="87" bestFit="1" customWidth="1"/>
    <col min="5890" max="5890" width="10.1640625" style="87" customWidth="1"/>
    <col min="5891" max="5891" width="12.1640625" style="87" customWidth="1"/>
    <col min="5892" max="5892" width="16.5" style="87" bestFit="1" customWidth="1"/>
    <col min="5893" max="5893" width="10.5" style="87" customWidth="1"/>
    <col min="5894" max="5894" width="16.5" style="87" bestFit="1" customWidth="1"/>
    <col min="5895" max="5895" width="10.5" style="87" customWidth="1"/>
    <col min="5896" max="5896" width="17.5" style="87" bestFit="1" customWidth="1"/>
    <col min="5897" max="5897" width="10.5" style="87" customWidth="1"/>
    <col min="5898" max="6144" width="8.83203125" style="87"/>
    <col min="6145" max="6145" width="30.1640625" style="87" bestFit="1" customWidth="1"/>
    <col min="6146" max="6146" width="10.1640625" style="87" customWidth="1"/>
    <col min="6147" max="6147" width="12.1640625" style="87" customWidth="1"/>
    <col min="6148" max="6148" width="16.5" style="87" bestFit="1" customWidth="1"/>
    <col min="6149" max="6149" width="10.5" style="87" customWidth="1"/>
    <col min="6150" max="6150" width="16.5" style="87" bestFit="1" customWidth="1"/>
    <col min="6151" max="6151" width="10.5" style="87" customWidth="1"/>
    <col min="6152" max="6152" width="17.5" style="87" bestFit="1" customWidth="1"/>
    <col min="6153" max="6153" width="10.5" style="87" customWidth="1"/>
    <col min="6154" max="6400" width="8.83203125" style="87"/>
    <col min="6401" max="6401" width="30.1640625" style="87" bestFit="1" customWidth="1"/>
    <col min="6402" max="6402" width="10.1640625" style="87" customWidth="1"/>
    <col min="6403" max="6403" width="12.1640625" style="87" customWidth="1"/>
    <col min="6404" max="6404" width="16.5" style="87" bestFit="1" customWidth="1"/>
    <col min="6405" max="6405" width="10.5" style="87" customWidth="1"/>
    <col min="6406" max="6406" width="16.5" style="87" bestFit="1" customWidth="1"/>
    <col min="6407" max="6407" width="10.5" style="87" customWidth="1"/>
    <col min="6408" max="6408" width="17.5" style="87" bestFit="1" customWidth="1"/>
    <col min="6409" max="6409" width="10.5" style="87" customWidth="1"/>
    <col min="6410" max="6656" width="8.83203125" style="87"/>
    <col min="6657" max="6657" width="30.1640625" style="87" bestFit="1" customWidth="1"/>
    <col min="6658" max="6658" width="10.1640625" style="87" customWidth="1"/>
    <col min="6659" max="6659" width="12.1640625" style="87" customWidth="1"/>
    <col min="6660" max="6660" width="16.5" style="87" bestFit="1" customWidth="1"/>
    <col min="6661" max="6661" width="10.5" style="87" customWidth="1"/>
    <col min="6662" max="6662" width="16.5" style="87" bestFit="1" customWidth="1"/>
    <col min="6663" max="6663" width="10.5" style="87" customWidth="1"/>
    <col min="6664" max="6664" width="17.5" style="87" bestFit="1" customWidth="1"/>
    <col min="6665" max="6665" width="10.5" style="87" customWidth="1"/>
    <col min="6666" max="6912" width="8.83203125" style="87"/>
    <col min="6913" max="6913" width="30.1640625" style="87" bestFit="1" customWidth="1"/>
    <col min="6914" max="6914" width="10.1640625" style="87" customWidth="1"/>
    <col min="6915" max="6915" width="12.1640625" style="87" customWidth="1"/>
    <col min="6916" max="6916" width="16.5" style="87" bestFit="1" customWidth="1"/>
    <col min="6917" max="6917" width="10.5" style="87" customWidth="1"/>
    <col min="6918" max="6918" width="16.5" style="87" bestFit="1" customWidth="1"/>
    <col min="6919" max="6919" width="10.5" style="87" customWidth="1"/>
    <col min="6920" max="6920" width="17.5" style="87" bestFit="1" customWidth="1"/>
    <col min="6921" max="6921" width="10.5" style="87" customWidth="1"/>
    <col min="6922" max="7168" width="8.83203125" style="87"/>
    <col min="7169" max="7169" width="30.1640625" style="87" bestFit="1" customWidth="1"/>
    <col min="7170" max="7170" width="10.1640625" style="87" customWidth="1"/>
    <col min="7171" max="7171" width="12.1640625" style="87" customWidth="1"/>
    <col min="7172" max="7172" width="16.5" style="87" bestFit="1" customWidth="1"/>
    <col min="7173" max="7173" width="10.5" style="87" customWidth="1"/>
    <col min="7174" max="7174" width="16.5" style="87" bestFit="1" customWidth="1"/>
    <col min="7175" max="7175" width="10.5" style="87" customWidth="1"/>
    <col min="7176" max="7176" width="17.5" style="87" bestFit="1" customWidth="1"/>
    <col min="7177" max="7177" width="10.5" style="87" customWidth="1"/>
    <col min="7178" max="7424" width="8.83203125" style="87"/>
    <col min="7425" max="7425" width="30.1640625" style="87" bestFit="1" customWidth="1"/>
    <col min="7426" max="7426" width="10.1640625" style="87" customWidth="1"/>
    <col min="7427" max="7427" width="12.1640625" style="87" customWidth="1"/>
    <col min="7428" max="7428" width="16.5" style="87" bestFit="1" customWidth="1"/>
    <col min="7429" max="7429" width="10.5" style="87" customWidth="1"/>
    <col min="7430" max="7430" width="16.5" style="87" bestFit="1" customWidth="1"/>
    <col min="7431" max="7431" width="10.5" style="87" customWidth="1"/>
    <col min="7432" max="7432" width="17.5" style="87" bestFit="1" customWidth="1"/>
    <col min="7433" max="7433" width="10.5" style="87" customWidth="1"/>
    <col min="7434" max="7680" width="8.83203125" style="87"/>
    <col min="7681" max="7681" width="30.1640625" style="87" bestFit="1" customWidth="1"/>
    <col min="7682" max="7682" width="10.1640625" style="87" customWidth="1"/>
    <col min="7683" max="7683" width="12.1640625" style="87" customWidth="1"/>
    <col min="7684" max="7684" width="16.5" style="87" bestFit="1" customWidth="1"/>
    <col min="7685" max="7685" width="10.5" style="87" customWidth="1"/>
    <col min="7686" max="7686" width="16.5" style="87" bestFit="1" customWidth="1"/>
    <col min="7687" max="7687" width="10.5" style="87" customWidth="1"/>
    <col min="7688" max="7688" width="17.5" style="87" bestFit="1" customWidth="1"/>
    <col min="7689" max="7689" width="10.5" style="87" customWidth="1"/>
    <col min="7690" max="7936" width="8.83203125" style="87"/>
    <col min="7937" max="7937" width="30.1640625" style="87" bestFit="1" customWidth="1"/>
    <col min="7938" max="7938" width="10.1640625" style="87" customWidth="1"/>
    <col min="7939" max="7939" width="12.1640625" style="87" customWidth="1"/>
    <col min="7940" max="7940" width="16.5" style="87" bestFit="1" customWidth="1"/>
    <col min="7941" max="7941" width="10.5" style="87" customWidth="1"/>
    <col min="7942" max="7942" width="16.5" style="87" bestFit="1" customWidth="1"/>
    <col min="7943" max="7943" width="10.5" style="87" customWidth="1"/>
    <col min="7944" max="7944" width="17.5" style="87" bestFit="1" customWidth="1"/>
    <col min="7945" max="7945" width="10.5" style="87" customWidth="1"/>
    <col min="7946" max="8192" width="8.83203125" style="87"/>
    <col min="8193" max="8193" width="30.1640625" style="87" bestFit="1" customWidth="1"/>
    <col min="8194" max="8194" width="10.1640625" style="87" customWidth="1"/>
    <col min="8195" max="8195" width="12.1640625" style="87" customWidth="1"/>
    <col min="8196" max="8196" width="16.5" style="87" bestFit="1" customWidth="1"/>
    <col min="8197" max="8197" width="10.5" style="87" customWidth="1"/>
    <col min="8198" max="8198" width="16.5" style="87" bestFit="1" customWidth="1"/>
    <col min="8199" max="8199" width="10.5" style="87" customWidth="1"/>
    <col min="8200" max="8200" width="17.5" style="87" bestFit="1" customWidth="1"/>
    <col min="8201" max="8201" width="10.5" style="87" customWidth="1"/>
    <col min="8202" max="8448" width="8.83203125" style="87"/>
    <col min="8449" max="8449" width="30.1640625" style="87" bestFit="1" customWidth="1"/>
    <col min="8450" max="8450" width="10.1640625" style="87" customWidth="1"/>
    <col min="8451" max="8451" width="12.1640625" style="87" customWidth="1"/>
    <col min="8452" max="8452" width="16.5" style="87" bestFit="1" customWidth="1"/>
    <col min="8453" max="8453" width="10.5" style="87" customWidth="1"/>
    <col min="8454" max="8454" width="16.5" style="87" bestFit="1" customWidth="1"/>
    <col min="8455" max="8455" width="10.5" style="87" customWidth="1"/>
    <col min="8456" max="8456" width="17.5" style="87" bestFit="1" customWidth="1"/>
    <col min="8457" max="8457" width="10.5" style="87" customWidth="1"/>
    <col min="8458" max="8704" width="8.83203125" style="87"/>
    <col min="8705" max="8705" width="30.1640625" style="87" bestFit="1" customWidth="1"/>
    <col min="8706" max="8706" width="10.1640625" style="87" customWidth="1"/>
    <col min="8707" max="8707" width="12.1640625" style="87" customWidth="1"/>
    <col min="8708" max="8708" width="16.5" style="87" bestFit="1" customWidth="1"/>
    <col min="8709" max="8709" width="10.5" style="87" customWidth="1"/>
    <col min="8710" max="8710" width="16.5" style="87" bestFit="1" customWidth="1"/>
    <col min="8711" max="8711" width="10.5" style="87" customWidth="1"/>
    <col min="8712" max="8712" width="17.5" style="87" bestFit="1" customWidth="1"/>
    <col min="8713" max="8713" width="10.5" style="87" customWidth="1"/>
    <col min="8714" max="8960" width="8.83203125" style="87"/>
    <col min="8961" max="8961" width="30.1640625" style="87" bestFit="1" customWidth="1"/>
    <col min="8962" max="8962" width="10.1640625" style="87" customWidth="1"/>
    <col min="8963" max="8963" width="12.1640625" style="87" customWidth="1"/>
    <col min="8964" max="8964" width="16.5" style="87" bestFit="1" customWidth="1"/>
    <col min="8965" max="8965" width="10.5" style="87" customWidth="1"/>
    <col min="8966" max="8966" width="16.5" style="87" bestFit="1" customWidth="1"/>
    <col min="8967" max="8967" width="10.5" style="87" customWidth="1"/>
    <col min="8968" max="8968" width="17.5" style="87" bestFit="1" customWidth="1"/>
    <col min="8969" max="8969" width="10.5" style="87" customWidth="1"/>
    <col min="8970" max="9216" width="8.83203125" style="87"/>
    <col min="9217" max="9217" width="30.1640625" style="87" bestFit="1" customWidth="1"/>
    <col min="9218" max="9218" width="10.1640625" style="87" customWidth="1"/>
    <col min="9219" max="9219" width="12.1640625" style="87" customWidth="1"/>
    <col min="9220" max="9220" width="16.5" style="87" bestFit="1" customWidth="1"/>
    <col min="9221" max="9221" width="10.5" style="87" customWidth="1"/>
    <col min="9222" max="9222" width="16.5" style="87" bestFit="1" customWidth="1"/>
    <col min="9223" max="9223" width="10.5" style="87" customWidth="1"/>
    <col min="9224" max="9224" width="17.5" style="87" bestFit="1" customWidth="1"/>
    <col min="9225" max="9225" width="10.5" style="87" customWidth="1"/>
    <col min="9226" max="9472" width="8.83203125" style="87"/>
    <col min="9473" max="9473" width="30.1640625" style="87" bestFit="1" customWidth="1"/>
    <col min="9474" max="9474" width="10.1640625" style="87" customWidth="1"/>
    <col min="9475" max="9475" width="12.1640625" style="87" customWidth="1"/>
    <col min="9476" max="9476" width="16.5" style="87" bestFit="1" customWidth="1"/>
    <col min="9477" max="9477" width="10.5" style="87" customWidth="1"/>
    <col min="9478" max="9478" width="16.5" style="87" bestFit="1" customWidth="1"/>
    <col min="9479" max="9479" width="10.5" style="87" customWidth="1"/>
    <col min="9480" max="9480" width="17.5" style="87" bestFit="1" customWidth="1"/>
    <col min="9481" max="9481" width="10.5" style="87" customWidth="1"/>
    <col min="9482" max="9728" width="8.83203125" style="87"/>
    <col min="9729" max="9729" width="30.1640625" style="87" bestFit="1" customWidth="1"/>
    <col min="9730" max="9730" width="10.1640625" style="87" customWidth="1"/>
    <col min="9731" max="9731" width="12.1640625" style="87" customWidth="1"/>
    <col min="9732" max="9732" width="16.5" style="87" bestFit="1" customWidth="1"/>
    <col min="9733" max="9733" width="10.5" style="87" customWidth="1"/>
    <col min="9734" max="9734" width="16.5" style="87" bestFit="1" customWidth="1"/>
    <col min="9735" max="9735" width="10.5" style="87" customWidth="1"/>
    <col min="9736" max="9736" width="17.5" style="87" bestFit="1" customWidth="1"/>
    <col min="9737" max="9737" width="10.5" style="87" customWidth="1"/>
    <col min="9738" max="9984" width="8.83203125" style="87"/>
    <col min="9985" max="9985" width="30.1640625" style="87" bestFit="1" customWidth="1"/>
    <col min="9986" max="9986" width="10.1640625" style="87" customWidth="1"/>
    <col min="9987" max="9987" width="12.1640625" style="87" customWidth="1"/>
    <col min="9988" max="9988" width="16.5" style="87" bestFit="1" customWidth="1"/>
    <col min="9989" max="9989" width="10.5" style="87" customWidth="1"/>
    <col min="9990" max="9990" width="16.5" style="87" bestFit="1" customWidth="1"/>
    <col min="9991" max="9991" width="10.5" style="87" customWidth="1"/>
    <col min="9992" max="9992" width="17.5" style="87" bestFit="1" customWidth="1"/>
    <col min="9993" max="9993" width="10.5" style="87" customWidth="1"/>
    <col min="9994" max="10240" width="8.83203125" style="87"/>
    <col min="10241" max="10241" width="30.1640625" style="87" bestFit="1" customWidth="1"/>
    <col min="10242" max="10242" width="10.1640625" style="87" customWidth="1"/>
    <col min="10243" max="10243" width="12.1640625" style="87" customWidth="1"/>
    <col min="10244" max="10244" width="16.5" style="87" bestFit="1" customWidth="1"/>
    <col min="10245" max="10245" width="10.5" style="87" customWidth="1"/>
    <col min="10246" max="10246" width="16.5" style="87" bestFit="1" customWidth="1"/>
    <col min="10247" max="10247" width="10.5" style="87" customWidth="1"/>
    <col min="10248" max="10248" width="17.5" style="87" bestFit="1" customWidth="1"/>
    <col min="10249" max="10249" width="10.5" style="87" customWidth="1"/>
    <col min="10250" max="10496" width="8.83203125" style="87"/>
    <col min="10497" max="10497" width="30.1640625" style="87" bestFit="1" customWidth="1"/>
    <col min="10498" max="10498" width="10.1640625" style="87" customWidth="1"/>
    <col min="10499" max="10499" width="12.1640625" style="87" customWidth="1"/>
    <col min="10500" max="10500" width="16.5" style="87" bestFit="1" customWidth="1"/>
    <col min="10501" max="10501" width="10.5" style="87" customWidth="1"/>
    <col min="10502" max="10502" width="16.5" style="87" bestFit="1" customWidth="1"/>
    <col min="10503" max="10503" width="10.5" style="87" customWidth="1"/>
    <col min="10504" max="10504" width="17.5" style="87" bestFit="1" customWidth="1"/>
    <col min="10505" max="10505" width="10.5" style="87" customWidth="1"/>
    <col min="10506" max="10752" width="8.83203125" style="87"/>
    <col min="10753" max="10753" width="30.1640625" style="87" bestFit="1" customWidth="1"/>
    <col min="10754" max="10754" width="10.1640625" style="87" customWidth="1"/>
    <col min="10755" max="10755" width="12.1640625" style="87" customWidth="1"/>
    <col min="10756" max="10756" width="16.5" style="87" bestFit="1" customWidth="1"/>
    <col min="10757" max="10757" width="10.5" style="87" customWidth="1"/>
    <col min="10758" max="10758" width="16.5" style="87" bestFit="1" customWidth="1"/>
    <col min="10759" max="10759" width="10.5" style="87" customWidth="1"/>
    <col min="10760" max="10760" width="17.5" style="87" bestFit="1" customWidth="1"/>
    <col min="10761" max="10761" width="10.5" style="87" customWidth="1"/>
    <col min="10762" max="11008" width="8.83203125" style="87"/>
    <col min="11009" max="11009" width="30.1640625" style="87" bestFit="1" customWidth="1"/>
    <col min="11010" max="11010" width="10.1640625" style="87" customWidth="1"/>
    <col min="11011" max="11011" width="12.1640625" style="87" customWidth="1"/>
    <col min="11012" max="11012" width="16.5" style="87" bestFit="1" customWidth="1"/>
    <col min="11013" max="11013" width="10.5" style="87" customWidth="1"/>
    <col min="11014" max="11014" width="16.5" style="87" bestFit="1" customWidth="1"/>
    <col min="11015" max="11015" width="10.5" style="87" customWidth="1"/>
    <col min="11016" max="11016" width="17.5" style="87" bestFit="1" customWidth="1"/>
    <col min="11017" max="11017" width="10.5" style="87" customWidth="1"/>
    <col min="11018" max="11264" width="8.83203125" style="87"/>
    <col min="11265" max="11265" width="30.1640625" style="87" bestFit="1" customWidth="1"/>
    <col min="11266" max="11266" width="10.1640625" style="87" customWidth="1"/>
    <col min="11267" max="11267" width="12.1640625" style="87" customWidth="1"/>
    <col min="11268" max="11268" width="16.5" style="87" bestFit="1" customWidth="1"/>
    <col min="11269" max="11269" width="10.5" style="87" customWidth="1"/>
    <col min="11270" max="11270" width="16.5" style="87" bestFit="1" customWidth="1"/>
    <col min="11271" max="11271" width="10.5" style="87" customWidth="1"/>
    <col min="11272" max="11272" width="17.5" style="87" bestFit="1" customWidth="1"/>
    <col min="11273" max="11273" width="10.5" style="87" customWidth="1"/>
    <col min="11274" max="11520" width="8.83203125" style="87"/>
    <col min="11521" max="11521" width="30.1640625" style="87" bestFit="1" customWidth="1"/>
    <col min="11522" max="11522" width="10.1640625" style="87" customWidth="1"/>
    <col min="11523" max="11523" width="12.1640625" style="87" customWidth="1"/>
    <col min="11524" max="11524" width="16.5" style="87" bestFit="1" customWidth="1"/>
    <col min="11525" max="11525" width="10.5" style="87" customWidth="1"/>
    <col min="11526" max="11526" width="16.5" style="87" bestFit="1" customWidth="1"/>
    <col min="11527" max="11527" width="10.5" style="87" customWidth="1"/>
    <col min="11528" max="11528" width="17.5" style="87" bestFit="1" customWidth="1"/>
    <col min="11529" max="11529" width="10.5" style="87" customWidth="1"/>
    <col min="11530" max="11776" width="8.83203125" style="87"/>
    <col min="11777" max="11777" width="30.1640625" style="87" bestFit="1" customWidth="1"/>
    <col min="11778" max="11778" width="10.1640625" style="87" customWidth="1"/>
    <col min="11779" max="11779" width="12.1640625" style="87" customWidth="1"/>
    <col min="11780" max="11780" width="16.5" style="87" bestFit="1" customWidth="1"/>
    <col min="11781" max="11781" width="10.5" style="87" customWidth="1"/>
    <col min="11782" max="11782" width="16.5" style="87" bestFit="1" customWidth="1"/>
    <col min="11783" max="11783" width="10.5" style="87" customWidth="1"/>
    <col min="11784" max="11784" width="17.5" style="87" bestFit="1" customWidth="1"/>
    <col min="11785" max="11785" width="10.5" style="87" customWidth="1"/>
    <col min="11786" max="12032" width="8.83203125" style="87"/>
    <col min="12033" max="12033" width="30.1640625" style="87" bestFit="1" customWidth="1"/>
    <col min="12034" max="12034" width="10.1640625" style="87" customWidth="1"/>
    <col min="12035" max="12035" width="12.1640625" style="87" customWidth="1"/>
    <col min="12036" max="12036" width="16.5" style="87" bestFit="1" customWidth="1"/>
    <col min="12037" max="12037" width="10.5" style="87" customWidth="1"/>
    <col min="12038" max="12038" width="16.5" style="87" bestFit="1" customWidth="1"/>
    <col min="12039" max="12039" width="10.5" style="87" customWidth="1"/>
    <col min="12040" max="12040" width="17.5" style="87" bestFit="1" customWidth="1"/>
    <col min="12041" max="12041" width="10.5" style="87" customWidth="1"/>
    <col min="12042" max="12288" width="8.83203125" style="87"/>
    <col min="12289" max="12289" width="30.1640625" style="87" bestFit="1" customWidth="1"/>
    <col min="12290" max="12290" width="10.1640625" style="87" customWidth="1"/>
    <col min="12291" max="12291" width="12.1640625" style="87" customWidth="1"/>
    <col min="12292" max="12292" width="16.5" style="87" bestFit="1" customWidth="1"/>
    <col min="12293" max="12293" width="10.5" style="87" customWidth="1"/>
    <col min="12294" max="12294" width="16.5" style="87" bestFit="1" customWidth="1"/>
    <col min="12295" max="12295" width="10.5" style="87" customWidth="1"/>
    <col min="12296" max="12296" width="17.5" style="87" bestFit="1" customWidth="1"/>
    <col min="12297" max="12297" width="10.5" style="87" customWidth="1"/>
    <col min="12298" max="12544" width="8.83203125" style="87"/>
    <col min="12545" max="12545" width="30.1640625" style="87" bestFit="1" customWidth="1"/>
    <col min="12546" max="12546" width="10.1640625" style="87" customWidth="1"/>
    <col min="12547" max="12547" width="12.1640625" style="87" customWidth="1"/>
    <col min="12548" max="12548" width="16.5" style="87" bestFit="1" customWidth="1"/>
    <col min="12549" max="12549" width="10.5" style="87" customWidth="1"/>
    <col min="12550" max="12550" width="16.5" style="87" bestFit="1" customWidth="1"/>
    <col min="12551" max="12551" width="10.5" style="87" customWidth="1"/>
    <col min="12552" max="12552" width="17.5" style="87" bestFit="1" customWidth="1"/>
    <col min="12553" max="12553" width="10.5" style="87" customWidth="1"/>
    <col min="12554" max="12800" width="8.83203125" style="87"/>
    <col min="12801" max="12801" width="30.1640625" style="87" bestFit="1" customWidth="1"/>
    <col min="12802" max="12802" width="10.1640625" style="87" customWidth="1"/>
    <col min="12803" max="12803" width="12.1640625" style="87" customWidth="1"/>
    <col min="12804" max="12804" width="16.5" style="87" bestFit="1" customWidth="1"/>
    <col min="12805" max="12805" width="10.5" style="87" customWidth="1"/>
    <col min="12806" max="12806" width="16.5" style="87" bestFit="1" customWidth="1"/>
    <col min="12807" max="12807" width="10.5" style="87" customWidth="1"/>
    <col min="12808" max="12808" width="17.5" style="87" bestFit="1" customWidth="1"/>
    <col min="12809" max="12809" width="10.5" style="87" customWidth="1"/>
    <col min="12810" max="13056" width="8.83203125" style="87"/>
    <col min="13057" max="13057" width="30.1640625" style="87" bestFit="1" customWidth="1"/>
    <col min="13058" max="13058" width="10.1640625" style="87" customWidth="1"/>
    <col min="13059" max="13059" width="12.1640625" style="87" customWidth="1"/>
    <col min="13060" max="13060" width="16.5" style="87" bestFit="1" customWidth="1"/>
    <col min="13061" max="13061" width="10.5" style="87" customWidth="1"/>
    <col min="13062" max="13062" width="16.5" style="87" bestFit="1" customWidth="1"/>
    <col min="13063" max="13063" width="10.5" style="87" customWidth="1"/>
    <col min="13064" max="13064" width="17.5" style="87" bestFit="1" customWidth="1"/>
    <col min="13065" max="13065" width="10.5" style="87" customWidth="1"/>
    <col min="13066" max="13312" width="8.83203125" style="87"/>
    <col min="13313" max="13313" width="30.1640625" style="87" bestFit="1" customWidth="1"/>
    <col min="13314" max="13314" width="10.1640625" style="87" customWidth="1"/>
    <col min="13315" max="13315" width="12.1640625" style="87" customWidth="1"/>
    <col min="13316" max="13316" width="16.5" style="87" bestFit="1" customWidth="1"/>
    <col min="13317" max="13317" width="10.5" style="87" customWidth="1"/>
    <col min="13318" max="13318" width="16.5" style="87" bestFit="1" customWidth="1"/>
    <col min="13319" max="13319" width="10.5" style="87" customWidth="1"/>
    <col min="13320" max="13320" width="17.5" style="87" bestFit="1" customWidth="1"/>
    <col min="13321" max="13321" width="10.5" style="87" customWidth="1"/>
    <col min="13322" max="13568" width="8.83203125" style="87"/>
    <col min="13569" max="13569" width="30.1640625" style="87" bestFit="1" customWidth="1"/>
    <col min="13570" max="13570" width="10.1640625" style="87" customWidth="1"/>
    <col min="13571" max="13571" width="12.1640625" style="87" customWidth="1"/>
    <col min="13572" max="13572" width="16.5" style="87" bestFit="1" customWidth="1"/>
    <col min="13573" max="13573" width="10.5" style="87" customWidth="1"/>
    <col min="13574" max="13574" width="16.5" style="87" bestFit="1" customWidth="1"/>
    <col min="13575" max="13575" width="10.5" style="87" customWidth="1"/>
    <col min="13576" max="13576" width="17.5" style="87" bestFit="1" customWidth="1"/>
    <col min="13577" max="13577" width="10.5" style="87" customWidth="1"/>
    <col min="13578" max="13824" width="8.83203125" style="87"/>
    <col min="13825" max="13825" width="30.1640625" style="87" bestFit="1" customWidth="1"/>
    <col min="13826" max="13826" width="10.1640625" style="87" customWidth="1"/>
    <col min="13827" max="13827" width="12.1640625" style="87" customWidth="1"/>
    <col min="13828" max="13828" width="16.5" style="87" bestFit="1" customWidth="1"/>
    <col min="13829" max="13829" width="10.5" style="87" customWidth="1"/>
    <col min="13830" max="13830" width="16.5" style="87" bestFit="1" customWidth="1"/>
    <col min="13831" max="13831" width="10.5" style="87" customWidth="1"/>
    <col min="13832" max="13832" width="17.5" style="87" bestFit="1" customWidth="1"/>
    <col min="13833" max="13833" width="10.5" style="87" customWidth="1"/>
    <col min="13834" max="14080" width="8.83203125" style="87"/>
    <col min="14081" max="14081" width="30.1640625" style="87" bestFit="1" customWidth="1"/>
    <col min="14082" max="14082" width="10.1640625" style="87" customWidth="1"/>
    <col min="14083" max="14083" width="12.1640625" style="87" customWidth="1"/>
    <col min="14084" max="14084" width="16.5" style="87" bestFit="1" customWidth="1"/>
    <col min="14085" max="14085" width="10.5" style="87" customWidth="1"/>
    <col min="14086" max="14086" width="16.5" style="87" bestFit="1" customWidth="1"/>
    <col min="14087" max="14087" width="10.5" style="87" customWidth="1"/>
    <col min="14088" max="14088" width="17.5" style="87" bestFit="1" customWidth="1"/>
    <col min="14089" max="14089" width="10.5" style="87" customWidth="1"/>
    <col min="14090" max="14336" width="8.83203125" style="87"/>
    <col min="14337" max="14337" width="30.1640625" style="87" bestFit="1" customWidth="1"/>
    <col min="14338" max="14338" width="10.1640625" style="87" customWidth="1"/>
    <col min="14339" max="14339" width="12.1640625" style="87" customWidth="1"/>
    <col min="14340" max="14340" width="16.5" style="87" bestFit="1" customWidth="1"/>
    <col min="14341" max="14341" width="10.5" style="87" customWidth="1"/>
    <col min="14342" max="14342" width="16.5" style="87" bestFit="1" customWidth="1"/>
    <col min="14343" max="14343" width="10.5" style="87" customWidth="1"/>
    <col min="14344" max="14344" width="17.5" style="87" bestFit="1" customWidth="1"/>
    <col min="14345" max="14345" width="10.5" style="87" customWidth="1"/>
    <col min="14346" max="14592" width="8.83203125" style="87"/>
    <col min="14593" max="14593" width="30.1640625" style="87" bestFit="1" customWidth="1"/>
    <col min="14594" max="14594" width="10.1640625" style="87" customWidth="1"/>
    <col min="14595" max="14595" width="12.1640625" style="87" customWidth="1"/>
    <col min="14596" max="14596" width="16.5" style="87" bestFit="1" customWidth="1"/>
    <col min="14597" max="14597" width="10.5" style="87" customWidth="1"/>
    <col min="14598" max="14598" width="16.5" style="87" bestFit="1" customWidth="1"/>
    <col min="14599" max="14599" width="10.5" style="87" customWidth="1"/>
    <col min="14600" max="14600" width="17.5" style="87" bestFit="1" customWidth="1"/>
    <col min="14601" max="14601" width="10.5" style="87" customWidth="1"/>
    <col min="14602" max="14848" width="8.83203125" style="87"/>
    <col min="14849" max="14849" width="30.1640625" style="87" bestFit="1" customWidth="1"/>
    <col min="14850" max="14850" width="10.1640625" style="87" customWidth="1"/>
    <col min="14851" max="14851" width="12.1640625" style="87" customWidth="1"/>
    <col min="14852" max="14852" width="16.5" style="87" bestFit="1" customWidth="1"/>
    <col min="14853" max="14853" width="10.5" style="87" customWidth="1"/>
    <col min="14854" max="14854" width="16.5" style="87" bestFit="1" customWidth="1"/>
    <col min="14855" max="14855" width="10.5" style="87" customWidth="1"/>
    <col min="14856" max="14856" width="17.5" style="87" bestFit="1" customWidth="1"/>
    <col min="14857" max="14857" width="10.5" style="87" customWidth="1"/>
    <col min="14858" max="15104" width="8.83203125" style="87"/>
    <col min="15105" max="15105" width="30.1640625" style="87" bestFit="1" customWidth="1"/>
    <col min="15106" max="15106" width="10.1640625" style="87" customWidth="1"/>
    <col min="15107" max="15107" width="12.1640625" style="87" customWidth="1"/>
    <col min="15108" max="15108" width="16.5" style="87" bestFit="1" customWidth="1"/>
    <col min="15109" max="15109" width="10.5" style="87" customWidth="1"/>
    <col min="15110" max="15110" width="16.5" style="87" bestFit="1" customWidth="1"/>
    <col min="15111" max="15111" width="10.5" style="87" customWidth="1"/>
    <col min="15112" max="15112" width="17.5" style="87" bestFit="1" customWidth="1"/>
    <col min="15113" max="15113" width="10.5" style="87" customWidth="1"/>
    <col min="15114" max="15360" width="8.83203125" style="87"/>
    <col min="15361" max="15361" width="30.1640625" style="87" bestFit="1" customWidth="1"/>
    <col min="15362" max="15362" width="10.1640625" style="87" customWidth="1"/>
    <col min="15363" max="15363" width="12.1640625" style="87" customWidth="1"/>
    <col min="15364" max="15364" width="16.5" style="87" bestFit="1" customWidth="1"/>
    <col min="15365" max="15365" width="10.5" style="87" customWidth="1"/>
    <col min="15366" max="15366" width="16.5" style="87" bestFit="1" customWidth="1"/>
    <col min="15367" max="15367" width="10.5" style="87" customWidth="1"/>
    <col min="15368" max="15368" width="17.5" style="87" bestFit="1" customWidth="1"/>
    <col min="15369" max="15369" width="10.5" style="87" customWidth="1"/>
    <col min="15370" max="15616" width="8.83203125" style="87"/>
    <col min="15617" max="15617" width="30.1640625" style="87" bestFit="1" customWidth="1"/>
    <col min="15618" max="15618" width="10.1640625" style="87" customWidth="1"/>
    <col min="15619" max="15619" width="12.1640625" style="87" customWidth="1"/>
    <col min="15620" max="15620" width="16.5" style="87" bestFit="1" customWidth="1"/>
    <col min="15621" max="15621" width="10.5" style="87" customWidth="1"/>
    <col min="15622" max="15622" width="16.5" style="87" bestFit="1" customWidth="1"/>
    <col min="15623" max="15623" width="10.5" style="87" customWidth="1"/>
    <col min="15624" max="15624" width="17.5" style="87" bestFit="1" customWidth="1"/>
    <col min="15625" max="15625" width="10.5" style="87" customWidth="1"/>
    <col min="15626" max="15872" width="8.83203125" style="87"/>
    <col min="15873" max="15873" width="30.1640625" style="87" bestFit="1" customWidth="1"/>
    <col min="15874" max="15874" width="10.1640625" style="87" customWidth="1"/>
    <col min="15875" max="15875" width="12.1640625" style="87" customWidth="1"/>
    <col min="15876" max="15876" width="16.5" style="87" bestFit="1" customWidth="1"/>
    <col min="15877" max="15877" width="10.5" style="87" customWidth="1"/>
    <col min="15878" max="15878" width="16.5" style="87" bestFit="1" customWidth="1"/>
    <col min="15879" max="15879" width="10.5" style="87" customWidth="1"/>
    <col min="15880" max="15880" width="17.5" style="87" bestFit="1" customWidth="1"/>
    <col min="15881" max="15881" width="10.5" style="87" customWidth="1"/>
    <col min="15882" max="16128" width="8.83203125" style="87"/>
    <col min="16129" max="16129" width="30.1640625" style="87" bestFit="1" customWidth="1"/>
    <col min="16130" max="16130" width="10.1640625" style="87" customWidth="1"/>
    <col min="16131" max="16131" width="12.1640625" style="87" customWidth="1"/>
    <col min="16132" max="16132" width="16.5" style="87" bestFit="1" customWidth="1"/>
    <col min="16133" max="16133" width="10.5" style="87" customWidth="1"/>
    <col min="16134" max="16134" width="16.5" style="87" bestFit="1" customWidth="1"/>
    <col min="16135" max="16135" width="10.5" style="87" customWidth="1"/>
    <col min="16136" max="16136" width="17.5" style="87" bestFit="1" customWidth="1"/>
    <col min="16137" max="16137" width="10.5" style="87" customWidth="1"/>
    <col min="16138" max="16384" width="8.83203125" style="87"/>
  </cols>
  <sheetData>
    <row r="1" spans="1:9" customFormat="1">
      <c r="A1" s="307" t="s">
        <v>102</v>
      </c>
      <c r="B1" s="307"/>
      <c r="C1" s="307"/>
      <c r="D1" s="307"/>
      <c r="E1" s="86"/>
      <c r="F1" s="95">
        <v>12</v>
      </c>
      <c r="G1" s="86"/>
      <c r="H1" s="86"/>
      <c r="I1" s="87"/>
    </row>
    <row r="2" spans="1:9" customFormat="1">
      <c r="B2" s="98"/>
      <c r="C2" s="98"/>
      <c r="D2" s="88" t="s">
        <v>103</v>
      </c>
      <c r="E2" s="99"/>
      <c r="F2" s="88" t="s">
        <v>104</v>
      </c>
      <c r="G2" s="99"/>
      <c r="H2" s="88" t="s">
        <v>105</v>
      </c>
    </row>
    <row r="3" spans="1:9" customFormat="1">
      <c r="A3" s="89" t="s">
        <v>106</v>
      </c>
      <c r="B3" s="98"/>
      <c r="C3" s="98"/>
      <c r="D3" s="104">
        <f>'Client''s funnel analysis'!C4</f>
        <v>10000</v>
      </c>
      <c r="E3" s="98"/>
      <c r="F3" s="104">
        <f>'Client''s funnel analysis'!C5</f>
        <v>100</v>
      </c>
      <c r="G3" s="98"/>
      <c r="H3" s="104">
        <f>'Client''s funnel analysis'!C6</f>
        <v>2</v>
      </c>
    </row>
    <row r="4" spans="1:9" customFormat="1">
      <c r="A4" s="89" t="s">
        <v>107</v>
      </c>
      <c r="B4" s="98"/>
      <c r="C4" s="98"/>
      <c r="D4" s="104">
        <f>'Client''s funnel analysis'!E4</f>
        <v>4000</v>
      </c>
      <c r="E4" s="98"/>
      <c r="F4" s="104">
        <f>'Client''s funnel analysis'!E5</f>
        <v>80</v>
      </c>
      <c r="G4" s="98"/>
      <c r="H4" s="104">
        <f>'Client''s funnel analysis'!E6</f>
        <v>4</v>
      </c>
    </row>
    <row r="5" spans="1:9" customFormat="1">
      <c r="A5" s="89" t="s">
        <v>108</v>
      </c>
      <c r="B5" s="98"/>
      <c r="C5" s="98"/>
      <c r="D5" s="91">
        <f>(D4-D3)/$F$1</f>
        <v>-500</v>
      </c>
      <c r="E5" s="98"/>
      <c r="F5" s="91">
        <f>(F4-F3)/$F$1</f>
        <v>-1.6666666666666667</v>
      </c>
      <c r="G5" s="98"/>
      <c r="H5" s="90">
        <f>(H4-H3)/$F$1</f>
        <v>0.16666666666666666</v>
      </c>
    </row>
    <row r="6" spans="1:9" customFormat="1">
      <c r="A6" s="89" t="s">
        <v>109</v>
      </c>
      <c r="B6" s="98"/>
      <c r="C6" s="98"/>
      <c r="D6" s="92">
        <f>D5/(D3+D5)</f>
        <v>-5.2631578947368418E-2</v>
      </c>
      <c r="E6" s="98"/>
      <c r="F6" s="92">
        <f>F5/(F5+F3)</f>
        <v>-1.6949152542372881E-2</v>
      </c>
      <c r="G6" s="98"/>
      <c r="H6" s="92">
        <f>H5/(H5+H3)</f>
        <v>7.6923076923076927E-2</v>
      </c>
    </row>
    <row r="7" spans="1:9" customFormat="1">
      <c r="A7" s="89" t="s">
        <v>110</v>
      </c>
      <c r="B7" s="98"/>
      <c r="C7" s="98"/>
      <c r="D7" s="92">
        <f>D4/D3-1</f>
        <v>-0.6</v>
      </c>
      <c r="E7" s="98"/>
      <c r="F7" s="92">
        <f>F4/F3-1</f>
        <v>-0.19999999999999996</v>
      </c>
      <c r="G7" s="98"/>
      <c r="H7" s="92">
        <f>H4/H3-1</f>
        <v>1</v>
      </c>
    </row>
    <row r="8" spans="1:9" customFormat="1">
      <c r="A8" s="89"/>
      <c r="B8" s="98"/>
      <c r="C8" s="98"/>
      <c r="D8" s="92"/>
      <c r="E8" s="98"/>
      <c r="F8" s="92"/>
      <c r="G8" s="98"/>
      <c r="H8" s="92"/>
    </row>
    <row r="9" spans="1:9" customFormat="1">
      <c r="A9" s="89"/>
      <c r="B9" s="98"/>
      <c r="C9" s="98"/>
      <c r="E9" s="98"/>
      <c r="G9" s="98"/>
      <c r="H9" s="146"/>
    </row>
    <row r="10" spans="1:9" customFormat="1">
      <c r="A10" s="311" t="s">
        <v>111</v>
      </c>
      <c r="B10" s="311"/>
      <c r="C10" s="311"/>
      <c r="D10" s="311"/>
      <c r="E10" s="312" t="str">
        <f>IF(D6+F6+H6&gt;100%,"FASTEST",IF(D6+F6+H6&gt;50%,"FASTER","FAST"))</f>
        <v>FAST</v>
      </c>
      <c r="F10" s="312"/>
      <c r="G10" s="312"/>
      <c r="H10" s="312"/>
      <c r="I10" s="312"/>
    </row>
    <row r="11" spans="1:9" customFormat="1">
      <c r="B11" s="98"/>
      <c r="C11" s="98"/>
      <c r="D11" s="313" t="s">
        <v>112</v>
      </c>
      <c r="E11" s="313"/>
      <c r="F11" s="314" t="s">
        <v>113</v>
      </c>
      <c r="G11" s="314"/>
      <c r="H11" s="315" t="s">
        <v>114</v>
      </c>
      <c r="I11" s="315"/>
    </row>
    <row r="12" spans="1:9" customFormat="1">
      <c r="A12" s="89"/>
      <c r="B12" s="96" t="s">
        <v>115</v>
      </c>
      <c r="C12" s="96" t="s">
        <v>116</v>
      </c>
      <c r="D12" s="93" t="s">
        <v>117</v>
      </c>
      <c r="E12" s="96" t="s">
        <v>118</v>
      </c>
      <c r="F12" s="93" t="s">
        <v>117</v>
      </c>
      <c r="G12" s="96" t="s">
        <v>118</v>
      </c>
      <c r="H12" s="93" t="s">
        <v>117</v>
      </c>
      <c r="I12" s="96" t="s">
        <v>118</v>
      </c>
    </row>
    <row r="13" spans="1:9" customFormat="1">
      <c r="A13" s="89" t="s">
        <v>119</v>
      </c>
      <c r="B13" s="97" t="s">
        <v>120</v>
      </c>
      <c r="C13" s="97" t="s">
        <v>121</v>
      </c>
      <c r="D13" s="94" t="s">
        <v>122</v>
      </c>
      <c r="E13" s="97" t="s">
        <v>123</v>
      </c>
      <c r="F13" s="94" t="s">
        <v>122</v>
      </c>
      <c r="G13" s="97" t="s">
        <v>123</v>
      </c>
      <c r="H13" s="94" t="s">
        <v>122</v>
      </c>
      <c r="I13" s="97" t="s">
        <v>123</v>
      </c>
    </row>
    <row r="14" spans="1:9" customFormat="1">
      <c r="A14" s="85" t="s">
        <v>124</v>
      </c>
      <c r="B14" s="98"/>
      <c r="C14" s="98"/>
      <c r="E14" s="98"/>
      <c r="G14" s="98"/>
      <c r="I14" s="98"/>
    </row>
    <row r="15" spans="1:9" customFormat="1">
      <c r="A15" s="113" t="s">
        <v>135</v>
      </c>
      <c r="B15" s="107">
        <v>0.5</v>
      </c>
      <c r="C15" s="107">
        <v>100</v>
      </c>
      <c r="D15" s="108">
        <v>10</v>
      </c>
      <c r="E15" s="109">
        <f>B15*C15*D15</f>
        <v>500</v>
      </c>
      <c r="F15" s="108">
        <v>20</v>
      </c>
      <c r="G15" s="109">
        <f>B15*C15*F15</f>
        <v>1000</v>
      </c>
      <c r="H15" s="108">
        <v>30</v>
      </c>
      <c r="I15" s="110">
        <f>B15*C15*H15</f>
        <v>1500</v>
      </c>
    </row>
    <row r="16" spans="1:9" customFormat="1">
      <c r="A16" s="113" t="s">
        <v>136</v>
      </c>
      <c r="B16" s="107">
        <v>1</v>
      </c>
      <c r="C16" s="107">
        <v>75</v>
      </c>
      <c r="D16" s="108">
        <v>3</v>
      </c>
      <c r="E16" s="109">
        <f>B16*C16*D16</f>
        <v>225</v>
      </c>
      <c r="F16" s="108">
        <v>6</v>
      </c>
      <c r="G16" s="109">
        <f>B16*C16*F16</f>
        <v>450</v>
      </c>
      <c r="H16" s="108">
        <v>9</v>
      </c>
      <c r="I16" s="110">
        <f>B16*C16*H16</f>
        <v>675</v>
      </c>
    </row>
    <row r="17" spans="1:10" customFormat="1">
      <c r="A17" s="113" t="s">
        <v>137</v>
      </c>
      <c r="B17" s="114">
        <v>0.2</v>
      </c>
      <c r="C17" s="107">
        <v>25</v>
      </c>
      <c r="D17" s="108">
        <v>25</v>
      </c>
      <c r="E17" s="109">
        <f>B17*C17*D17</f>
        <v>125</v>
      </c>
      <c r="F17" s="108">
        <v>50</v>
      </c>
      <c r="G17" s="109">
        <f>B17*C17*F17</f>
        <v>250</v>
      </c>
      <c r="H17" s="108">
        <v>75</v>
      </c>
      <c r="I17" s="110">
        <f>B17*C17*H17</f>
        <v>375</v>
      </c>
    </row>
    <row r="18" spans="1:10" customFormat="1">
      <c r="A18" s="85" t="s">
        <v>125</v>
      </c>
      <c r="B18" s="107"/>
      <c r="C18" s="107"/>
      <c r="D18" s="108"/>
      <c r="E18" s="109"/>
      <c r="F18" s="108"/>
      <c r="G18" s="109"/>
      <c r="H18" s="108"/>
      <c r="I18" s="110"/>
    </row>
    <row r="19" spans="1:10" customFormat="1">
      <c r="A19" s="113" t="s">
        <v>138</v>
      </c>
      <c r="B19" s="107">
        <v>3</v>
      </c>
      <c r="C19" s="107">
        <v>100</v>
      </c>
      <c r="D19" s="108">
        <v>1</v>
      </c>
      <c r="E19" s="109">
        <f>B19*C19*D19</f>
        <v>300</v>
      </c>
      <c r="F19" s="108">
        <v>2</v>
      </c>
      <c r="G19" s="109">
        <f>B19*C19*F19</f>
        <v>600</v>
      </c>
      <c r="H19" s="108">
        <v>3</v>
      </c>
      <c r="I19" s="110">
        <f>B19*C19*H19</f>
        <v>900</v>
      </c>
    </row>
    <row r="20" spans="1:10" customFormat="1">
      <c r="A20" s="113" t="s">
        <v>139</v>
      </c>
      <c r="B20" s="107">
        <v>2</v>
      </c>
      <c r="C20" s="107">
        <v>50</v>
      </c>
      <c r="D20" s="108">
        <v>2</v>
      </c>
      <c r="E20" s="109">
        <f>B20*C20*D20</f>
        <v>200</v>
      </c>
      <c r="F20" s="108">
        <v>3</v>
      </c>
      <c r="G20" s="109">
        <f>B20*C20*F20</f>
        <v>300</v>
      </c>
      <c r="H20" s="108">
        <v>4</v>
      </c>
      <c r="I20" s="110">
        <f>B20*C20*H20</f>
        <v>400</v>
      </c>
    </row>
    <row r="21" spans="1:10" customFormat="1">
      <c r="A21" s="113" t="s">
        <v>140</v>
      </c>
      <c r="B21" s="114">
        <v>0.3</v>
      </c>
      <c r="C21" s="107">
        <v>25</v>
      </c>
      <c r="D21" s="108">
        <v>2</v>
      </c>
      <c r="E21" s="109">
        <f>B21*C21*D21</f>
        <v>15</v>
      </c>
      <c r="F21" s="108">
        <v>6</v>
      </c>
      <c r="G21" s="109">
        <f>B21*C21*F21</f>
        <v>45</v>
      </c>
      <c r="H21" s="108">
        <v>12</v>
      </c>
      <c r="I21" s="110">
        <f>B21*C21*H21</f>
        <v>90</v>
      </c>
    </row>
    <row r="22" spans="1:10" customFormat="1">
      <c r="A22" s="85" t="s">
        <v>126</v>
      </c>
      <c r="B22" s="107"/>
      <c r="C22" s="107"/>
      <c r="D22" s="108"/>
      <c r="E22" s="109"/>
      <c r="F22" s="108"/>
      <c r="G22" s="109"/>
      <c r="H22" s="108"/>
      <c r="I22" s="110"/>
    </row>
    <row r="23" spans="1:10" customFormat="1">
      <c r="A23" s="113" t="s">
        <v>141</v>
      </c>
      <c r="B23" s="107">
        <v>3</v>
      </c>
      <c r="C23" s="107">
        <v>75</v>
      </c>
      <c r="D23" s="108">
        <v>0.25</v>
      </c>
      <c r="E23" s="109">
        <f>B23*C23*D23</f>
        <v>56.25</v>
      </c>
      <c r="F23" s="108">
        <v>0.5</v>
      </c>
      <c r="G23" s="109">
        <f>B23*C23*F23</f>
        <v>112.5</v>
      </c>
      <c r="H23" s="108">
        <v>1</v>
      </c>
      <c r="I23" s="110">
        <f>B23*C23*H23</f>
        <v>225</v>
      </c>
    </row>
    <row r="24" spans="1:10" customFormat="1">
      <c r="A24" s="113" t="s">
        <v>142</v>
      </c>
      <c r="B24" s="107">
        <v>1</v>
      </c>
      <c r="C24" s="107">
        <v>50</v>
      </c>
      <c r="D24" s="108">
        <v>0</v>
      </c>
      <c r="E24" s="109">
        <f>B24*C24*D24</f>
        <v>0</v>
      </c>
      <c r="F24" s="108">
        <v>1</v>
      </c>
      <c r="G24" s="109">
        <f>B24*C24*F24</f>
        <v>50</v>
      </c>
      <c r="H24" s="108">
        <v>2</v>
      </c>
      <c r="I24" s="110">
        <f>B24*C24*H24</f>
        <v>100</v>
      </c>
    </row>
    <row r="25" spans="1:10" customFormat="1">
      <c r="A25" s="113" t="s">
        <v>143</v>
      </c>
      <c r="B25" s="107">
        <v>2</v>
      </c>
      <c r="C25" s="107">
        <v>75</v>
      </c>
      <c r="D25" s="108">
        <v>1</v>
      </c>
      <c r="E25" s="109">
        <f>B25*C25*D25</f>
        <v>150</v>
      </c>
      <c r="F25" s="108">
        <v>1</v>
      </c>
      <c r="G25" s="109">
        <f>B25*C25*F25</f>
        <v>150</v>
      </c>
      <c r="H25" s="108">
        <v>2</v>
      </c>
      <c r="I25" s="110">
        <f>B25*C25*H25</f>
        <v>300</v>
      </c>
    </row>
    <row r="26" spans="1:10" customFormat="1">
      <c r="A26" t="s">
        <v>127</v>
      </c>
      <c r="B26" s="107"/>
      <c r="C26" s="107"/>
      <c r="D26" s="111">
        <v>300</v>
      </c>
      <c r="E26" s="107">
        <v>400</v>
      </c>
      <c r="F26" s="111">
        <v>700</v>
      </c>
      <c r="G26" s="107">
        <v>1000</v>
      </c>
      <c r="H26" s="111">
        <v>1000</v>
      </c>
      <c r="I26" s="107">
        <v>1500</v>
      </c>
    </row>
    <row r="27" spans="1:10" customFormat="1" ht="22.5" customHeight="1">
      <c r="A27" t="s">
        <v>128</v>
      </c>
      <c r="B27" s="107">
        <v>1</v>
      </c>
      <c r="C27" s="107">
        <v>100</v>
      </c>
      <c r="D27" s="108">
        <v>4</v>
      </c>
      <c r="E27" s="109">
        <f>B27*C27*D27</f>
        <v>400</v>
      </c>
      <c r="F27" s="108">
        <v>8</v>
      </c>
      <c r="G27" s="109">
        <f>B27*C27*F27</f>
        <v>800</v>
      </c>
      <c r="H27" s="108">
        <v>12</v>
      </c>
      <c r="I27" s="110">
        <f>B27*C27*H27</f>
        <v>1200</v>
      </c>
    </row>
    <row r="28" spans="1:10" ht="18" customHeight="1">
      <c r="A28" s="98" t="s">
        <v>129</v>
      </c>
      <c r="B28" s="110"/>
      <c r="C28" s="110"/>
      <c r="D28" s="110"/>
      <c r="E28" s="110">
        <f>SUM(E15:E27)*'Plan &amp; Cost -original'!$B$34</f>
        <v>237.125</v>
      </c>
      <c r="F28" s="110"/>
      <c r="G28" s="110">
        <f>SUM(G15:G27)*'Plan &amp; Cost -original'!$B$34</f>
        <v>475.75</v>
      </c>
      <c r="H28" s="110"/>
      <c r="I28" s="110">
        <f>SUM(I15:I27)*'Plan &amp; Cost -original'!$B$34</f>
        <v>726.5</v>
      </c>
    </row>
    <row r="29" spans="1:10">
      <c r="A29" s="99" t="s">
        <v>118</v>
      </c>
      <c r="B29" s="110"/>
      <c r="C29" s="110"/>
      <c r="D29" s="110"/>
      <c r="E29" s="110">
        <f>SUM(E15:E28)</f>
        <v>2608.375</v>
      </c>
      <c r="F29" s="110"/>
      <c r="G29" s="110">
        <f>SUM(G15:G28)</f>
        <v>5233.25</v>
      </c>
      <c r="H29" s="110"/>
      <c r="I29" s="110">
        <f>SUM(I15:I28)</f>
        <v>7991.5</v>
      </c>
    </row>
    <row r="30" spans="1:10" hidden="1" outlineLevel="1">
      <c r="A30" s="99" t="s">
        <v>130</v>
      </c>
      <c r="B30" s="110"/>
      <c r="C30" s="110"/>
      <c r="D30" s="110"/>
      <c r="E30" s="110">
        <f>E29*'Plan &amp; Cost -original'!$B$33</f>
        <v>521.67500000000007</v>
      </c>
      <c r="F30" s="110"/>
      <c r="G30" s="110">
        <f>G29*'Plan &amp; Cost -original'!$B$33</f>
        <v>1046.6500000000001</v>
      </c>
      <c r="H30" s="110"/>
      <c r="I30" s="110">
        <f>I29*'Plan &amp; Cost -original'!$B$33</f>
        <v>1598.3000000000002</v>
      </c>
    </row>
    <row r="31" spans="1:10" customFormat="1" hidden="1" outlineLevel="1">
      <c r="A31" s="99" t="s">
        <v>131</v>
      </c>
      <c r="B31" s="98"/>
      <c r="C31" s="98"/>
      <c r="D31" s="105"/>
      <c r="E31" s="100">
        <f>SUM(E29:E30)</f>
        <v>3130.05</v>
      </c>
      <c r="F31" s="106"/>
      <c r="G31" s="100">
        <f>SUM(G29:G30)</f>
        <v>6279.9</v>
      </c>
      <c r="H31" s="106"/>
      <c r="I31" s="100">
        <f>SUM(I29:I30)</f>
        <v>9589.7999999999993</v>
      </c>
      <c r="J31" s="87" t="s">
        <v>134</v>
      </c>
    </row>
    <row r="32" spans="1:10" hidden="1" outlineLevel="1"/>
    <row r="33" spans="1:9" hidden="1" outlineLevel="1">
      <c r="A33" s="102" t="s">
        <v>132</v>
      </c>
      <c r="B33" s="103">
        <v>0.2</v>
      </c>
      <c r="C33" s="98"/>
      <c r="D33" s="98"/>
      <c r="E33" s="98"/>
      <c r="F33" s="98"/>
      <c r="G33" s="98"/>
      <c r="H33" s="98"/>
      <c r="I33" s="98"/>
    </row>
    <row r="34" spans="1:9" hidden="1" outlineLevel="1">
      <c r="A34" s="102" t="s">
        <v>133</v>
      </c>
      <c r="B34" s="103">
        <v>0.1</v>
      </c>
      <c r="C34" s="98"/>
      <c r="D34" s="98"/>
      <c r="E34" s="98"/>
      <c r="F34" s="98"/>
      <c r="G34" s="98"/>
      <c r="H34" s="98"/>
      <c r="I34" s="98"/>
    </row>
    <row r="35" spans="1:9" collapsed="1"/>
  </sheetData>
  <mergeCells count="6">
    <mergeCell ref="A1:D1"/>
    <mergeCell ref="A10:D10"/>
    <mergeCell ref="E10:I10"/>
    <mergeCell ref="D11:E11"/>
    <mergeCell ref="F11:G11"/>
    <mergeCell ref="H11:I1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Agency finances (Grader)</vt:lpstr>
      <vt:lpstr>Client's funnel analysis</vt:lpstr>
      <vt:lpstr>Value analysis</vt:lpstr>
      <vt:lpstr>Inbound Marketing Goals</vt:lpstr>
      <vt:lpstr>Pricing</vt:lpstr>
      <vt:lpstr>Plan</vt:lpstr>
      <vt:lpstr>Timeline of results (old)</vt:lpstr>
      <vt:lpstr>Timeline of results</vt:lpstr>
      <vt:lpstr>Plan &amp; Cost -original</vt:lpstr>
    </vt:vector>
  </TitlesOfParts>
  <Company>Hubspot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Arjun Moorthy</dc:creator>
  <cp:lastModifiedBy>Al Biedrzycki</cp:lastModifiedBy>
  <dcterms:created xsi:type="dcterms:W3CDTF">2013-08-16T01:32:04Z</dcterms:created>
  <dcterms:modified xsi:type="dcterms:W3CDTF">2014-04-15T13:30:06Z</dcterms:modified>
</cp:coreProperties>
</file>