
<file path=[Content_Types].xml><?xml version="1.0" encoding="utf-8"?>
<Types xmlns="http://schemas.openxmlformats.org/package/2006/content-types">
  <Default Extension="xml" ContentType="application/xml"/>
  <Default Extension="vml" ContentType="application/vnd.openxmlformats-officedocument.vmlDrawing"/>
  <Default Extension="jp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613"/>
  <workbookPr autoCompressPictures="0"/>
  <bookViews>
    <workbookView xWindow="0" yWindow="460" windowWidth="11240" windowHeight="6580" firstSheet="1" activeTab="7"/>
  </bookViews>
  <sheets>
    <sheet name="Agency finances (Grader)" sheetId="2" state="hidden" r:id="rId1"/>
    <sheet name="Client's funnel analysis" sheetId="7" r:id="rId2"/>
    <sheet name="Value analysis" sheetId="6" r:id="rId3"/>
    <sheet name="Inbound Marketing Goals" sheetId="4" state="hidden" r:id="rId4"/>
    <sheet name="Pricing" sheetId="1" state="hidden" r:id="rId5"/>
    <sheet name="Plan" sheetId="5" r:id="rId6"/>
    <sheet name="Timeline of results (old)" sheetId="10" state="hidden" r:id="rId7"/>
    <sheet name="Timeline of results" sheetId="11" r:id="rId8"/>
    <sheet name="Plan &amp; Cost -original" sheetId="8" state="hidden" r:id="rId9"/>
  </sheets>
  <definedNames>
    <definedName name="_xlnm.Print_Area" localSheetId="3">'Inbound Marketing Goals'!$A$1:$P$38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8" i="11" l="1"/>
  <c r="K32" i="11"/>
  <c r="O7" i="11"/>
  <c r="O8" i="11"/>
  <c r="O9" i="11"/>
  <c r="O10" i="11"/>
  <c r="O11" i="11"/>
  <c r="O12" i="11"/>
  <c r="O13" i="11"/>
  <c r="O14" i="11"/>
  <c r="O15" i="11"/>
  <c r="O16" i="11"/>
  <c r="O17" i="11"/>
  <c r="O18" i="11"/>
  <c r="O19" i="11"/>
  <c r="O20" i="11"/>
  <c r="K33" i="11"/>
  <c r="K31" i="11"/>
  <c r="K30" i="11"/>
  <c r="K29" i="11"/>
  <c r="K28" i="11"/>
  <c r="D7" i="11"/>
  <c r="D21" i="11"/>
  <c r="G22" i="11"/>
  <c r="D15" i="11"/>
  <c r="C9" i="7"/>
  <c r="D12" i="11"/>
  <c r="D11" i="11"/>
  <c r="D10" i="11"/>
  <c r="P6" i="11"/>
  <c r="P7" i="11"/>
  <c r="G8" i="11"/>
  <c r="G16" i="11"/>
  <c r="F8" i="11"/>
  <c r="F16" i="11"/>
  <c r="F22" i="11"/>
  <c r="D27" i="11"/>
  <c r="O6" i="11"/>
  <c r="P8" i="11"/>
  <c r="I21" i="5"/>
  <c r="E6" i="7"/>
  <c r="E5" i="7"/>
  <c r="E4" i="7"/>
  <c r="E5" i="5"/>
  <c r="E4" i="5"/>
  <c r="E6" i="5"/>
  <c r="E7" i="5"/>
  <c r="G5" i="5"/>
  <c r="G4" i="5"/>
  <c r="G8" i="5"/>
  <c r="G10" i="5"/>
  <c r="O27" i="5"/>
  <c r="J37" i="5"/>
  <c r="G21" i="5"/>
  <c r="H37" i="5"/>
  <c r="E21" i="5"/>
  <c r="F37" i="5"/>
  <c r="C8" i="7"/>
  <c r="D9" i="7"/>
  <c r="D5" i="7"/>
  <c r="P27" i="5"/>
  <c r="P38" i="5"/>
  <c r="O38" i="5"/>
  <c r="N27" i="5"/>
  <c r="N38" i="5"/>
  <c r="D11" i="10"/>
  <c r="D10" i="10"/>
  <c r="D8" i="10"/>
  <c r="O6" i="10"/>
  <c r="D7" i="10"/>
  <c r="D15" i="10"/>
  <c r="P6" i="10"/>
  <c r="O7" i="10"/>
  <c r="P7" i="10"/>
  <c r="O8" i="10"/>
  <c r="F8" i="10"/>
  <c r="O23" i="5"/>
  <c r="P23" i="5"/>
  <c r="N23" i="5"/>
  <c r="I27" i="8"/>
  <c r="G27" i="8"/>
  <c r="E27" i="8"/>
  <c r="I25" i="8"/>
  <c r="G25" i="8"/>
  <c r="E25" i="8"/>
  <c r="I24" i="8"/>
  <c r="G24" i="8"/>
  <c r="E24" i="8"/>
  <c r="I23" i="8"/>
  <c r="G23" i="8"/>
  <c r="E23" i="8"/>
  <c r="I21" i="8"/>
  <c r="G21" i="8"/>
  <c r="E21" i="8"/>
  <c r="I20" i="8"/>
  <c r="G20" i="8"/>
  <c r="E20" i="8"/>
  <c r="I19" i="8"/>
  <c r="G19" i="8"/>
  <c r="E19" i="8"/>
  <c r="I17" i="8"/>
  <c r="G17" i="8"/>
  <c r="E17" i="8"/>
  <c r="I16" i="8"/>
  <c r="G16" i="8"/>
  <c r="E16" i="8"/>
  <c r="I15" i="8"/>
  <c r="G15" i="8"/>
  <c r="E15" i="8"/>
  <c r="H3" i="8"/>
  <c r="F3" i="8"/>
  <c r="D3" i="8"/>
  <c r="I4" i="5"/>
  <c r="C31" i="6"/>
  <c r="D8" i="7"/>
  <c r="C27" i="6"/>
  <c r="C9" i="6"/>
  <c r="C15" i="6"/>
  <c r="C19" i="6"/>
  <c r="C29" i="6"/>
  <c r="C32" i="6"/>
  <c r="E44" i="5"/>
  <c r="C23" i="2"/>
  <c r="C28" i="2"/>
  <c r="I28" i="8"/>
  <c r="G28" i="8"/>
  <c r="G29" i="8"/>
  <c r="I29" i="8"/>
  <c r="E28" i="8"/>
  <c r="E29" i="8"/>
  <c r="C12" i="2"/>
  <c r="E30" i="8"/>
  <c r="E31" i="8"/>
  <c r="G30" i="8"/>
  <c r="G31" i="8"/>
  <c r="I30" i="8"/>
  <c r="I31" i="8"/>
  <c r="D7" i="1"/>
  <c r="D10" i="1"/>
  <c r="E33" i="1"/>
  <c r="D5" i="1"/>
  <c r="E18" i="1"/>
  <c r="E9" i="1"/>
  <c r="C39" i="2"/>
  <c r="C7" i="2"/>
  <c r="C14" i="2"/>
  <c r="E27" i="1"/>
  <c r="E10" i="1"/>
  <c r="E14" i="1"/>
  <c r="E5" i="1"/>
  <c r="C17" i="2"/>
  <c r="E17" i="2"/>
  <c r="C34" i="2"/>
  <c r="E16" i="1"/>
  <c r="E19" i="1"/>
  <c r="F18" i="4"/>
  <c r="E25" i="1"/>
  <c r="E26" i="1"/>
  <c r="D13" i="1"/>
  <c r="D18" i="1"/>
  <c r="C40" i="2"/>
  <c r="E40" i="2"/>
  <c r="G25" i="4"/>
  <c r="F25" i="4"/>
  <c r="F32" i="4"/>
  <c r="D14" i="1"/>
  <c r="D16" i="1"/>
  <c r="D19" i="1"/>
  <c r="G32" i="4"/>
  <c r="D21" i="10"/>
  <c r="G22" i="10"/>
  <c r="G8" i="10"/>
  <c r="H4" i="8"/>
  <c r="H7" i="8"/>
  <c r="F4" i="8"/>
  <c r="F5" i="8"/>
  <c r="F6" i="8"/>
  <c r="H5" i="8"/>
  <c r="H6" i="8"/>
  <c r="I5" i="5"/>
  <c r="I8" i="5"/>
  <c r="F7" i="8"/>
  <c r="I14" i="5"/>
  <c r="P8" i="10"/>
  <c r="O9" i="10"/>
  <c r="O10" i="10"/>
  <c r="O11" i="10"/>
  <c r="D4" i="7"/>
  <c r="D12" i="10"/>
  <c r="F16" i="10"/>
  <c r="G16" i="10"/>
  <c r="F22" i="10"/>
  <c r="D27" i="10"/>
  <c r="I15" i="5"/>
  <c r="I16" i="5"/>
  <c r="D4" i="8"/>
  <c r="G6" i="5"/>
  <c r="G7" i="5"/>
  <c r="P9" i="10"/>
  <c r="P10" i="10"/>
  <c r="P11" i="10"/>
  <c r="D17" i="10"/>
  <c r="O12" i="10"/>
  <c r="O13" i="10"/>
  <c r="O14" i="10"/>
  <c r="O15" i="10"/>
  <c r="O16" i="10"/>
  <c r="O17" i="10"/>
  <c r="D16" i="10"/>
  <c r="D18" i="10"/>
  <c r="D7" i="8"/>
  <c r="D5" i="8"/>
  <c r="D6" i="8"/>
  <c r="E10" i="8"/>
  <c r="D22" i="10"/>
  <c r="O18" i="10"/>
  <c r="O19" i="10"/>
  <c r="O20" i="10"/>
  <c r="P12" i="10"/>
  <c r="P13" i="10"/>
  <c r="P14" i="10"/>
  <c r="P15" i="10"/>
  <c r="P16" i="10"/>
  <c r="P17" i="10"/>
  <c r="P18" i="10"/>
  <c r="P19" i="10"/>
  <c r="P20" i="10"/>
  <c r="D23" i="10"/>
  <c r="D29" i="10"/>
  <c r="D28" i="10"/>
  <c r="D24" i="10"/>
  <c r="D30" i="10"/>
  <c r="D16" i="11"/>
  <c r="D18" i="11"/>
  <c r="P9" i="11"/>
  <c r="P10" i="11"/>
  <c r="P11" i="11"/>
  <c r="E8" i="5"/>
  <c r="E18" i="5"/>
  <c r="G11" i="5"/>
  <c r="G12" i="5"/>
  <c r="I6" i="5"/>
  <c r="I7" i="5"/>
  <c r="D22" i="11"/>
  <c r="P12" i="11"/>
  <c r="P13" i="11"/>
  <c r="P14" i="11"/>
  <c r="P15" i="11"/>
  <c r="P16" i="11"/>
  <c r="P17" i="11"/>
  <c r="D17" i="11"/>
  <c r="I25" i="5"/>
  <c r="J25" i="5"/>
  <c r="I27" i="5"/>
  <c r="J27" i="5"/>
  <c r="I30" i="5"/>
  <c r="J30" i="5"/>
  <c r="I33" i="5"/>
  <c r="J33" i="5"/>
  <c r="I35" i="5"/>
  <c r="J35" i="5"/>
  <c r="G25" i="5"/>
  <c r="H25" i="5"/>
  <c r="G27" i="5"/>
  <c r="H27" i="5"/>
  <c r="G30" i="5"/>
  <c r="H30" i="5"/>
  <c r="G33" i="5"/>
  <c r="H33" i="5"/>
  <c r="G35" i="5"/>
  <c r="H35" i="5"/>
  <c r="E25" i="5"/>
  <c r="F25" i="5"/>
  <c r="E27" i="5"/>
  <c r="F27" i="5"/>
  <c r="E30" i="5"/>
  <c r="F30" i="5"/>
  <c r="E33" i="5"/>
  <c r="F33" i="5"/>
  <c r="G26" i="5"/>
  <c r="H26" i="5"/>
  <c r="G36" i="5"/>
  <c r="H36" i="5"/>
  <c r="E26" i="5"/>
  <c r="F26" i="5"/>
  <c r="E31" i="5"/>
  <c r="F31" i="5"/>
  <c r="E36" i="5"/>
  <c r="F36" i="5"/>
  <c r="E35" i="5"/>
  <c r="F35" i="5"/>
  <c r="I29" i="5"/>
  <c r="J29" i="5"/>
  <c r="I31" i="5"/>
  <c r="J31" i="5"/>
  <c r="I34" i="5"/>
  <c r="J34" i="5"/>
  <c r="I36" i="5"/>
  <c r="J36" i="5"/>
  <c r="G29" i="5"/>
  <c r="H29" i="5"/>
  <c r="G31" i="5"/>
  <c r="H31" i="5"/>
  <c r="G34" i="5"/>
  <c r="H34" i="5"/>
  <c r="E29" i="5"/>
  <c r="F29" i="5"/>
  <c r="E34" i="5"/>
  <c r="F34" i="5"/>
  <c r="I26" i="5"/>
  <c r="J26" i="5"/>
  <c r="D24" i="11"/>
  <c r="D30" i="11"/>
  <c r="D28" i="11"/>
  <c r="D23" i="11"/>
  <c r="D29" i="11"/>
  <c r="P18" i="11"/>
  <c r="P19" i="11"/>
  <c r="P20" i="11"/>
  <c r="F38" i="5"/>
  <c r="H38" i="5"/>
  <c r="J38" i="5"/>
  <c r="H39" i="5"/>
  <c r="G42" i="5"/>
  <c r="I42" i="5"/>
  <c r="J39" i="5"/>
  <c r="E45" i="5"/>
  <c r="E42" i="5"/>
  <c r="F39" i="5"/>
</calcChain>
</file>

<file path=xl/comments1.xml><?xml version="1.0" encoding="utf-8"?>
<comments xmlns="http://schemas.openxmlformats.org/spreadsheetml/2006/main">
  <authors>
    <author>Arjun Moorthy</author>
  </authors>
  <commentList>
    <comment ref="B15" authorId="0">
      <text>
        <r>
          <rPr>
            <b/>
            <sz val="9"/>
            <color indexed="81"/>
            <rFont val="Tahoma"/>
            <family val="2"/>
          </rPr>
          <t>Arjun Moorthy:</t>
        </r>
        <r>
          <rPr>
            <sz val="9"/>
            <color indexed="81"/>
            <rFont val="Tahoma"/>
            <family val="2"/>
          </rPr>
          <t xml:space="preserve">
FTEs calculation for freelancers can be calculated by adding all outsourced hours and dividing by 40 hrs/week</t>
        </r>
      </text>
    </comment>
    <comment ref="B17" authorId="0">
      <text>
        <r>
          <rPr>
            <b/>
            <sz val="9"/>
            <color indexed="81"/>
            <rFont val="Tahoma"/>
            <family val="2"/>
          </rPr>
          <t>Arjun Moorthy:</t>
        </r>
        <r>
          <rPr>
            <sz val="9"/>
            <color indexed="81"/>
            <rFont val="Tahoma"/>
            <family val="2"/>
          </rPr>
          <t xml:space="preserve">
Net Revenue is revenue after advertising and any pass-through expenses subtracted</t>
        </r>
      </text>
    </comment>
  </commentList>
</comments>
</file>

<file path=xl/comments2.xml><?xml version="1.0" encoding="utf-8"?>
<comments xmlns="http://schemas.openxmlformats.org/spreadsheetml/2006/main">
  <authors>
    <author>Arjun Moorthy</author>
  </authors>
  <commentList>
    <comment ref="B7" authorId="0">
      <text>
        <r>
          <rPr>
            <b/>
            <sz val="9"/>
            <color indexed="81"/>
            <rFont val="Tahoma"/>
            <family val="2"/>
          </rPr>
          <t>Arjun Moorthy:</t>
        </r>
        <r>
          <rPr>
            <sz val="9"/>
            <color indexed="81"/>
            <rFont val="Tahoma"/>
            <family val="2"/>
          </rPr>
          <t xml:space="preserve">
Can be any frequency of purchase - monthly, quarterly etc</t>
        </r>
      </text>
    </comment>
    <comment ref="B8" authorId="0">
      <text>
        <r>
          <rPr>
            <b/>
            <sz val="9"/>
            <color indexed="81"/>
            <rFont val="Tahoma"/>
            <family val="2"/>
          </rPr>
          <t>Arjun Moorthy:</t>
        </r>
        <r>
          <rPr>
            <sz val="9"/>
            <color indexed="81"/>
            <rFont val="Tahoma"/>
            <family val="2"/>
          </rPr>
          <t xml:space="preserve">
Must be at same frequency as purchase line above</t>
        </r>
      </text>
    </comment>
    <comment ref="C29" authorId="0">
      <text>
        <r>
          <rPr>
            <b/>
            <sz val="9"/>
            <color indexed="81"/>
            <rFont val="Tahoma"/>
            <family val="2"/>
          </rPr>
          <t>Arjun Moorthy:</t>
        </r>
        <r>
          <rPr>
            <sz val="9"/>
            <color indexed="81"/>
            <rFont val="Tahoma"/>
            <family val="2"/>
          </rPr>
          <t xml:space="preserve">
Suggested price is the higher of current COCA or 10% of LTV.  10% of LTV is roughly the same as saying a 25% return on that marketing investment if the LTV is over 10 years.  If shorter timeframe even better investment</t>
        </r>
      </text>
    </comment>
    <comment ref="C32" authorId="0">
      <text>
        <r>
          <rPr>
            <b/>
            <sz val="9"/>
            <color indexed="81"/>
            <rFont val="Tahoma"/>
            <family val="2"/>
          </rPr>
          <t>Arjun Moorthy:</t>
        </r>
        <r>
          <rPr>
            <sz val="9"/>
            <color indexed="81"/>
            <rFont val="Tahoma"/>
            <family val="2"/>
          </rPr>
          <t xml:space="preserve">
You can go higher than this amount if client in high growth mode but you can also go lower if you are not an established agency</t>
        </r>
      </text>
    </comment>
  </commentList>
</comments>
</file>

<file path=xl/comments3.xml><?xml version="1.0" encoding="utf-8"?>
<comments xmlns="http://schemas.openxmlformats.org/spreadsheetml/2006/main">
  <authors>
    <author>Greg Elwell</author>
  </authors>
  <commentList>
    <comment ref="C6" authorId="0">
      <text>
        <r>
          <rPr>
            <b/>
            <sz val="8"/>
            <color indexed="81"/>
            <rFont val="Tahoma"/>
            <family val="2"/>
          </rPr>
          <t>New monthly revenue is incremental to what you're currently achieving. Think in terms of revenue generated from new inbound marketing lead generation activities.</t>
        </r>
      </text>
    </comment>
    <comment ref="C15" authorId="0">
      <text>
        <r>
          <rPr>
            <b/>
            <sz val="8"/>
            <color indexed="81"/>
            <rFont val="Tahoma"/>
            <family val="2"/>
          </rPr>
          <t>Take your total revenue collected over the past 12 months and divide by the number of customers or clients you have.  Some may want to do weighted averages, if you have multiple revenue streams that vary widely.</t>
        </r>
      </text>
    </comment>
    <comment ref="C20" authorId="0">
      <text>
        <r>
          <rPr>
            <b/>
            <sz val="8"/>
            <color indexed="81"/>
            <rFont val="Tahoma"/>
            <family val="2"/>
          </rPr>
          <t xml:space="preserve">Conversion rate is found by taking the number of new customers you acquire each month and dividing by the number of leads generated and worked.
</t>
        </r>
      </text>
    </comment>
    <comment ref="C27" authorId="0">
      <text>
        <r>
          <rPr>
            <b/>
            <sz val="8"/>
            <color indexed="81"/>
            <rFont val="Tahoma"/>
            <family val="2"/>
          </rPr>
          <t>Be relatively conservative. Remember it's just a target. You can adjust later as you accumulate actual data from your inbound marketing efforts.</t>
        </r>
      </text>
    </comment>
  </commentList>
</comments>
</file>

<file path=xl/comments4.xml><?xml version="1.0" encoding="utf-8"?>
<comments xmlns="http://schemas.openxmlformats.org/spreadsheetml/2006/main">
  <authors>
    <author>Arjun Moorthy</author>
  </authors>
  <commentList>
    <comment ref="E18" authorId="0">
      <text>
        <r>
          <rPr>
            <b/>
            <sz val="9"/>
            <color indexed="81"/>
            <rFont val="Tahoma"/>
            <family val="2"/>
          </rPr>
          <t>Arjun Moorthy:</t>
        </r>
        <r>
          <rPr>
            <sz val="9"/>
            <color indexed="81"/>
            <rFont val="Tahoma"/>
            <family val="2"/>
          </rPr>
          <t xml:space="preserve">
See comments in N4 for the logic behind this</t>
        </r>
      </text>
    </comment>
    <comment ref="E21" authorId="0">
      <text>
        <r>
          <rPr>
            <b/>
            <sz val="9"/>
            <color indexed="81"/>
            <rFont val="Tahoma"/>
            <family val="2"/>
          </rPr>
          <t>Arjun Moorthy:</t>
        </r>
        <r>
          <rPr>
            <sz val="9"/>
            <color indexed="81"/>
            <rFont val="Tahoma"/>
            <family val="2"/>
          </rPr>
          <t xml:space="preserve">
4 hrs/week (16 hrs/mth) is the bare minimum investment for any Inbound marketing effort</t>
        </r>
      </text>
    </comment>
    <comment ref="G21" authorId="0">
      <text>
        <r>
          <rPr>
            <b/>
            <sz val="9"/>
            <color indexed="81"/>
            <rFont val="Tahoma"/>
            <family val="2"/>
          </rPr>
          <t>Arjun Moorthy:</t>
        </r>
        <r>
          <rPr>
            <sz val="9"/>
            <color indexed="81"/>
            <rFont val="Tahoma"/>
            <family val="2"/>
          </rPr>
          <t xml:space="preserve">
6 hrs/week is the recommended minimum for Inbound marketing effort that will yield the low end of the results on the "Timeline of results" tab</t>
        </r>
      </text>
    </comment>
    <comment ref="I21" authorId="0">
      <text>
        <r>
          <rPr>
            <b/>
            <sz val="9"/>
            <color indexed="81"/>
            <rFont val="Tahoma"/>
            <family val="2"/>
          </rPr>
          <t>Arjun Moorthy:</t>
        </r>
        <r>
          <rPr>
            <sz val="9"/>
            <color indexed="81"/>
            <rFont val="Tahoma"/>
            <family val="2"/>
          </rPr>
          <t xml:space="preserve">
10 hrs/week is the probale maximum for Inbound marketing effort that will yield the high end of the results on the "Timeline of results" tab</t>
        </r>
      </text>
    </comment>
    <comment ref="D22" authorId="0">
      <text>
        <r>
          <rPr>
            <b/>
            <sz val="9"/>
            <color indexed="81"/>
            <rFont val="Tahoma"/>
            <family val="2"/>
          </rPr>
          <t>Arjun Moorthy:</t>
        </r>
        <r>
          <rPr>
            <sz val="9"/>
            <color indexed="81"/>
            <rFont val="Tahoma"/>
            <family val="2"/>
          </rPr>
          <t xml:space="preserve">
Fully loaded costs includes overheads (usually 30%) and utlization (typical is 60-80%).  E.g. $50/hr gross rate * 1.30 loading factor / 70% utilizted = $92/hr fully loaded effective cost</t>
        </r>
      </text>
    </comment>
    <comment ref="C40" authorId="0">
      <text>
        <r>
          <rPr>
            <b/>
            <sz val="9"/>
            <color indexed="81"/>
            <rFont val="Tahoma"/>
            <family val="2"/>
          </rPr>
          <t>Arjun Moorthy:</t>
        </r>
        <r>
          <rPr>
            <sz val="9"/>
            <color indexed="81"/>
            <rFont val="Tahoma"/>
            <family val="2"/>
          </rPr>
          <t xml:space="preserve">
Average operating margins, which is net margin plus tax rate, are generally in the 30-45% range</t>
        </r>
      </text>
    </comment>
    <comment ref="C41" authorId="0">
      <text>
        <r>
          <rPr>
            <b/>
            <sz val="9"/>
            <color indexed="81"/>
            <rFont val="Tahoma"/>
            <family val="2"/>
          </rPr>
          <t>Arjun Moorthy:</t>
        </r>
        <r>
          <rPr>
            <sz val="9"/>
            <color indexed="81"/>
            <rFont val="Tahoma"/>
            <family val="2"/>
          </rPr>
          <t xml:space="preserve">
Insert list HubSpot price at level of contacts for client</t>
        </r>
      </text>
    </comment>
    <comment ref="E45" authorId="0">
      <text>
        <r>
          <rPr>
            <b/>
            <sz val="9"/>
            <color indexed="81"/>
            <rFont val="Tahoma"/>
            <family val="2"/>
          </rPr>
          <t>Arjun Moorthy:</t>
        </r>
        <r>
          <rPr>
            <sz val="9"/>
            <color indexed="81"/>
            <rFont val="Tahoma"/>
            <family val="2"/>
          </rPr>
          <t xml:space="preserve">
This is determined by which of the plans below has a cost that keeps you above your desired operating margin</t>
        </r>
      </text>
    </comment>
  </commentList>
</comments>
</file>

<file path=xl/sharedStrings.xml><?xml version="1.0" encoding="utf-8"?>
<sst xmlns="http://schemas.openxmlformats.org/spreadsheetml/2006/main" count="449" uniqueCount="297">
  <si>
    <t>HubSpot comparable</t>
  </si>
  <si>
    <t>Average revenue/mth of each customer</t>
  </si>
  <si>
    <t>Gross margin of customer</t>
  </si>
  <si>
    <t>Lifetime value of customer</t>
  </si>
  <si>
    <t>Profit per customer (before G&amp;A and R&amp;D costs )</t>
  </si>
  <si>
    <t>LTV:COCA ratio</t>
  </si>
  <si>
    <t>Time to profitability with each customer (months)</t>
  </si>
  <si>
    <t>&lt;--- You want this to be more than 3 to cover G&amp;A and R&amp;D costs</t>
  </si>
  <si>
    <t>Marketing COCA</t>
  </si>
  <si>
    <t>Sales COCA</t>
  </si>
  <si>
    <t>Determine Lifetime Value of customer (LTV)</t>
  </si>
  <si>
    <t>&lt;--- Gross margin mean you subtract out any expenses involved with delivering your product</t>
  </si>
  <si>
    <t>&lt;--- This is gross margin value of each customer over their lifetime</t>
  </si>
  <si>
    <t>Overall firm profitability</t>
  </si>
  <si>
    <t>Number of customers with recurring revenue</t>
  </si>
  <si>
    <t>Gross revenue per month</t>
  </si>
  <si>
    <t>Calculate Gross Margin</t>
  </si>
  <si>
    <t>Non-staff cost directly attributable to customer-facing work (per mth)</t>
  </si>
  <si>
    <t>How many active retainer clients do you currently have? (total number)</t>
  </si>
  <si>
    <t>What is the average amount per month of the retainers you receive? (dollar amount per month)</t>
  </si>
  <si>
    <t>For your project work (not retainer), what is the average amount you receive per project (dollar amount per project)</t>
  </si>
  <si>
    <t>How many new projects do you sell per month?</t>
  </si>
  <si>
    <t>Retainer revenue/mth</t>
  </si>
  <si>
    <t>Project revenue/mth</t>
  </si>
  <si>
    <t>Total Monthly revenue</t>
  </si>
  <si>
    <t>What is your monthly revenue goal?</t>
  </si>
  <si>
    <t>How many months from now would you like to achieve this goal?</t>
  </si>
  <si>
    <t>What is the average length of your retainers? (months)</t>
  </si>
  <si>
    <t>On average how many new retainer clients do you secure per month? (number per month)</t>
  </si>
  <si>
    <t>Do you have a list of questions you use to qualify whether a lead is a good fit for you and whether you can help them?</t>
  </si>
  <si>
    <t>No</t>
  </si>
  <si>
    <t>Do you have a process for helping your prospects set reasonable goals and a plan to help achieve them?</t>
  </si>
  <si>
    <t>Do you use a customer relationship management system to track sales activity, performance and forecast revenue?</t>
  </si>
  <si>
    <t>Is your sales process built to help you hit your growth goal?</t>
  </si>
  <si>
    <t>Revenue goal</t>
  </si>
  <si>
    <t>Growth rate</t>
  </si>
  <si>
    <t>Revenue growth rate/mth</t>
  </si>
  <si>
    <t>Current revenue shortfall/mth</t>
  </si>
  <si>
    <t>Time to reach goal (months)</t>
  </si>
  <si>
    <t>On average how many retainer clients do you lose per month? (number per month)</t>
  </si>
  <si>
    <t>Expected new customers/mth based on partner's services</t>
  </si>
  <si>
    <t>Value acquired each month</t>
  </si>
  <si>
    <t>HubSpot gets ~150 customers/mth from Inbound efforts only</t>
  </si>
  <si>
    <t>Average lifetime of customer in months (or 1 divided by monthly churn rate)</t>
  </si>
  <si>
    <t>HubSpot comparable: Mike Volpe's total team cost is ~$1M/mth, about $400k of which is program spend</t>
  </si>
  <si>
    <t>&lt;---Price services at 1/10th the value it delivers, or less</t>
  </si>
  <si>
    <t>&lt;--- When this gets to zero or less, they've achieved their goal</t>
  </si>
  <si>
    <t>% of time doing client facing work</t>
  </si>
  <si>
    <t>Average unloaded staff cost (from CEO to front-line AE)</t>
  </si>
  <si>
    <t>&lt;--- 60% billable time is common in professional services firms</t>
  </si>
  <si>
    <t>&lt;--- Volpe's team averages $135k/employee</t>
  </si>
  <si>
    <t>Inbound Marketing Traffic Calculator</t>
  </si>
  <si>
    <t>Data from Evaluation (Beige)</t>
  </si>
  <si>
    <t>Enter Inputs (Grey)</t>
  </si>
  <si>
    <t>Calculator results (Orange)</t>
  </si>
  <si>
    <t>Note: Achievement of desired results is dependent on your company's implementation of the full HubSpot Inbound Marketing Methodology over a period of time. Use this calculator to set goals.</t>
  </si>
  <si>
    <t>Step 1</t>
  </si>
  <si>
    <t>Enter your monthly booked revenue goal.</t>
  </si>
  <si>
    <r>
      <t xml:space="preserve">How much </t>
    </r>
    <r>
      <rPr>
        <b/>
        <i/>
        <sz val="11"/>
        <color indexed="8"/>
        <rFont val="Calibri"/>
        <family val="2"/>
      </rPr>
      <t>new</t>
    </r>
    <r>
      <rPr>
        <sz val="11"/>
        <color theme="1"/>
        <rFont val="Calibri"/>
        <family val="2"/>
        <scheme val="minor"/>
      </rPr>
      <t xml:space="preserve"> </t>
    </r>
    <r>
      <rPr>
        <b/>
        <i/>
        <sz val="11"/>
        <color indexed="8"/>
        <rFont val="Calibri"/>
        <family val="2"/>
      </rPr>
      <t>booked</t>
    </r>
    <r>
      <rPr>
        <sz val="11"/>
        <color theme="1"/>
        <rFont val="Calibri"/>
        <family val="2"/>
        <scheme val="minor"/>
      </rPr>
      <t xml:space="preserve"> revenue do you plan to generate each month?</t>
    </r>
  </si>
  <si>
    <t>New booked revenue:</t>
  </si>
  <si>
    <t>Enter as a whole number.  Example: 5000</t>
  </si>
  <si>
    <t>Step 2</t>
  </si>
  <si>
    <t xml:space="preserve">Enter the % of new revenue needed from inbound marketing. </t>
  </si>
  <si>
    <t xml:space="preserve">What percentage of this revenue do you need to book from Inbound Marketing as opposed to other sources of leads &amp; new clients? </t>
  </si>
  <si>
    <t xml:space="preserve">Percentage: </t>
  </si>
  <si>
    <t>Step 3</t>
  </si>
  <si>
    <r>
      <t>What's your average</t>
    </r>
    <r>
      <rPr>
        <sz val="11"/>
        <color theme="1"/>
        <rFont val="Calibri"/>
        <family val="2"/>
        <scheme val="minor"/>
      </rPr>
      <t xml:space="preserve"> lifetime revenue per customer?</t>
    </r>
  </si>
  <si>
    <t>Avg revenue per client:</t>
  </si>
  <si>
    <t>Enter as a whole number.  Example: 750</t>
  </si>
  <si>
    <t>Monthly New Customers:</t>
  </si>
  <si>
    <t>Step 4</t>
  </si>
  <si>
    <t>Calculate number of monthly leads needed to support new client goal.</t>
  </si>
  <si>
    <t xml:space="preserve">What's your  lead-to-customer conversion rate? What's your Goal? </t>
  </si>
  <si>
    <t xml:space="preserve">Current </t>
  </si>
  <si>
    <t xml:space="preserve"> Goal</t>
  </si>
  <si>
    <t>Lead-to-customer rate:</t>
  </si>
  <si>
    <t>Enter as a decimal.  Example: 5% = .05</t>
  </si>
  <si>
    <t>Monthly Leads Needed*:</t>
  </si>
  <si>
    <t>*Depends on Conversion Rate</t>
  </si>
  <si>
    <t>Step 5</t>
  </si>
  <si>
    <t>Calculate monthly traffic needed to generate required number of leads.</t>
  </si>
  <si>
    <t xml:space="preserve">What's your visitor-to-lead conversion rate. What's your goal? </t>
  </si>
  <si>
    <t>Visitor-to-lead Conversion:</t>
  </si>
  <si>
    <t>Enter as a decimal.  Example: 4% = .04</t>
  </si>
  <si>
    <t>Monthly Visitors Needed*:</t>
  </si>
  <si>
    <t>Credit:</t>
  </si>
  <si>
    <t>Greg Elwell of</t>
  </si>
  <si>
    <t>B2B Inbound</t>
  </si>
  <si>
    <t>&amp; Peter Caputa of HubSpot</t>
  </si>
  <si>
    <t>Simple assessment of growth goals, timeline and ability to make it</t>
  </si>
  <si>
    <t>Current marketing spend to acquire customers</t>
  </si>
  <si>
    <t>Customer Cost of Acquisition (COCA)</t>
  </si>
  <si>
    <t>Max price to charge for Marketing services, per month</t>
  </si>
  <si>
    <t>&lt;--- If negative number then agency is not saving customer any money</t>
  </si>
  <si>
    <t>Profitability of customer to agency</t>
  </si>
  <si>
    <t>Pricing by agency to customer</t>
  </si>
  <si>
    <t>Prospect's customer profitability</t>
  </si>
  <si>
    <t>Prospect's info</t>
  </si>
  <si>
    <t>Savings per month, if charge prospect your max price</t>
  </si>
  <si>
    <t>** Use Kuno e-book to benchmark marketing spend at at least 2% of rev but more like 6-11%</t>
  </si>
  <si>
    <t>** Use Kuno e-book on rough costs for various on-going efforts</t>
  </si>
  <si>
    <t>&lt;--- 5-10% of revenue as marketing spend is common though no lower than 2%.  HubSpot is ~15% right now</t>
  </si>
  <si>
    <t>GAP ANALYSIS (months):</t>
  </si>
  <si>
    <t>Traffic</t>
  </si>
  <si>
    <t xml:space="preserve">Leads </t>
  </si>
  <si>
    <t>New Customers</t>
  </si>
  <si>
    <t>Current</t>
  </si>
  <si>
    <t>Goal</t>
  </si>
  <si>
    <t>Monthly Increase Needed</t>
  </si>
  <si>
    <t>First Month Increase Required</t>
  </si>
  <si>
    <t>Total Improvement Needed</t>
  </si>
  <si>
    <t>RECOMMENDED PLAN:</t>
  </si>
  <si>
    <t xml:space="preserve">Fast </t>
  </si>
  <si>
    <t>Faster</t>
  </si>
  <si>
    <t>Fastest</t>
  </si>
  <si>
    <t>Time/Unit</t>
  </si>
  <si>
    <t>$/Time</t>
  </si>
  <si>
    <t>Frequency/Month</t>
  </si>
  <si>
    <t>Cost</t>
  </si>
  <si>
    <t>Ongoing Activities</t>
  </si>
  <si>
    <t>(Hours)</t>
  </si>
  <si>
    <t>($USD/Hour)</t>
  </si>
  <si>
    <t>(Number)</t>
  </si>
  <si>
    <t>($USD)</t>
  </si>
  <si>
    <t>Attract More Traffic</t>
  </si>
  <si>
    <t>Convert Traffic to Leads</t>
  </si>
  <si>
    <t>Convert Leads to Customers</t>
  </si>
  <si>
    <t>HubSpot 1K Contacts</t>
  </si>
  <si>
    <t xml:space="preserve">Project/Acct Manager </t>
  </si>
  <si>
    <t xml:space="preserve">Sales Person Commission </t>
  </si>
  <si>
    <t>Margin</t>
  </si>
  <si>
    <t>Total Monthly Investment</t>
  </si>
  <si>
    <t>Desired Margin</t>
  </si>
  <si>
    <t>Sales Commission</t>
  </si>
  <si>
    <t>&lt;--- This is "cost plus" pricing and is wrong. The agency's cost is irrelevant to the customer</t>
  </si>
  <si>
    <t>Write Blog Article</t>
  </si>
  <si>
    <t>Build Link</t>
  </si>
  <si>
    <t>Interact in Social Media</t>
  </si>
  <si>
    <t>Build Offer</t>
  </si>
  <si>
    <t>Build Landing Page</t>
  </si>
  <si>
    <t>Build CTA</t>
  </si>
  <si>
    <t>Build Lead Nurturing Sequence</t>
  </si>
  <si>
    <t>Segment Leads</t>
  </si>
  <si>
    <t>Send Email Campaign</t>
  </si>
  <si>
    <t>How many Full Time Equivalent (FTE) employees do you have?</t>
  </si>
  <si>
    <t>Retainers, or recurring revenue</t>
  </si>
  <si>
    <t>Projects, or non-recurring revenue</t>
  </si>
  <si>
    <t>Average salary of FTE</t>
  </si>
  <si>
    <t>Average utilization of FTE</t>
  </si>
  <si>
    <t>Effective cost of FTE</t>
  </si>
  <si>
    <t>Desired net margin for agency</t>
  </si>
  <si>
    <t>Corporate tax rate</t>
  </si>
  <si>
    <t>Estimated profitability</t>
  </si>
  <si>
    <t>Estimate of Agency's current financial health</t>
  </si>
  <si>
    <t>Benchmark net revenue/employee to exceed</t>
  </si>
  <si>
    <t>FTE benefits and  overheads add-on</t>
  </si>
  <si>
    <t>Calculate Lifetime Value of your client's customers</t>
  </si>
  <si>
    <t>Average revenue per customer</t>
  </si>
  <si>
    <t>Average revenue per customer (recurring purchases)</t>
  </si>
  <si>
    <t>Average number of purchases by customer over their lifetime with you</t>
  </si>
  <si>
    <t>Average revenue per single-purchase customer</t>
  </si>
  <si>
    <t>Percentage of your client base that is single-purchase</t>
  </si>
  <si>
    <t>Gross Margin of client</t>
  </si>
  <si>
    <t>Agency's Value to Client</t>
  </si>
  <si>
    <t>Revenue per customer (recurring purchases)</t>
  </si>
  <si>
    <t>Revenue per customer (non-recurring purchases)</t>
  </si>
  <si>
    <t>Client's Marketing Cost of Customer Acquisition (COCA)</t>
  </si>
  <si>
    <t>Fully loaded annual salary of FTEs involved in marketing team</t>
  </si>
  <si>
    <t>Annual Net Revenue/Employee</t>
  </si>
  <si>
    <t>Traffic/mth</t>
  </si>
  <si>
    <t>Leads/mth</t>
  </si>
  <si>
    <t>Client's Inbound funnel analysis</t>
  </si>
  <si>
    <t>Visitor:Lead conversion</t>
  </si>
  <si>
    <t>Lead:customer conversion</t>
  </si>
  <si>
    <t>Current funnel</t>
  </si>
  <si>
    <r>
      <t xml:space="preserve">Desired customers at </t>
    </r>
    <r>
      <rPr>
        <b/>
        <sz val="11"/>
        <color rgb="FF00B050"/>
        <rFont val="Calibri"/>
        <family val="2"/>
        <scheme val="minor"/>
      </rPr>
      <t>current</t>
    </r>
    <r>
      <rPr>
        <b/>
        <sz val="11"/>
        <color theme="1"/>
        <rFont val="Calibri"/>
        <family val="2"/>
        <scheme val="minor"/>
      </rPr>
      <t xml:space="preserve"> conversion rates</t>
    </r>
  </si>
  <si>
    <r>
      <t xml:space="preserve">Desired customers at </t>
    </r>
    <r>
      <rPr>
        <b/>
        <sz val="11"/>
        <color theme="9" tint="-0.249977111117893"/>
        <rFont val="Calibri"/>
        <family val="2"/>
        <scheme val="minor"/>
      </rPr>
      <t>benchmark</t>
    </r>
    <r>
      <rPr>
        <b/>
        <sz val="11"/>
        <color theme="1"/>
        <rFont val="Calibri"/>
        <family val="2"/>
        <scheme val="minor"/>
      </rPr>
      <t xml:space="preserve"> conversion rates</t>
    </r>
  </si>
  <si>
    <t>Average Lifetime Value (LTV) of customers for your client</t>
  </si>
  <si>
    <t>Marketing spend as % of revenue typically matched to growth rate</t>
  </si>
  <si>
    <t>So for 10% growth typically need to spend 10% of revenue as marketing</t>
  </si>
  <si>
    <t>Varies by industry competitiveness and whether you're established or new entrant to market</t>
  </si>
  <si>
    <t>Visitor:Leads (goal)</t>
  </si>
  <si>
    <t>Visitor:Leads (current)</t>
  </si>
  <si>
    <t>Lead:customer (current)</t>
  </si>
  <si>
    <t>Lead:customer (goal)</t>
  </si>
  <si>
    <t>Improvement needed</t>
  </si>
  <si>
    <t>Conversions</t>
  </si>
  <si>
    <t>Traffic &amp; Conversions</t>
  </si>
  <si>
    <t>Effort allocated to TOFU</t>
  </si>
  <si>
    <t>Approximate number of customers acquired annually by client (all channels)</t>
  </si>
  <si>
    <t>Customer/mth (inbound only)</t>
  </si>
  <si>
    <t>HubSpot Subscription</t>
  </si>
  <si>
    <t xml:space="preserve"> </t>
  </si>
  <si>
    <t>Industry average is 66%</t>
  </si>
  <si>
    <t>Industry average is 30%</t>
  </si>
  <si>
    <t>Industry average is 15%</t>
  </si>
  <si>
    <t>Average purchase per customer</t>
  </si>
  <si>
    <t xml:space="preserve">If traffic and lead improvement amounts are negative then focus on conversion rates </t>
  </si>
  <si>
    <t>Industry avg. from MIT report is 1%-3% but HubSpot client target is 5% (http://hubspot.com/roi)</t>
  </si>
  <si>
    <t>Month</t>
  </si>
  <si>
    <t>Leads Multiplier</t>
  </si>
  <si>
    <t>Database Size</t>
  </si>
  <si>
    <t>Current Website Performance</t>
  </si>
  <si>
    <t>Monthly Website Traffic</t>
  </si>
  <si>
    <t>Industry Average*</t>
  </si>
  <si>
    <r>
      <t>HubSpot Target</t>
    </r>
    <r>
      <rPr>
        <b/>
        <sz val="11"/>
        <color theme="1"/>
        <rFont val="Calibri"/>
        <family val="2"/>
      </rPr>
      <t>²</t>
    </r>
  </si>
  <si>
    <t>Monthly Leads from Website</t>
  </si>
  <si>
    <r>
      <t>Overall Increase in Visitors by Starting Volume of Traffic per Month</t>
    </r>
    <r>
      <rPr>
        <sz val="11"/>
        <color theme="1"/>
        <rFont val="Calibri"/>
        <family val="2"/>
      </rPr>
      <t>³</t>
    </r>
  </si>
  <si>
    <t>Current Database Size</t>
  </si>
  <si>
    <t>After active use for:</t>
  </si>
  <si>
    <t>Monthly Inbound Customer Count</t>
  </si>
  <si>
    <t>6 months</t>
  </si>
  <si>
    <t>12 months</t>
  </si>
  <si>
    <t>Target Monthly Inbound Customer Count</t>
  </si>
  <si>
    <t>1 to 199 starting visitors</t>
  </si>
  <si>
    <t>1.5x more traffic</t>
  </si>
  <si>
    <t>1.9x more traffic</t>
  </si>
  <si>
    <t>200 to 499 starting visitors</t>
  </si>
  <si>
    <t>2.5x more traffic</t>
  </si>
  <si>
    <t>500 to 1,999 starting visitors</t>
  </si>
  <si>
    <t>2.2x more traffic</t>
  </si>
  <si>
    <t>2,000+ starting visitors</t>
  </si>
  <si>
    <t>1.3x more traffic</t>
  </si>
  <si>
    <t>1.6x more traffic</t>
  </si>
  <si>
    <t>Overall Increase in Leads by Starting Number of Leads per Month³</t>
  </si>
  <si>
    <t>Customer Close %</t>
  </si>
  <si>
    <t>1 to 5 starting leads</t>
  </si>
  <si>
    <t>6.4x more leads in database</t>
  </si>
  <si>
    <t>27.8x more leads in database</t>
  </si>
  <si>
    <t>6 Month Expected Returns</t>
  </si>
  <si>
    <t>6 to 20 starting leads</t>
  </si>
  <si>
    <t>3.8x more leads in database</t>
  </si>
  <si>
    <t>15.6x more leads in database</t>
  </si>
  <si>
    <t>Monthly Traffic</t>
  </si>
  <si>
    <t>21 to 49 starting leads</t>
  </si>
  <si>
    <t>2.6x more leads in database</t>
  </si>
  <si>
    <t>7.1x more leads in database</t>
  </si>
  <si>
    <t>Monthly Inbound Leads</t>
  </si>
  <si>
    <t>50 to 99 starting leads</t>
  </si>
  <si>
    <t>4.1x more leads in database</t>
  </si>
  <si>
    <t>11.7x more leads in database</t>
  </si>
  <si>
    <t>Anticipated Database Size</t>
  </si>
  <si>
    <t>100 to 499 starting leads</t>
  </si>
  <si>
    <t>3.7x more leads in database</t>
  </si>
  <si>
    <t>30.6x more leads in database</t>
  </si>
  <si>
    <t>Monthly Inbound Customers</t>
  </si>
  <si>
    <t>More than 500 starting leads</t>
  </si>
  <si>
    <t>8.0x more leads in database</t>
  </si>
  <si>
    <t>47.9x more leads in database</t>
  </si>
  <si>
    <t>12 Month Expected Returns</t>
  </si>
  <si>
    <t>Change in Leads Monthly Multiplier³</t>
  </si>
  <si>
    <t>1.3x</t>
  </si>
  <si>
    <t>1.2x</t>
  </si>
  <si>
    <t>1.4x</t>
  </si>
  <si>
    <t>* Industry Target is based on average website conversion of 1% to 3%</t>
  </si>
  <si>
    <t>Increases</t>
  </si>
  <si>
    <t>² HubSpot Target is based on 5% website conversion for HubSpot Clients</t>
  </si>
  <si>
    <t xml:space="preserve">³ All metrics are taken from "ROI of HubSpot":  http://www.hubspot.com/roi/ </t>
  </si>
  <si>
    <t>Leads</t>
  </si>
  <si>
    <t>Database</t>
  </si>
  <si>
    <t>Customers</t>
  </si>
  <si>
    <t>Industry avg. is 2-10%</t>
  </si>
  <si>
    <t>Account Mgt (reporting/strategy)</t>
  </si>
  <si>
    <t>Recommend reading HubSpot's e-book: "How to Deliver Inbound Services" for additional details on building the right plan</t>
  </si>
  <si>
    <t>Effort allocated to MOFU/Rep.</t>
  </si>
  <si>
    <t>Fast</t>
  </si>
  <si>
    <t>Effort behind plan (hrs/mth)</t>
  </si>
  <si>
    <t>RECOMMENDED STRATEGY:</t>
  </si>
  <si>
    <t>Amount for HubSpot subscription</t>
  </si>
  <si>
    <t>per month</t>
  </si>
  <si>
    <t>Incremental customers acquired by agency's efforts (per month)</t>
  </si>
  <si>
    <t>Suggested price agency can charge for incremental customers acquired</t>
  </si>
  <si>
    <t>Suggested price agency can charge per customer acquired</t>
  </si>
  <si>
    <t xml:space="preserve">Recommend that agency not commit to delivering customer count until they have comfort with client's sales closing capability </t>
  </si>
  <si>
    <t>Annual program spend by marketing team (conferences, advertising, software etc)</t>
  </si>
  <si>
    <t>Operating margin for agency</t>
  </si>
  <si>
    <t>Desired Operating Margin (net margin + tax)</t>
  </si>
  <si>
    <t>If traffic and lead improvements are positive then focus on both</t>
  </si>
  <si>
    <t>If traffic improvement is &gt; 0 and lead improvement is &lt; 0 then: focus on traffic</t>
  </si>
  <si>
    <t>If lead improvement is &gt; 0 and traffic improvement is &lt; 0 then: focus on conversion</t>
  </si>
  <si>
    <t>Monthly retainer price (if price by value)</t>
  </si>
  <si>
    <t>Monthly retainer price (if price by cost)</t>
  </si>
  <si>
    <t>Total agency cost</t>
  </si>
  <si>
    <t>Recommended plan (if price by value)</t>
  </si>
  <si>
    <t>3.2x more traffic</t>
  </si>
  <si>
    <t>6.2x more traffic</t>
  </si>
  <si>
    <t>2.9x more traffic</t>
  </si>
  <si>
    <t>2.1x more traffic</t>
  </si>
  <si>
    <t>5.0x more leads in database</t>
  </si>
  <si>
    <t>15.2x more leads in database</t>
  </si>
  <si>
    <t>2.8x more leads in database</t>
  </si>
  <si>
    <t>7.5x more leads in database</t>
  </si>
  <si>
    <t>5.7x more leads in database</t>
  </si>
  <si>
    <t>1.8x more leads in database</t>
  </si>
  <si>
    <t>1.1x more leads in database</t>
  </si>
  <si>
    <t>6.0x more traffic</t>
  </si>
  <si>
    <t>13.4x more traffic</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</si>
</sst>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_(&quot;$&quot;* #,##0_);_(&quot;$&quot;* \(#,##0\);_(&quot;$&quot;* &quot;-&quot;?_);_(@_)"/>
    <numFmt numFmtId="168" formatCode="&quot;$&quot;#,##0.00"/>
    <numFmt numFmtId="169" formatCode="0.0"/>
    <numFmt numFmtId="170" formatCode="#,##0.00%"/>
    <numFmt numFmtId="171" formatCode="#,##0.0%"/>
    <numFmt numFmtId="172" formatCode="0.0%"/>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39997558519241921"/>
      <name val="Calibri"/>
      <family val="2"/>
      <scheme val="minor"/>
    </font>
    <font>
      <sz val="12.1"/>
      <color rgb="FF000000"/>
      <name val="Calibri"/>
      <family val="2"/>
    </font>
    <font>
      <sz val="11"/>
      <color theme="3" tint="0.39997558519241921"/>
      <name val="Calibri"/>
      <family val="2"/>
    </font>
    <font>
      <sz val="11"/>
      <name val="Calibri"/>
      <family val="2"/>
    </font>
    <font>
      <sz val="11"/>
      <color rgb="FF000000"/>
      <name val="Calibri"/>
      <family val="2"/>
    </font>
    <font>
      <sz val="11"/>
      <color rgb="FFFF0000"/>
      <name val="Calibri"/>
      <family val="2"/>
      <scheme val="minor"/>
    </font>
    <font>
      <sz val="11"/>
      <color indexed="8"/>
      <name val="Calibri"/>
      <family val="2"/>
    </font>
    <font>
      <b/>
      <sz val="22"/>
      <color indexed="8"/>
      <name val="Calibri"/>
      <family val="2"/>
    </font>
    <font>
      <b/>
      <sz val="14"/>
      <color indexed="8"/>
      <name val="Calibri"/>
      <family val="2"/>
    </font>
    <font>
      <b/>
      <sz val="11"/>
      <color indexed="8"/>
      <name val="Calibri"/>
      <family val="2"/>
    </font>
    <font>
      <b/>
      <i/>
      <sz val="11"/>
      <color indexed="8"/>
      <name val="Calibri"/>
      <family val="2"/>
    </font>
    <font>
      <sz val="12"/>
      <color indexed="8"/>
      <name val="Calibri"/>
      <family val="2"/>
    </font>
    <font>
      <sz val="12"/>
      <name val="Calibri"/>
      <family val="2"/>
    </font>
    <font>
      <b/>
      <sz val="12"/>
      <color indexed="8"/>
      <name val="Calibri"/>
      <family val="2"/>
    </font>
    <font>
      <b/>
      <sz val="14"/>
      <name val="Calibri"/>
      <family val="2"/>
    </font>
    <font>
      <u/>
      <sz val="11"/>
      <color indexed="12"/>
      <name val="Calibri"/>
      <family val="2"/>
    </font>
    <font>
      <b/>
      <sz val="8"/>
      <color indexed="81"/>
      <name val="Tahoma"/>
      <family val="2"/>
    </font>
    <font>
      <i/>
      <sz val="11"/>
      <color theme="1"/>
      <name val="Calibri"/>
      <family val="2"/>
      <scheme val="minor"/>
    </font>
    <font>
      <sz val="11"/>
      <name val="Calibri"/>
      <family val="2"/>
      <scheme val="minor"/>
    </font>
    <font>
      <sz val="11"/>
      <color rgb="FF0070C0"/>
      <name val="Calibri"/>
      <family val="2"/>
      <scheme val="minor"/>
    </font>
    <font>
      <b/>
      <sz val="11"/>
      <color theme="3" tint="0.39997558519241921"/>
      <name val="Calibri"/>
      <family val="2"/>
      <scheme val="minor"/>
    </font>
    <font>
      <sz val="11"/>
      <color theme="4" tint="-0.249977111117893"/>
      <name val="Calibri"/>
      <family val="2"/>
    </font>
    <font>
      <sz val="11"/>
      <color rgb="FF0070C0"/>
      <name val="Calibri"/>
      <family val="2"/>
    </font>
    <font>
      <b/>
      <sz val="11"/>
      <color rgb="FF000000"/>
      <name val="Calibri"/>
      <family val="2"/>
    </font>
    <font>
      <b/>
      <sz val="12"/>
      <color theme="1"/>
      <name val="Calibri"/>
      <family val="2"/>
      <scheme val="minor"/>
    </font>
    <font>
      <b/>
      <sz val="14"/>
      <color theme="1"/>
      <name val="Calibri"/>
      <family val="2"/>
      <scheme val="minor"/>
    </font>
    <font>
      <b/>
      <sz val="11"/>
      <name val="Calibri"/>
      <family val="2"/>
      <scheme val="minor"/>
    </font>
    <font>
      <b/>
      <sz val="11"/>
      <color rgb="FF00B050"/>
      <name val="Calibri"/>
      <family val="2"/>
      <scheme val="minor"/>
    </font>
    <font>
      <b/>
      <sz val="11"/>
      <color theme="9" tint="-0.249977111117893"/>
      <name val="Calibri"/>
      <family val="2"/>
      <scheme val="minor"/>
    </font>
    <font>
      <b/>
      <sz val="14"/>
      <color rgb="FF000000"/>
      <name val="Calibri"/>
      <family val="2"/>
    </font>
    <font>
      <b/>
      <sz val="14"/>
      <name val="Calibri"/>
      <family val="2"/>
      <scheme val="minor"/>
    </font>
    <font>
      <sz val="9"/>
      <color indexed="81"/>
      <name val="Tahoma"/>
      <family val="2"/>
    </font>
    <font>
      <b/>
      <sz val="9"/>
      <color indexed="81"/>
      <name val="Tahoma"/>
      <family val="2"/>
    </font>
    <font>
      <b/>
      <sz val="14"/>
      <color rgb="FF00B050"/>
      <name val="Calibri"/>
      <family val="2"/>
      <scheme val="minor"/>
    </font>
    <font>
      <b/>
      <i/>
      <sz val="11"/>
      <color rgb="FFFF0000"/>
      <name val="Calibri"/>
      <family val="2"/>
      <scheme val="minor"/>
    </font>
    <font>
      <b/>
      <sz val="11"/>
      <color theme="1"/>
      <name val="Calibri"/>
      <family val="2"/>
    </font>
    <font>
      <sz val="11"/>
      <color theme="1"/>
      <name val="Calibri"/>
      <family val="2"/>
    </font>
    <font>
      <i/>
      <sz val="10"/>
      <color theme="1"/>
      <name val="Calibri"/>
      <family val="2"/>
      <scheme val="minor"/>
    </font>
    <font>
      <i/>
      <sz val="10"/>
      <color theme="1"/>
      <name val="Calibri"/>
      <family val="2"/>
    </font>
    <font>
      <sz val="14"/>
      <color theme="1"/>
      <name val="Calibri"/>
      <family val="2"/>
      <scheme val="minor"/>
    </font>
    <font>
      <sz val="9"/>
      <color rgb="FF000000"/>
      <name val="Courier New"/>
      <family val="3"/>
    </font>
    <font>
      <sz val="11"/>
      <color theme="0"/>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solid">
        <fgColor indexed="51"/>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FFFF00"/>
        <bgColor indexed="64"/>
      </patternFill>
    </fill>
    <fill>
      <patternFill patternType="solid">
        <fgColor theme="2"/>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3300"/>
        <bgColor indexed="64"/>
      </patternFill>
    </fill>
    <fill>
      <patternFill patternType="solid">
        <fgColor rgb="FFCC0066"/>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6" tint="0.59999389629810485"/>
        <bgColor indexed="64"/>
      </patternFill>
    </fill>
  </fills>
  <borders count="26">
    <border>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316">
    <xf numFmtId="0" fontId="0" fillId="0" borderId="0" xfId="0"/>
    <xf numFmtId="164" fontId="0" fillId="0" borderId="0" xfId="1" applyNumberFormat="1" applyFont="1"/>
    <xf numFmtId="165" fontId="0" fillId="0" borderId="0" xfId="1" applyNumberFormat="1" applyFont="1"/>
    <xf numFmtId="0" fontId="0" fillId="0" borderId="0" xfId="0" applyAlignment="1">
      <alignment horizontal="left" indent="3"/>
    </xf>
    <xf numFmtId="165" fontId="3" fillId="0" borderId="0" xfId="1" applyNumberFormat="1" applyFont="1"/>
    <xf numFmtId="0" fontId="3" fillId="0" borderId="0" xfId="0" applyFont="1"/>
    <xf numFmtId="9" fontId="3" fillId="0" borderId="0" xfId="0" applyNumberFormat="1" applyFont="1"/>
    <xf numFmtId="166" fontId="3" fillId="0" borderId="0" xfId="2" applyNumberFormat="1" applyFont="1"/>
    <xf numFmtId="166" fontId="0" fillId="0" borderId="0" xfId="2" applyNumberFormat="1" applyFont="1"/>
    <xf numFmtId="166" fontId="0" fillId="0" borderId="0" xfId="0" applyNumberFormat="1"/>
    <xf numFmtId="0" fontId="0" fillId="0" borderId="0" xfId="0" applyAlignment="1">
      <alignment horizontal="left"/>
    </xf>
    <xf numFmtId="0" fontId="0" fillId="0" borderId="1" xfId="0" applyBorder="1"/>
    <xf numFmtId="0" fontId="0" fillId="0" borderId="0" xfId="0" applyFill="1" applyBorder="1" applyAlignment="1">
      <alignment horizontal="left"/>
    </xf>
    <xf numFmtId="0" fontId="2" fillId="0" borderId="1" xfId="0" applyFont="1" applyBorder="1" applyAlignment="1">
      <alignment horizontal="left"/>
    </xf>
    <xf numFmtId="0" fontId="2" fillId="0" borderId="1" xfId="0" applyFont="1" applyBorder="1"/>
    <xf numFmtId="0" fontId="4" fillId="0" borderId="0" xfId="0" applyFont="1" applyBorder="1" applyAlignment="1">
      <alignment horizontal="left" readingOrder="1"/>
    </xf>
    <xf numFmtId="0" fontId="0" fillId="0" borderId="0" xfId="0" applyBorder="1"/>
    <xf numFmtId="0" fontId="0" fillId="0" borderId="0" xfId="0" applyFont="1" applyBorder="1"/>
    <xf numFmtId="0" fontId="4" fillId="0" borderId="0" xfId="0" applyFont="1" applyBorder="1" applyAlignment="1">
      <alignment horizontal="left" indent="2" readingOrder="1"/>
    </xf>
    <xf numFmtId="167" fontId="0" fillId="0" borderId="0" xfId="0" applyNumberFormat="1"/>
    <xf numFmtId="165" fontId="5" fillId="0" borderId="0" xfId="1" applyNumberFormat="1" applyFont="1" applyBorder="1" applyAlignment="1">
      <alignment horizontal="left"/>
    </xf>
    <xf numFmtId="166" fontId="5" fillId="0" borderId="0" xfId="2" applyNumberFormat="1" applyFont="1" applyBorder="1" applyAlignment="1">
      <alignment horizontal="left"/>
    </xf>
    <xf numFmtId="166" fontId="6" fillId="0" borderId="0" xfId="2" applyNumberFormat="1" applyFont="1" applyBorder="1" applyAlignment="1">
      <alignment horizontal="left"/>
    </xf>
    <xf numFmtId="166" fontId="7" fillId="0" borderId="0" xfId="2" applyNumberFormat="1" applyFont="1" applyBorder="1" applyAlignment="1">
      <alignment horizontal="right"/>
    </xf>
    <xf numFmtId="0" fontId="1" fillId="0" borderId="0" xfId="0" applyFont="1"/>
    <xf numFmtId="0" fontId="1" fillId="0" borderId="0" xfId="0" applyFont="1" applyBorder="1"/>
    <xf numFmtId="166" fontId="5" fillId="0" borderId="0" xfId="2" applyNumberFormat="1" applyFont="1" applyBorder="1" applyAlignment="1">
      <alignment horizontal="left" indent="2" readingOrder="1"/>
    </xf>
    <xf numFmtId="165" fontId="5" fillId="0" borderId="0" xfId="1" applyNumberFormat="1" applyFont="1" applyBorder="1" applyAlignment="1">
      <alignment horizontal="left" indent="2" readingOrder="1"/>
    </xf>
    <xf numFmtId="166" fontId="6" fillId="0" borderId="0" xfId="2" applyNumberFormat="1" applyFont="1" applyBorder="1" applyAlignment="1">
      <alignment horizontal="left" indent="2" readingOrder="1"/>
    </xf>
    <xf numFmtId="165" fontId="6" fillId="0" borderId="0" xfId="1" applyNumberFormat="1" applyFont="1" applyBorder="1" applyAlignment="1">
      <alignment horizontal="left" indent="2" readingOrder="1"/>
    </xf>
    <xf numFmtId="0" fontId="9" fillId="0" borderId="0" xfId="3" applyProtection="1">
      <protection locked="0"/>
    </xf>
    <xf numFmtId="0" fontId="11" fillId="2" borderId="11" xfId="3" applyFont="1" applyFill="1" applyBorder="1" applyAlignment="1" applyProtection="1">
      <alignment horizontal="center" vertical="center" wrapText="1"/>
    </xf>
    <xf numFmtId="0" fontId="11" fillId="3" borderId="11" xfId="3" applyFont="1" applyFill="1" applyBorder="1" applyAlignment="1" applyProtection="1">
      <alignment horizontal="center" vertical="center" wrapText="1"/>
    </xf>
    <xf numFmtId="0" fontId="9" fillId="0" borderId="0" xfId="3" applyBorder="1" applyAlignment="1" applyProtection="1">
      <alignment horizontal="left" vertical="center"/>
    </xf>
    <xf numFmtId="0" fontId="9" fillId="0" borderId="14" xfId="3" applyBorder="1" applyAlignment="1" applyProtection="1">
      <alignment vertical="center"/>
      <protection locked="0"/>
    </xf>
    <xf numFmtId="0" fontId="12" fillId="0" borderId="16" xfId="3" applyFont="1" applyBorder="1" applyAlignment="1" applyProtection="1">
      <alignment horizontal="left" vertical="center"/>
    </xf>
    <xf numFmtId="0" fontId="12" fillId="0" borderId="3" xfId="3" applyFont="1" applyBorder="1" applyAlignment="1" applyProtection="1">
      <alignment horizontal="left" vertical="center" wrapText="1"/>
    </xf>
    <xf numFmtId="0" fontId="12" fillId="0" borderId="4" xfId="3" applyFont="1" applyBorder="1" applyAlignment="1" applyProtection="1">
      <alignment horizontal="left" vertical="center" wrapText="1"/>
    </xf>
    <xf numFmtId="0" fontId="9" fillId="0" borderId="16" xfId="3" applyBorder="1" applyAlignment="1" applyProtection="1">
      <alignment horizontal="left" vertical="center"/>
    </xf>
    <xf numFmtId="0" fontId="11" fillId="0" borderId="0" xfId="3" applyFont="1" applyBorder="1" applyAlignment="1" applyProtection="1">
      <alignment horizontal="left" vertical="center"/>
    </xf>
    <xf numFmtId="168" fontId="14" fillId="4" borderId="0" xfId="4" applyNumberFormat="1" applyFont="1" applyFill="1" applyBorder="1" applyAlignment="1" applyProtection="1">
      <alignment horizontal="left" vertical="center"/>
      <protection locked="0"/>
    </xf>
    <xf numFmtId="0" fontId="9" fillId="0" borderId="0" xfId="3" applyBorder="1" applyAlignment="1">
      <alignment horizontal="left" vertical="center"/>
    </xf>
    <xf numFmtId="0" fontId="9" fillId="0" borderId="14" xfId="3" applyBorder="1" applyAlignment="1">
      <alignment horizontal="left" vertical="center"/>
    </xf>
    <xf numFmtId="0" fontId="11" fillId="0" borderId="0" xfId="3" applyFont="1" applyBorder="1" applyAlignment="1" applyProtection="1">
      <alignment horizontal="right" vertical="center"/>
    </xf>
    <xf numFmtId="168" fontId="14" fillId="4" borderId="0" xfId="4" applyNumberFormat="1" applyFont="1" applyFill="1" applyBorder="1" applyAlignment="1" applyProtection="1">
      <alignment horizontal="center" vertical="center"/>
      <protection locked="0"/>
    </xf>
    <xf numFmtId="0" fontId="9" fillId="0" borderId="0" xfId="3" applyBorder="1" applyAlignment="1">
      <alignment vertical="center"/>
    </xf>
    <xf numFmtId="0" fontId="9" fillId="0" borderId="14" xfId="3" applyBorder="1" applyAlignment="1">
      <alignment vertical="center"/>
    </xf>
    <xf numFmtId="0" fontId="11" fillId="0" borderId="16" xfId="3" applyFont="1" applyBorder="1" applyAlignment="1" applyProtection="1">
      <alignment horizontal="right" vertical="center"/>
    </xf>
    <xf numFmtId="0" fontId="11" fillId="0" borderId="5" xfId="3" applyFont="1" applyBorder="1" applyAlignment="1" applyProtection="1">
      <alignment horizontal="right" vertical="center"/>
    </xf>
    <xf numFmtId="0" fontId="11" fillId="0" borderId="6" xfId="3" applyFont="1" applyBorder="1" applyAlignment="1" applyProtection="1">
      <alignment horizontal="right" vertical="center"/>
    </xf>
    <xf numFmtId="9" fontId="15" fillId="5" borderId="11" xfId="5" applyFont="1" applyFill="1" applyBorder="1" applyAlignment="1" applyProtection="1">
      <alignment horizontal="center" vertical="center"/>
      <protection locked="0"/>
    </xf>
    <xf numFmtId="0" fontId="9" fillId="0" borderId="6" xfId="3" applyBorder="1" applyAlignment="1" applyProtection="1">
      <alignment horizontal="left" vertical="center"/>
    </xf>
    <xf numFmtId="0" fontId="9" fillId="0" borderId="6" xfId="3" applyBorder="1" applyAlignment="1">
      <alignment vertical="center"/>
    </xf>
    <xf numFmtId="0" fontId="9" fillId="0" borderId="7" xfId="3" applyBorder="1" applyAlignment="1">
      <alignment vertical="center"/>
    </xf>
    <xf numFmtId="169" fontId="11" fillId="3" borderId="11" xfId="3" applyNumberFormat="1" applyFont="1" applyFill="1" applyBorder="1" applyAlignment="1" applyProtection="1">
      <alignment horizontal="center" vertical="center"/>
    </xf>
    <xf numFmtId="0" fontId="12" fillId="0" borderId="0" xfId="3" applyFont="1" applyBorder="1" applyAlignment="1" applyProtection="1">
      <alignment horizontal="right" vertical="center"/>
    </xf>
    <xf numFmtId="0" fontId="16" fillId="0" borderId="11" xfId="3" applyFont="1" applyBorder="1" applyAlignment="1" applyProtection="1">
      <alignment horizontal="center" vertical="center"/>
    </xf>
    <xf numFmtId="170" fontId="14" fillId="5" borderId="11" xfId="3" applyNumberFormat="1" applyFont="1" applyFill="1" applyBorder="1" applyAlignment="1" applyProtection="1">
      <alignment horizontal="center" vertical="center"/>
    </xf>
    <xf numFmtId="0" fontId="16" fillId="0" borderId="0" xfId="3" applyFont="1" applyBorder="1" applyAlignment="1" applyProtection="1">
      <alignment horizontal="right" vertical="center"/>
    </xf>
    <xf numFmtId="2" fontId="14" fillId="6" borderId="0" xfId="3" applyNumberFormat="1" applyFont="1" applyFill="1" applyBorder="1" applyAlignment="1" applyProtection="1">
      <alignment vertical="center"/>
      <protection locked="0"/>
    </xf>
    <xf numFmtId="0" fontId="14" fillId="6" borderId="0" xfId="3" applyFont="1" applyFill="1" applyBorder="1" applyAlignment="1" applyProtection="1">
      <alignment horizontal="right" vertical="center"/>
    </xf>
    <xf numFmtId="3" fontId="11" fillId="3" borderId="11" xfId="3" applyNumberFormat="1" applyFont="1" applyFill="1" applyBorder="1" applyAlignment="1" applyProtection="1">
      <alignment horizontal="center" vertical="center"/>
    </xf>
    <xf numFmtId="3" fontId="17" fillId="3" borderId="10" xfId="3" applyNumberFormat="1" applyFont="1" applyFill="1" applyBorder="1" applyAlignment="1" applyProtection="1">
      <alignment horizontal="center" vertical="center"/>
    </xf>
    <xf numFmtId="171" fontId="14" fillId="5" borderId="11" xfId="3" applyNumberFormat="1" applyFont="1" applyFill="1" applyBorder="1" applyAlignment="1" applyProtection="1">
      <alignment horizontal="center" vertical="center"/>
    </xf>
    <xf numFmtId="37" fontId="11" fillId="3" borderId="11" xfId="3" applyNumberFormat="1" applyFont="1" applyFill="1" applyBorder="1" applyAlignment="1" applyProtection="1">
      <alignment horizontal="center" vertical="center"/>
    </xf>
    <xf numFmtId="37" fontId="17" fillId="3" borderId="10" xfId="3" applyNumberFormat="1" applyFont="1" applyFill="1" applyBorder="1" applyAlignment="1" applyProtection="1">
      <alignment horizontal="center" vertical="center"/>
    </xf>
    <xf numFmtId="0" fontId="9" fillId="0" borderId="7" xfId="3" applyBorder="1" applyAlignment="1" applyProtection="1">
      <alignment vertical="center"/>
      <protection locked="0"/>
    </xf>
    <xf numFmtId="0" fontId="9" fillId="0" borderId="3" xfId="3" applyBorder="1" applyAlignment="1" applyProtection="1">
      <alignment horizontal="right"/>
      <protection locked="0"/>
    </xf>
    <xf numFmtId="0" fontId="9" fillId="0" borderId="3" xfId="3" applyBorder="1" applyAlignment="1" applyProtection="1">
      <alignment horizontal="right" vertical="center"/>
      <protection locked="0"/>
    </xf>
    <xf numFmtId="0" fontId="9" fillId="0" borderId="0" xfId="3" applyAlignment="1">
      <alignment horizontal="right" vertical="center"/>
    </xf>
    <xf numFmtId="0" fontId="18" fillId="0" borderId="0" xfId="6" applyAlignment="1" applyProtection="1">
      <alignment horizontal="right" vertical="center"/>
      <protection locked="0"/>
    </xf>
    <xf numFmtId="0" fontId="9" fillId="0" borderId="0" xfId="3" applyAlignment="1" applyProtection="1">
      <alignment horizontal="center"/>
      <protection locked="0"/>
    </xf>
    <xf numFmtId="0" fontId="9" fillId="0" borderId="0" xfId="3" applyAlignment="1" applyProtection="1">
      <alignment horizontal="center" vertical="center"/>
      <protection locked="0"/>
    </xf>
    <xf numFmtId="0" fontId="9" fillId="0" borderId="0" xfId="3" applyAlignment="1" applyProtection="1">
      <alignment horizontal="center" vertical="center" wrapText="1"/>
      <protection locked="0"/>
    </xf>
    <xf numFmtId="0" fontId="9" fillId="0" borderId="0" xfId="3" applyAlignment="1" applyProtection="1">
      <alignment vertical="center"/>
      <protection locked="0"/>
    </xf>
    <xf numFmtId="0" fontId="9" fillId="0" borderId="0" xfId="3" applyAlignment="1" applyProtection="1">
      <alignment horizontal="right" vertical="center"/>
      <protection locked="0"/>
    </xf>
    <xf numFmtId="0" fontId="0" fillId="7" borderId="0" xfId="0" applyFill="1"/>
    <xf numFmtId="164" fontId="6" fillId="0" borderId="0" xfId="1" applyNumberFormat="1" applyFont="1" applyBorder="1" applyAlignment="1">
      <alignment horizontal="left" indent="1" readingOrder="1"/>
    </xf>
    <xf numFmtId="164" fontId="8" fillId="0" borderId="0" xfId="1" applyNumberFormat="1" applyFont="1"/>
    <xf numFmtId="168" fontId="14" fillId="5" borderId="11" xfId="3" applyNumberFormat="1" applyFont="1" applyFill="1" applyBorder="1" applyAlignment="1" applyProtection="1">
      <alignment horizontal="center" vertical="center"/>
      <protection locked="0"/>
    </xf>
    <xf numFmtId="168" fontId="14" fillId="5" borderId="11" xfId="4" applyNumberFormat="1" applyFont="1" applyFill="1" applyBorder="1" applyAlignment="1" applyProtection="1">
      <alignment horizontal="center" vertical="center"/>
      <protection locked="0"/>
    </xf>
    <xf numFmtId="0" fontId="2" fillId="0" borderId="1" xfId="0" applyFont="1" applyFill="1" applyBorder="1" applyAlignment="1">
      <alignment horizontal="left"/>
    </xf>
    <xf numFmtId="166" fontId="8" fillId="0" borderId="0" xfId="2" applyNumberFormat="1" applyFont="1"/>
    <xf numFmtId="167" fontId="0" fillId="7" borderId="0" xfId="0" applyNumberFormat="1" applyFill="1"/>
    <xf numFmtId="166" fontId="0" fillId="7" borderId="0" xfId="0" applyNumberFormat="1" applyFill="1"/>
    <xf numFmtId="0" fontId="20" fillId="0" borderId="0" xfId="0" applyFont="1"/>
    <xf numFmtId="0" fontId="2" fillId="0" borderId="0" xfId="0" applyFont="1" applyFill="1" applyAlignment="1"/>
    <xf numFmtId="0" fontId="0" fillId="0" borderId="0" xfId="0" applyFill="1"/>
    <xf numFmtId="0" fontId="2" fillId="9" borderId="0" xfId="0" applyFont="1" applyFill="1"/>
    <xf numFmtId="0" fontId="2" fillId="0" borderId="0" xfId="0" applyFont="1"/>
    <xf numFmtId="2" fontId="0" fillId="0" borderId="0" xfId="0" applyNumberFormat="1"/>
    <xf numFmtId="1" fontId="0" fillId="0" borderId="0" xfId="0" applyNumberFormat="1"/>
    <xf numFmtId="9" fontId="1" fillId="0" borderId="0" xfId="7" applyFont="1"/>
    <xf numFmtId="0" fontId="2" fillId="0" borderId="0" xfId="0" applyFont="1" applyAlignment="1">
      <alignment horizontal="center"/>
    </xf>
    <xf numFmtId="0" fontId="0" fillId="0" borderId="0" xfId="0" applyAlignment="1">
      <alignment horizontal="center"/>
    </xf>
    <xf numFmtId="3" fontId="23" fillId="0" borderId="0" xfId="0" applyNumberFormat="1" applyFont="1" applyFill="1" applyAlignment="1">
      <alignment horizontal="left"/>
    </xf>
    <xf numFmtId="0" fontId="2" fillId="14" borderId="0" xfId="0" applyFont="1" applyFill="1" applyAlignment="1">
      <alignment horizontal="center"/>
    </xf>
    <xf numFmtId="0" fontId="0" fillId="14" borderId="0" xfId="0" applyFill="1" applyAlignment="1">
      <alignment horizontal="center"/>
    </xf>
    <xf numFmtId="0" fontId="0" fillId="14" borderId="0" xfId="0" applyFill="1"/>
    <xf numFmtId="0" fontId="2" fillId="14" borderId="0" xfId="0" applyFont="1" applyFill="1"/>
    <xf numFmtId="44" fontId="2" fillId="14" borderId="0" xfId="2" applyFont="1" applyFill="1"/>
    <xf numFmtId="166" fontId="0" fillId="0" borderId="0" xfId="0" applyNumberFormat="1" applyFill="1"/>
    <xf numFmtId="0" fontId="2" fillId="14" borderId="0" xfId="0" applyFont="1" applyFill="1" applyAlignment="1">
      <alignment horizontal="left"/>
    </xf>
    <xf numFmtId="9" fontId="22" fillId="14" borderId="0" xfId="0" applyNumberFormat="1" applyFont="1" applyFill="1"/>
    <xf numFmtId="37" fontId="8" fillId="0" borderId="0" xfId="0" applyNumberFormat="1" applyFont="1"/>
    <xf numFmtId="166" fontId="2" fillId="14" borderId="0" xfId="0" applyNumberFormat="1" applyFont="1" applyFill="1"/>
    <xf numFmtId="166" fontId="2" fillId="14" borderId="0" xfId="2" applyNumberFormat="1" applyFont="1" applyFill="1"/>
    <xf numFmtId="165" fontId="22" fillId="14" borderId="0" xfId="1" applyNumberFormat="1" applyFont="1" applyFill="1"/>
    <xf numFmtId="165" fontId="22" fillId="0" borderId="0" xfId="1" applyNumberFormat="1" applyFont="1"/>
    <xf numFmtId="165" fontId="21" fillId="14" borderId="0" xfId="1" applyNumberFormat="1" applyFont="1" applyFill="1"/>
    <xf numFmtId="165" fontId="0" fillId="14" borderId="0" xfId="1" applyNumberFormat="1" applyFont="1" applyFill="1"/>
    <xf numFmtId="165" fontId="22" fillId="0" borderId="0" xfId="1" applyNumberFormat="1" applyFont="1" applyAlignment="1">
      <alignment horizontal="right"/>
    </xf>
    <xf numFmtId="9" fontId="23" fillId="0" borderId="0" xfId="0" applyNumberFormat="1" applyFont="1"/>
    <xf numFmtId="0" fontId="0" fillId="0" borderId="0" xfId="0" quotePrefix="1" applyAlignment="1">
      <alignment horizontal="left" indent="2"/>
    </xf>
    <xf numFmtId="164" fontId="22" fillId="14" borderId="0" xfId="1" applyNumberFormat="1" applyFont="1" applyFill="1"/>
    <xf numFmtId="0" fontId="24" fillId="0" borderId="0" xfId="0" applyFont="1" applyBorder="1" applyAlignment="1">
      <alignment horizontal="center" readingOrder="1"/>
    </xf>
    <xf numFmtId="166" fontId="25" fillId="0" borderId="0" xfId="2" applyNumberFormat="1" applyFont="1" applyBorder="1" applyAlignment="1">
      <alignment horizontal="right"/>
    </xf>
    <xf numFmtId="9" fontId="25" fillId="0" borderId="0" xfId="7" applyFont="1" applyBorder="1" applyAlignment="1">
      <alignment horizontal="right"/>
    </xf>
    <xf numFmtId="9" fontId="22" fillId="0" borderId="0" xfId="7" applyFont="1"/>
    <xf numFmtId="0" fontId="2" fillId="0" borderId="0" xfId="0" applyFont="1" applyBorder="1"/>
    <xf numFmtId="0" fontId="28" fillId="0" borderId="1" xfId="0" applyFont="1" applyBorder="1"/>
    <xf numFmtId="166" fontId="21" fillId="0" borderId="0" xfId="2" applyNumberFormat="1" applyFont="1"/>
    <xf numFmtId="0" fontId="7" fillId="0" borderId="0" xfId="0" applyFont="1" applyBorder="1" applyAlignment="1">
      <alignment horizontal="left" indent="2" readingOrder="1"/>
    </xf>
    <xf numFmtId="0" fontId="26" fillId="0" borderId="0" xfId="0" applyFont="1" applyBorder="1" applyAlignment="1">
      <alignment horizontal="left" readingOrder="1"/>
    </xf>
    <xf numFmtId="0" fontId="7" fillId="0" borderId="0" xfId="0" applyFont="1" applyBorder="1" applyAlignment="1">
      <alignment horizontal="left" readingOrder="1"/>
    </xf>
    <xf numFmtId="0" fontId="7" fillId="0" borderId="0" xfId="0" applyFont="1" applyBorder="1" applyAlignment="1">
      <alignment horizontal="right" readingOrder="1"/>
    </xf>
    <xf numFmtId="0" fontId="7" fillId="0" borderId="0" xfId="0" applyFont="1" applyBorder="1" applyAlignment="1">
      <alignment horizontal="left" indent="1" readingOrder="1"/>
    </xf>
    <xf numFmtId="0" fontId="7" fillId="0" borderId="0" xfId="0" applyFont="1" applyFill="1" applyBorder="1" applyAlignment="1">
      <alignment horizontal="left" indent="1" readingOrder="1"/>
    </xf>
    <xf numFmtId="0" fontId="26" fillId="0" borderId="0" xfId="0" applyFont="1" applyBorder="1" applyAlignment="1">
      <alignment horizontal="left" indent="1" readingOrder="1"/>
    </xf>
    <xf numFmtId="0" fontId="7" fillId="0" borderId="0" xfId="0" applyFont="1" applyFill="1" applyBorder="1" applyAlignment="1">
      <alignment horizontal="left" readingOrder="1"/>
    </xf>
    <xf numFmtId="0" fontId="28" fillId="0" borderId="0" xfId="0" applyFont="1" applyBorder="1"/>
    <xf numFmtId="166" fontId="26" fillId="0" borderId="0" xfId="2" applyNumberFormat="1" applyFont="1" applyFill="1" applyBorder="1" applyAlignment="1">
      <alignment horizontal="right"/>
    </xf>
    <xf numFmtId="0" fontId="26" fillId="0" borderId="0" xfId="0" applyFont="1" applyFill="1" applyBorder="1" applyAlignment="1">
      <alignment horizontal="left" readingOrder="1"/>
    </xf>
    <xf numFmtId="166" fontId="29" fillId="0" borderId="17" xfId="2" applyNumberFormat="1" applyFont="1" applyBorder="1"/>
    <xf numFmtId="0" fontId="0" fillId="0" borderId="0" xfId="0" applyFont="1" applyBorder="1" applyAlignment="1">
      <alignment horizontal="left" indent="1"/>
    </xf>
    <xf numFmtId="0" fontId="32" fillId="0" borderId="0" xfId="0" applyFont="1" applyBorder="1" applyAlignment="1">
      <alignment horizontal="left" readingOrder="1"/>
    </xf>
    <xf numFmtId="166" fontId="32" fillId="7" borderId="17" xfId="2" applyNumberFormat="1" applyFont="1" applyFill="1" applyBorder="1" applyAlignment="1">
      <alignment horizontal="right"/>
    </xf>
    <xf numFmtId="0" fontId="33" fillId="0" borderId="0" xfId="0" applyFont="1" applyAlignment="1">
      <alignment horizontal="center"/>
    </xf>
    <xf numFmtId="0" fontId="27" fillId="0" borderId="0" xfId="0" applyFont="1"/>
    <xf numFmtId="0" fontId="0" fillId="0" borderId="0" xfId="0" applyAlignment="1">
      <alignment horizontal="left" indent="1"/>
    </xf>
    <xf numFmtId="0" fontId="22" fillId="0" borderId="0" xfId="0" applyFont="1"/>
    <xf numFmtId="0" fontId="2" fillId="0" borderId="0" xfId="0" applyFont="1" applyAlignment="1">
      <alignment horizontal="left" indent="1"/>
    </xf>
    <xf numFmtId="166" fontId="2" fillId="0" borderId="0" xfId="2" applyNumberFormat="1" applyFont="1"/>
    <xf numFmtId="167" fontId="20" fillId="0" borderId="0" xfId="0" applyNumberFormat="1" applyFont="1" applyAlignment="1">
      <alignment wrapText="1"/>
    </xf>
    <xf numFmtId="0" fontId="0" fillId="0" borderId="0" xfId="0" applyAlignment="1">
      <alignment horizontal="left" indent="2"/>
    </xf>
    <xf numFmtId="0" fontId="2" fillId="0" borderId="1" xfId="0" applyFont="1" applyBorder="1" applyAlignment="1">
      <alignment horizontal="center"/>
    </xf>
    <xf numFmtId="9" fontId="0" fillId="0" borderId="0" xfId="7" applyFont="1"/>
    <xf numFmtId="172" fontId="0" fillId="0" borderId="0" xfId="7" applyNumberFormat="1" applyFont="1"/>
    <xf numFmtId="9" fontId="0" fillId="0" borderId="0" xfId="0" applyNumberFormat="1"/>
    <xf numFmtId="9" fontId="22" fillId="0" borderId="0" xfId="0" applyNumberFormat="1" applyFont="1"/>
    <xf numFmtId="0" fontId="2" fillId="0" borderId="1" xfId="0" applyFont="1" applyFill="1" applyBorder="1" applyAlignment="1">
      <alignment horizontal="center" wrapText="1"/>
    </xf>
    <xf numFmtId="172" fontId="0" fillId="0" borderId="0" xfId="0" applyNumberFormat="1"/>
    <xf numFmtId="0" fontId="2" fillId="0" borderId="1" xfId="0" applyFont="1" applyBorder="1" applyAlignment="1">
      <alignment horizontal="center" wrapText="1"/>
    </xf>
    <xf numFmtId="166" fontId="27" fillId="0" borderId="17" xfId="0" applyNumberFormat="1" applyFont="1" applyFill="1" applyBorder="1"/>
    <xf numFmtId="166" fontId="27" fillId="0" borderId="17" xfId="2" applyNumberFormat="1" applyFont="1" applyFill="1" applyBorder="1"/>
    <xf numFmtId="9" fontId="0" fillId="0" borderId="0" xfId="0" applyNumberFormat="1" applyFill="1"/>
    <xf numFmtId="166" fontId="21" fillId="0" borderId="0" xfId="2" applyNumberFormat="1" applyFont="1" applyFill="1"/>
    <xf numFmtId="9" fontId="22" fillId="0" borderId="0" xfId="0" applyNumberFormat="1" applyFont="1" applyFill="1"/>
    <xf numFmtId="166" fontId="22" fillId="0" borderId="0" xfId="2" applyNumberFormat="1" applyFont="1" applyFill="1"/>
    <xf numFmtId="0" fontId="0" fillId="0" borderId="18" xfId="0" applyBorder="1"/>
    <xf numFmtId="0" fontId="0" fillId="14" borderId="18" xfId="0" applyFill="1" applyBorder="1"/>
    <xf numFmtId="165" fontId="21" fillId="0" borderId="0" xfId="1" applyNumberFormat="1" applyFont="1" applyAlignment="1">
      <alignment horizontal="right"/>
    </xf>
    <xf numFmtId="0" fontId="0" fillId="14" borderId="1" xfId="0" applyFill="1" applyBorder="1" applyAlignment="1">
      <alignment horizontal="center"/>
    </xf>
    <xf numFmtId="0" fontId="0" fillId="0" borderId="1" xfId="0" applyBorder="1" applyAlignment="1">
      <alignment horizontal="center"/>
    </xf>
    <xf numFmtId="0" fontId="0" fillId="0" borderId="0" xfId="0" applyFont="1"/>
    <xf numFmtId="0" fontId="36" fillId="0" borderId="0" xfId="0" applyFont="1"/>
    <xf numFmtId="166" fontId="33" fillId="7" borderId="17" xfId="2" applyNumberFormat="1" applyFont="1" applyFill="1" applyBorder="1"/>
    <xf numFmtId="0" fontId="20" fillId="0" borderId="0" xfId="0" applyFont="1" applyFill="1"/>
    <xf numFmtId="0" fontId="2" fillId="9" borderId="18" xfId="0" applyFont="1" applyFill="1" applyBorder="1" applyAlignment="1">
      <alignment horizontal="center"/>
    </xf>
    <xf numFmtId="0" fontId="2" fillId="15" borderId="18" xfId="0" applyFont="1" applyFill="1" applyBorder="1" applyAlignment="1">
      <alignment horizontal="center"/>
    </xf>
    <xf numFmtId="0" fontId="2" fillId="16" borderId="18" xfId="0" applyFont="1" applyFill="1" applyBorder="1" applyAlignment="1">
      <alignment horizontal="center"/>
    </xf>
    <xf numFmtId="0" fontId="2" fillId="17" borderId="18" xfId="0" applyFont="1" applyFill="1" applyBorder="1" applyAlignment="1">
      <alignment horizontal="center"/>
    </xf>
    <xf numFmtId="0" fontId="0" fillId="0" borderId="0" xfId="0" applyFill="1" applyAlignment="1">
      <alignment horizontal="right"/>
    </xf>
    <xf numFmtId="0" fontId="2" fillId="0" borderId="0" xfId="0" applyFont="1" applyBorder="1" applyAlignment="1">
      <alignment horizontal="center" wrapText="1"/>
    </xf>
    <xf numFmtId="9" fontId="22" fillId="0" borderId="0" xfId="0" applyNumberFormat="1" applyFont="1" applyFill="1" applyBorder="1"/>
    <xf numFmtId="0" fontId="37" fillId="0" borderId="0" xfId="0" applyFont="1"/>
    <xf numFmtId="0" fontId="2" fillId="8" borderId="0" xfId="0" applyFont="1" applyFill="1" applyAlignment="1">
      <alignment horizontal="right"/>
    </xf>
    <xf numFmtId="0" fontId="0" fillId="0" borderId="12" xfId="0" applyBorder="1"/>
    <xf numFmtId="0" fontId="2" fillId="2" borderId="11" xfId="0" applyFont="1" applyFill="1" applyBorder="1" applyAlignment="1">
      <alignment horizontal="center"/>
    </xf>
    <xf numFmtId="0" fontId="0" fillId="0" borderId="13" xfId="0" applyBorder="1"/>
    <xf numFmtId="0" fontId="0" fillId="0" borderId="11" xfId="0" applyBorder="1" applyAlignment="1">
      <alignment horizontal="center"/>
    </xf>
    <xf numFmtId="0" fontId="0" fillId="0" borderId="0" xfId="0" applyBorder="1" applyAlignment="1">
      <alignment horizontal="center"/>
    </xf>
    <xf numFmtId="0" fontId="0" fillId="0" borderId="13" xfId="0" applyFill="1" applyBorder="1"/>
    <xf numFmtId="0" fontId="0" fillId="0" borderId="15" xfId="0" applyBorder="1"/>
    <xf numFmtId="0" fontId="0" fillId="0" borderId="15" xfId="0" applyFill="1" applyBorder="1"/>
    <xf numFmtId="0" fontId="2" fillId="18" borderId="11" xfId="0" applyFont="1" applyFill="1" applyBorder="1"/>
    <xf numFmtId="1" fontId="0" fillId="0" borderId="0" xfId="0" applyNumberFormat="1" applyBorder="1" applyAlignment="1">
      <alignment horizontal="center"/>
    </xf>
    <xf numFmtId="0" fontId="0" fillId="0" borderId="0" xfId="0" applyAlignment="1"/>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40" fillId="4" borderId="0" xfId="0" applyFont="1" applyFill="1"/>
    <xf numFmtId="0" fontId="41" fillId="0" borderId="0" xfId="0" applyFont="1"/>
    <xf numFmtId="0" fontId="40" fillId="0" borderId="0" xfId="0" applyFont="1"/>
    <xf numFmtId="0" fontId="0" fillId="0" borderId="0" xfId="0" applyFill="1" applyBorder="1"/>
    <xf numFmtId="0" fontId="2" fillId="0" borderId="0" xfId="0" applyFont="1" applyFill="1" applyBorder="1"/>
    <xf numFmtId="44" fontId="0" fillId="0" borderId="0" xfId="0" applyNumberFormat="1" applyFill="1" applyBorder="1"/>
    <xf numFmtId="165" fontId="22" fillId="0" borderId="13" xfId="1" applyNumberFormat="1" applyFont="1" applyFill="1" applyBorder="1" applyAlignment="1" applyProtection="1">
      <alignment horizontal="center"/>
      <protection locked="0"/>
    </xf>
    <xf numFmtId="0" fontId="0" fillId="0" borderId="11" xfId="0" applyFill="1" applyBorder="1" applyAlignment="1">
      <alignment horizontal="center"/>
    </xf>
    <xf numFmtId="43" fontId="22" fillId="14" borderId="0" xfId="1" applyNumberFormat="1" applyFont="1" applyFill="1"/>
    <xf numFmtId="0" fontId="42" fillId="0" borderId="1" xfId="0" applyFont="1" applyBorder="1"/>
    <xf numFmtId="0" fontId="20" fillId="0" borderId="0" xfId="0" quotePrefix="1" applyFont="1" applyAlignment="1">
      <alignment horizontal="left"/>
    </xf>
    <xf numFmtId="9" fontId="21" fillId="0" borderId="0" xfId="0" applyNumberFormat="1" applyFont="1"/>
    <xf numFmtId="44" fontId="0" fillId="0" borderId="0" xfId="0" applyNumberFormat="1" applyFill="1"/>
    <xf numFmtId="165" fontId="0" fillId="0" borderId="0" xfId="0" applyNumberFormat="1"/>
    <xf numFmtId="43" fontId="0" fillId="0" borderId="0" xfId="0" applyNumberFormat="1" applyFill="1"/>
    <xf numFmtId="0" fontId="22" fillId="0" borderId="0" xfId="0" applyFont="1" applyFill="1"/>
    <xf numFmtId="0" fontId="2" fillId="0" borderId="1" xfId="0" applyFont="1" applyFill="1" applyBorder="1" applyAlignment="1">
      <alignment horizontal="right"/>
    </xf>
    <xf numFmtId="0" fontId="2" fillId="7" borderId="0" xfId="0" applyFont="1" applyFill="1" applyBorder="1" applyAlignment="1">
      <alignment horizontal="left"/>
    </xf>
    <xf numFmtId="0" fontId="2" fillId="0" borderId="1" xfId="0" applyFont="1" applyFill="1" applyBorder="1" applyAlignment="1"/>
    <xf numFmtId="165" fontId="22" fillId="0" borderId="0" xfId="1" applyNumberFormat="1" applyFont="1" applyProtection="1">
      <protection locked="0"/>
    </xf>
    <xf numFmtId="166" fontId="5" fillId="0" borderId="0" xfId="2" applyNumberFormat="1" applyFont="1" applyBorder="1" applyAlignment="1" applyProtection="1">
      <alignment horizontal="left"/>
      <protection locked="0"/>
    </xf>
    <xf numFmtId="165" fontId="5" fillId="0" borderId="0" xfId="1" applyNumberFormat="1" applyFont="1" applyBorder="1" applyAlignment="1" applyProtection="1">
      <alignment horizontal="left"/>
      <protection locked="0"/>
    </xf>
    <xf numFmtId="9" fontId="25" fillId="0" borderId="0" xfId="7" applyFont="1" applyBorder="1" applyAlignment="1" applyProtection="1">
      <alignment horizontal="right"/>
      <protection locked="0"/>
    </xf>
    <xf numFmtId="166" fontId="22" fillId="0" borderId="0" xfId="2" applyNumberFormat="1" applyFont="1" applyProtection="1">
      <protection locked="0"/>
    </xf>
    <xf numFmtId="165" fontId="0" fillId="0" borderId="12" xfId="1" applyNumberFormat="1" applyFont="1" applyFill="1" applyBorder="1" applyAlignment="1" applyProtection="1">
      <alignment horizontal="center"/>
    </xf>
    <xf numFmtId="165" fontId="0" fillId="0" borderId="13" xfId="1" applyNumberFormat="1" applyFont="1" applyFill="1" applyBorder="1" applyAlignment="1" applyProtection="1">
      <alignment horizontal="center"/>
    </xf>
    <xf numFmtId="9" fontId="1" fillId="0" borderId="15" xfId="7" applyFont="1" applyFill="1" applyBorder="1" applyAlignment="1" applyProtection="1">
      <alignment horizontal="center"/>
    </xf>
    <xf numFmtId="165" fontId="1" fillId="19" borderId="12" xfId="1" applyNumberFormat="1" applyFont="1" applyFill="1" applyBorder="1" applyAlignment="1" applyProtection="1">
      <alignment horizontal="center"/>
    </xf>
    <xf numFmtId="165" fontId="1" fillId="19" borderId="13" xfId="1" applyNumberFormat="1" applyFont="1" applyFill="1" applyBorder="1" applyAlignment="1" applyProtection="1">
      <alignment horizontal="center"/>
    </xf>
    <xf numFmtId="165" fontId="1" fillId="19" borderId="15" xfId="1" applyNumberFormat="1" applyFont="1" applyFill="1" applyBorder="1" applyAlignment="1" applyProtection="1">
      <alignment horizontal="center"/>
    </xf>
    <xf numFmtId="0" fontId="8" fillId="0" borderId="0" xfId="0" applyFont="1"/>
    <xf numFmtId="169" fontId="22" fillId="17" borderId="0" xfId="0" applyNumberFormat="1" applyFont="1" applyFill="1" applyBorder="1" applyProtection="1">
      <protection locked="0"/>
    </xf>
    <xf numFmtId="172" fontId="22" fillId="17" borderId="0" xfId="0" applyNumberFormat="1" applyFont="1" applyFill="1" applyBorder="1" applyProtection="1">
      <protection locked="0"/>
    </xf>
    <xf numFmtId="0" fontId="43" fillId="0" borderId="0" xfId="0" applyFont="1" applyAlignment="1">
      <alignment horizontal="left" vertical="center" indent="1"/>
    </xf>
    <xf numFmtId="0" fontId="0" fillId="17" borderId="18" xfId="0" applyFill="1" applyBorder="1"/>
    <xf numFmtId="0" fontId="2" fillId="17" borderId="0" xfId="0" applyFont="1" applyFill="1" applyAlignment="1">
      <alignment horizontal="center"/>
    </xf>
    <xf numFmtId="0" fontId="0" fillId="17" borderId="1" xfId="0" applyFill="1" applyBorder="1" applyAlignment="1">
      <alignment horizontal="center"/>
    </xf>
    <xf numFmtId="0" fontId="0" fillId="17" borderId="0" xfId="0" applyFill="1"/>
    <xf numFmtId="165" fontId="21" fillId="17" borderId="0" xfId="1" applyNumberFormat="1" applyFont="1" applyFill="1"/>
    <xf numFmtId="0" fontId="0" fillId="16" borderId="18" xfId="0" applyFill="1" applyBorder="1"/>
    <xf numFmtId="0" fontId="2" fillId="16" borderId="0" xfId="0" applyFont="1" applyFill="1" applyAlignment="1">
      <alignment horizontal="center"/>
    </xf>
    <xf numFmtId="0" fontId="0" fillId="16" borderId="1" xfId="0" applyFill="1" applyBorder="1" applyAlignment="1">
      <alignment horizontal="center"/>
    </xf>
    <xf numFmtId="0" fontId="0" fillId="16" borderId="0" xfId="0" applyFill="1"/>
    <xf numFmtId="165" fontId="21" fillId="16" borderId="0" xfId="1" applyNumberFormat="1" applyFont="1" applyFill="1"/>
    <xf numFmtId="0" fontId="0" fillId="15" borderId="18" xfId="0" applyFill="1" applyBorder="1"/>
    <xf numFmtId="0" fontId="2" fillId="15" borderId="0" xfId="0" applyFont="1" applyFill="1" applyAlignment="1">
      <alignment horizontal="center"/>
    </xf>
    <xf numFmtId="0" fontId="0" fillId="15" borderId="0" xfId="0" applyFill="1" applyAlignment="1">
      <alignment horizontal="center"/>
    </xf>
    <xf numFmtId="0" fontId="0" fillId="15" borderId="0" xfId="0" applyFill="1"/>
    <xf numFmtId="165" fontId="21" fillId="15" borderId="0" xfId="1" applyNumberFormat="1" applyFont="1" applyFill="1"/>
    <xf numFmtId="164" fontId="21" fillId="0" borderId="0" xfId="1" applyNumberFormat="1" applyFont="1"/>
    <xf numFmtId="164" fontId="22" fillId="0" borderId="0" xfId="1" applyNumberFormat="1" applyFont="1"/>
    <xf numFmtId="0" fontId="2" fillId="0" borderId="18" xfId="0" applyFont="1" applyFill="1" applyBorder="1" applyAlignment="1">
      <alignment horizontal="center"/>
    </xf>
    <xf numFmtId="165" fontId="0" fillId="17" borderId="0" xfId="1" applyNumberFormat="1" applyFont="1" applyFill="1"/>
    <xf numFmtId="9" fontId="0" fillId="17" borderId="0" xfId="7" applyFont="1" applyFill="1"/>
    <xf numFmtId="165" fontId="0" fillId="16" borderId="0" xfId="1" applyNumberFormat="1" applyFont="1" applyFill="1"/>
    <xf numFmtId="9" fontId="0" fillId="16" borderId="0" xfId="7" applyFont="1" applyFill="1"/>
    <xf numFmtId="165" fontId="0" fillId="15" borderId="0" xfId="1" applyNumberFormat="1" applyFont="1" applyFill="1"/>
    <xf numFmtId="9" fontId="0" fillId="15" borderId="0" xfId="7" applyFont="1" applyFill="1"/>
    <xf numFmtId="0" fontId="0" fillId="8" borderId="0" xfId="0" applyFill="1"/>
    <xf numFmtId="0" fontId="2" fillId="0" borderId="0" xfId="0" applyFont="1" applyFill="1" applyAlignment="1">
      <alignment horizontal="left"/>
    </xf>
    <xf numFmtId="0" fontId="0" fillId="0" borderId="19" xfId="0" applyFont="1" applyFill="1" applyBorder="1" applyAlignment="1">
      <alignment horizontal="left"/>
    </xf>
    <xf numFmtId="9" fontId="22" fillId="0" borderId="18" xfId="0" applyNumberFormat="1" applyFont="1" applyFill="1" applyBorder="1"/>
    <xf numFmtId="0" fontId="0" fillId="0" borderId="18" xfId="0" applyFill="1" applyBorder="1"/>
    <xf numFmtId="0" fontId="0" fillId="0" borderId="0" xfId="0" applyFont="1" applyFill="1" applyBorder="1" applyAlignment="1">
      <alignment horizontal="left"/>
    </xf>
    <xf numFmtId="166" fontId="0" fillId="0" borderId="0" xfId="2" applyNumberFormat="1" applyFont="1" applyFill="1" applyBorder="1"/>
    <xf numFmtId="0" fontId="0" fillId="0" borderId="20" xfId="0" applyFill="1" applyBorder="1"/>
    <xf numFmtId="0" fontId="2" fillId="8" borderId="0" xfId="0" applyFont="1" applyFill="1" applyBorder="1" applyAlignment="1">
      <alignment horizontal="left"/>
    </xf>
    <xf numFmtId="0" fontId="2" fillId="0" borderId="0" xfId="0" applyFont="1" applyFill="1" applyBorder="1" applyAlignment="1">
      <alignment horizontal="right"/>
    </xf>
    <xf numFmtId="0" fontId="2" fillId="0" borderId="0" xfId="0" applyFont="1" applyFill="1" applyBorder="1" applyAlignment="1">
      <alignment horizontal="left"/>
    </xf>
    <xf numFmtId="0" fontId="0" fillId="0" borderId="21" xfId="0" applyFill="1" applyBorder="1" applyAlignment="1">
      <alignment horizontal="left"/>
    </xf>
    <xf numFmtId="0" fontId="0" fillId="0" borderId="23" xfId="0" applyFill="1" applyBorder="1" applyAlignment="1">
      <alignment horizontal="left"/>
    </xf>
    <xf numFmtId="0" fontId="0" fillId="0" borderId="25" xfId="0" applyFill="1" applyBorder="1"/>
    <xf numFmtId="0" fontId="20" fillId="0" borderId="25" xfId="0" applyFont="1" applyFill="1" applyBorder="1"/>
    <xf numFmtId="0" fontId="0" fillId="0" borderId="1" xfId="0" applyFill="1" applyBorder="1"/>
    <xf numFmtId="0" fontId="0" fillId="7" borderId="18" xfId="0" applyFill="1" applyBorder="1"/>
    <xf numFmtId="166" fontId="0" fillId="7" borderId="18" xfId="2" applyNumberFormat="1" applyFont="1" applyFill="1" applyBorder="1"/>
    <xf numFmtId="166" fontId="0" fillId="7" borderId="20" xfId="2" applyNumberFormat="1" applyFont="1" applyFill="1" applyBorder="1"/>
    <xf numFmtId="166" fontId="8" fillId="7" borderId="22" xfId="2" applyNumberFormat="1" applyFont="1" applyFill="1" applyBorder="1"/>
    <xf numFmtId="0" fontId="2" fillId="7" borderId="24" xfId="0" applyFont="1" applyFill="1" applyBorder="1" applyAlignment="1">
      <alignment horizontal="center"/>
    </xf>
    <xf numFmtId="43" fontId="44" fillId="0" borderId="0" xfId="1" applyFont="1"/>
    <xf numFmtId="0" fontId="9" fillId="0" borderId="0" xfId="3" applyAlignment="1" applyProtection="1">
      <alignment horizontal="left"/>
      <protection locked="0"/>
    </xf>
    <xf numFmtId="0" fontId="18" fillId="0" borderId="0" xfId="6" applyAlignment="1" applyProtection="1">
      <alignment horizontal="left"/>
      <protection locked="0"/>
    </xf>
    <xf numFmtId="0" fontId="12" fillId="0" borderId="12" xfId="3" applyFont="1" applyFill="1" applyBorder="1" applyAlignment="1" applyProtection="1">
      <alignment horizontal="center" vertical="center" textRotation="45"/>
    </xf>
    <xf numFmtId="0" fontId="12" fillId="0" borderId="13" xfId="3" applyFont="1" applyFill="1" applyBorder="1" applyAlignment="1" applyProtection="1">
      <alignment horizontal="center" vertical="center" textRotation="45"/>
    </xf>
    <xf numFmtId="0" fontId="12" fillId="0" borderId="15" xfId="3" applyFont="1" applyFill="1" applyBorder="1" applyAlignment="1" applyProtection="1">
      <alignment horizontal="center" vertical="center" textRotation="45"/>
    </xf>
    <xf numFmtId="0" fontId="12" fillId="0" borderId="3" xfId="3" applyFont="1" applyBorder="1" applyAlignment="1" applyProtection="1">
      <alignment horizontal="left" vertical="center"/>
    </xf>
    <xf numFmtId="0" fontId="9" fillId="0" borderId="3" xfId="3" applyBorder="1" applyAlignment="1">
      <alignment vertical="center"/>
    </xf>
    <xf numFmtId="0" fontId="9" fillId="0" borderId="4" xfId="3" applyBorder="1" applyAlignment="1">
      <alignment vertical="center"/>
    </xf>
    <xf numFmtId="0" fontId="9" fillId="0" borderId="0" xfId="3" applyBorder="1" applyAlignment="1" applyProtection="1">
      <alignment horizontal="left" vertical="center"/>
    </xf>
    <xf numFmtId="0" fontId="9" fillId="0" borderId="0" xfId="3" applyAlignment="1">
      <alignment vertical="center"/>
    </xf>
    <xf numFmtId="0" fontId="9" fillId="0" borderId="14" xfId="3" applyBorder="1" applyAlignment="1">
      <alignment vertical="center"/>
    </xf>
    <xf numFmtId="0" fontId="16" fillId="0" borderId="0" xfId="3" applyFont="1" applyBorder="1" applyAlignment="1" applyProtection="1">
      <alignment horizontal="right" vertical="center"/>
    </xf>
    <xf numFmtId="0" fontId="11" fillId="0" borderId="6" xfId="3" applyFont="1" applyBorder="1" applyAlignment="1" applyProtection="1">
      <alignment horizontal="right" vertical="center"/>
    </xf>
    <xf numFmtId="0" fontId="12" fillId="0" borderId="16" xfId="3" applyFont="1" applyBorder="1" applyAlignment="1" applyProtection="1">
      <alignment horizontal="left" vertical="center"/>
    </xf>
    <xf numFmtId="0" fontId="9" fillId="0" borderId="0" xfId="3" applyBorder="1" applyAlignment="1">
      <alignment vertical="center"/>
    </xf>
    <xf numFmtId="0" fontId="9" fillId="0" borderId="16" xfId="3" applyBorder="1" applyAlignment="1" applyProtection="1">
      <alignment horizontal="left" vertical="center"/>
    </xf>
    <xf numFmtId="3" fontId="9" fillId="0" borderId="5" xfId="3" applyNumberFormat="1" applyBorder="1" applyAlignment="1" applyProtection="1">
      <alignment horizontal="center" vertical="center"/>
    </xf>
    <xf numFmtId="0" fontId="9" fillId="0" borderId="6" xfId="3" applyBorder="1" applyAlignment="1" applyProtection="1">
      <alignment horizontal="center" vertical="center"/>
    </xf>
    <xf numFmtId="0" fontId="10" fillId="0" borderId="2" xfId="3" applyFont="1" applyBorder="1" applyAlignment="1" applyProtection="1">
      <alignment horizontal="center" vertical="center"/>
    </xf>
    <xf numFmtId="0" fontId="9" fillId="0" borderId="3" xfId="3" applyBorder="1" applyAlignment="1"/>
    <xf numFmtId="0" fontId="9" fillId="0" borderId="4" xfId="3" applyBorder="1" applyAlignment="1"/>
    <xf numFmtId="0" fontId="9" fillId="0" borderId="5" xfId="3" applyBorder="1" applyAlignment="1"/>
    <xf numFmtId="0" fontId="9" fillId="0" borderId="6" xfId="3" applyBorder="1" applyAlignment="1"/>
    <xf numFmtId="0" fontId="9" fillId="0" borderId="7" xfId="3" applyBorder="1" applyAlignment="1"/>
    <xf numFmtId="0" fontId="11" fillId="13" borderId="8" xfId="3" applyFont="1" applyFill="1" applyBorder="1" applyAlignment="1" applyProtection="1">
      <alignment horizontal="center" vertical="center" wrapText="1"/>
    </xf>
    <xf numFmtId="0" fontId="11" fillId="13" borderId="9" xfId="3" applyFont="1" applyFill="1" applyBorder="1" applyAlignment="1" applyProtection="1">
      <alignment horizontal="center" vertical="center" wrapText="1"/>
    </xf>
    <xf numFmtId="0" fontId="11" fillId="13" borderId="10" xfId="3" applyFont="1" applyFill="1" applyBorder="1" applyAlignment="1" applyProtection="1">
      <alignment horizontal="center" vertical="center" wrapText="1"/>
    </xf>
    <xf numFmtId="0" fontId="12" fillId="0" borderId="8" xfId="3" applyFont="1" applyBorder="1" applyAlignment="1" applyProtection="1">
      <alignment vertical="center" wrapText="1"/>
    </xf>
    <xf numFmtId="0" fontId="12" fillId="0" borderId="9" xfId="3" applyFont="1" applyBorder="1" applyAlignment="1" applyProtection="1">
      <alignment vertical="center" wrapText="1"/>
    </xf>
    <xf numFmtId="0" fontId="12" fillId="0" borderId="10" xfId="3" applyFont="1" applyBorder="1" applyAlignment="1" applyProtection="1">
      <alignment vertical="center" wrapText="1"/>
    </xf>
    <xf numFmtId="0" fontId="12" fillId="0" borderId="12" xfId="3" applyFont="1" applyBorder="1" applyAlignment="1" applyProtection="1">
      <alignment horizontal="center" vertical="center" textRotation="45"/>
    </xf>
    <xf numFmtId="0" fontId="12" fillId="0" borderId="13" xfId="3" applyFont="1" applyBorder="1" applyAlignment="1" applyProtection="1">
      <alignment horizontal="center" vertical="center" textRotation="45"/>
    </xf>
    <xf numFmtId="0" fontId="12" fillId="0" borderId="15" xfId="3" applyFont="1" applyBorder="1" applyAlignment="1" applyProtection="1">
      <alignment horizontal="center" vertical="center" textRotation="45"/>
    </xf>
    <xf numFmtId="0" fontId="9" fillId="0" borderId="5" xfId="3" applyBorder="1" applyAlignment="1" applyProtection="1">
      <alignment horizontal="left" vertical="center"/>
    </xf>
    <xf numFmtId="0" fontId="9" fillId="0" borderId="6" xfId="3" applyBorder="1" applyAlignment="1">
      <alignment vertical="center"/>
    </xf>
    <xf numFmtId="0" fontId="9" fillId="0" borderId="7" xfId="3" applyBorder="1" applyAlignment="1">
      <alignment vertical="center"/>
    </xf>
    <xf numFmtId="0" fontId="2" fillId="0" borderId="0" xfId="0" applyFont="1" applyFill="1" applyAlignment="1">
      <alignment horizontal="righ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8" borderId="0" xfId="0" applyFont="1" applyFill="1" applyAlignment="1">
      <alignment horizontal="right"/>
    </xf>
    <xf numFmtId="0" fontId="2" fillId="8" borderId="0" xfId="0" applyFont="1" applyFill="1" applyAlignment="1">
      <alignment horizontal="left"/>
    </xf>
    <xf numFmtId="0" fontId="2" fillId="10" borderId="0" xfId="0" applyFont="1" applyFill="1" applyAlignment="1">
      <alignment horizontal="center"/>
    </xf>
    <xf numFmtId="0" fontId="2" fillId="11" borderId="0" xfId="0" applyFont="1" applyFill="1" applyAlignment="1">
      <alignment horizontal="center"/>
    </xf>
    <xf numFmtId="0" fontId="2" fillId="12" borderId="0" xfId="0" applyFont="1" applyFill="1" applyAlignment="1">
      <alignment horizontal="center"/>
    </xf>
  </cellXfs>
  <cellStyles count="8">
    <cellStyle name="Comma" xfId="1" builtinId="3"/>
    <cellStyle name="Currency" xfId="2" builtinId="4"/>
    <cellStyle name="Currency 2" xfId="4"/>
    <cellStyle name="Hyperlink" xfId="6" builtinId="8"/>
    <cellStyle name="Normal" xfId="0" builtinId="0"/>
    <cellStyle name="Normal 2" xfId="3"/>
    <cellStyle name="Percent" xfId="7" builtinId="5"/>
    <cellStyle name="Percent 2" xfId="5"/>
  </cellStyles>
  <dxfs count="4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1">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9254B4A-647D-4BB1-8031-9D9BB9614E95}" type="doc">
      <dgm:prSet loTypeId="urn:microsoft.com/office/officeart/2005/8/layout/funnel1" loCatId="relationship" qsTypeId="urn:microsoft.com/office/officeart/2005/8/quickstyle/simple1" qsCatId="simple" csTypeId="urn:microsoft.com/office/officeart/2005/8/colors/accent1_2#1" csCatId="accent1" phldr="1"/>
      <dgm:spPr/>
      <dgm:t>
        <a:bodyPr/>
        <a:lstStyle/>
        <a:p>
          <a:endParaRPr lang="en-US"/>
        </a:p>
      </dgm:t>
    </dgm:pt>
    <dgm:pt modelId="{C02B2CF7-1DF5-4C5B-A87D-A86813E32726}">
      <dgm:prSet phldrT="[Text]"/>
      <dgm:spPr>
        <a:solidFill>
          <a:srgbClr val="7030A0"/>
        </a:solidFill>
      </dgm:spPr>
      <dgm:t>
        <a:bodyPr/>
        <a:lstStyle/>
        <a:p>
          <a:r>
            <a:rPr lang="en-US"/>
            <a:t>Visitors</a:t>
          </a:r>
        </a:p>
      </dgm:t>
    </dgm:pt>
    <dgm:pt modelId="{6C2676B9-7879-409C-B5EC-5974F55BFE52}" type="parTrans" cxnId="{91E306D9-704F-44EC-B46A-70C3FE1FFA51}">
      <dgm:prSet/>
      <dgm:spPr/>
      <dgm:t>
        <a:bodyPr/>
        <a:lstStyle/>
        <a:p>
          <a:endParaRPr lang="en-US"/>
        </a:p>
      </dgm:t>
    </dgm:pt>
    <dgm:pt modelId="{CCBA89D1-4BE6-4BB4-937A-2BF1EDBFFD4D}" type="sibTrans" cxnId="{91E306D9-704F-44EC-B46A-70C3FE1FFA51}">
      <dgm:prSet/>
      <dgm:spPr/>
      <dgm:t>
        <a:bodyPr/>
        <a:lstStyle/>
        <a:p>
          <a:endParaRPr lang="en-US"/>
        </a:p>
      </dgm:t>
    </dgm:pt>
    <dgm:pt modelId="{3DAD49B8-2546-4CCB-B3F7-C4A4726A6464}">
      <dgm:prSet phldrT="[Text]"/>
      <dgm:spPr>
        <a:solidFill>
          <a:srgbClr val="FFFF00"/>
        </a:solidFill>
      </dgm:spPr>
      <dgm:t>
        <a:bodyPr/>
        <a:lstStyle/>
        <a:p>
          <a:r>
            <a:rPr lang="en-US">
              <a:solidFill>
                <a:srgbClr val="FF0000"/>
              </a:solidFill>
            </a:rPr>
            <a:t>Leads</a:t>
          </a:r>
        </a:p>
      </dgm:t>
    </dgm:pt>
    <dgm:pt modelId="{BA21E175-89C9-4ED8-86EB-B18222C87652}" type="parTrans" cxnId="{D11330F4-CC29-43DA-8956-E90D395AFD40}">
      <dgm:prSet/>
      <dgm:spPr/>
      <dgm:t>
        <a:bodyPr/>
        <a:lstStyle/>
        <a:p>
          <a:endParaRPr lang="en-US"/>
        </a:p>
      </dgm:t>
    </dgm:pt>
    <dgm:pt modelId="{2BE53E49-3721-4D7D-A122-FE39BD7199CB}" type="sibTrans" cxnId="{D11330F4-CC29-43DA-8956-E90D395AFD40}">
      <dgm:prSet/>
      <dgm:spPr/>
      <dgm:t>
        <a:bodyPr/>
        <a:lstStyle/>
        <a:p>
          <a:endParaRPr lang="en-US"/>
        </a:p>
      </dgm:t>
    </dgm:pt>
    <dgm:pt modelId="{7BCF701A-C342-46BF-A153-856EBFCF65E3}">
      <dgm:prSet phldrT="[Text]"/>
      <dgm:spPr>
        <a:solidFill>
          <a:srgbClr val="92D050"/>
        </a:solidFill>
      </dgm:spPr>
      <dgm:t>
        <a:bodyPr/>
        <a:lstStyle/>
        <a:p>
          <a:r>
            <a:rPr lang="en-US">
              <a:solidFill>
                <a:sysClr val="windowText" lastClr="000000"/>
              </a:solidFill>
            </a:rPr>
            <a:t>Customers</a:t>
          </a:r>
        </a:p>
      </dgm:t>
    </dgm:pt>
    <dgm:pt modelId="{20FD4CCD-85F4-4212-88F4-0F338530AA70}" type="parTrans" cxnId="{ABAF7BF8-BE76-4BED-BB7F-1F1A67510803}">
      <dgm:prSet/>
      <dgm:spPr/>
      <dgm:t>
        <a:bodyPr/>
        <a:lstStyle/>
        <a:p>
          <a:endParaRPr lang="en-US"/>
        </a:p>
      </dgm:t>
    </dgm:pt>
    <dgm:pt modelId="{8908A0ED-5DB5-403C-BB8E-045D39278A4A}" type="sibTrans" cxnId="{ABAF7BF8-BE76-4BED-BB7F-1F1A67510803}">
      <dgm:prSet/>
      <dgm:spPr/>
      <dgm:t>
        <a:bodyPr/>
        <a:lstStyle/>
        <a:p>
          <a:endParaRPr lang="en-US"/>
        </a:p>
      </dgm:t>
    </dgm:pt>
    <dgm:pt modelId="{A4A7ACC2-A6AD-4496-86AE-3FE86218E75B}">
      <dgm:prSet phldrT="[Text]"/>
      <dgm:spPr/>
      <dgm:t>
        <a:bodyPr/>
        <a:lstStyle/>
        <a:p>
          <a:r>
            <a:rPr lang="en-US"/>
            <a:t>New Monthly Revenue</a:t>
          </a:r>
        </a:p>
      </dgm:t>
    </dgm:pt>
    <dgm:pt modelId="{4478B7B7-3E78-4500-AA2D-6E8C0967B0B3}" type="parTrans" cxnId="{30F6D9E5-039C-424F-8EA9-0D5E72B52E20}">
      <dgm:prSet/>
      <dgm:spPr/>
      <dgm:t>
        <a:bodyPr/>
        <a:lstStyle/>
        <a:p>
          <a:endParaRPr lang="en-US"/>
        </a:p>
      </dgm:t>
    </dgm:pt>
    <dgm:pt modelId="{E0964558-4C1F-48B2-B6DC-70745C130A78}" type="sibTrans" cxnId="{30F6D9E5-039C-424F-8EA9-0D5E72B52E20}">
      <dgm:prSet/>
      <dgm:spPr/>
      <dgm:t>
        <a:bodyPr/>
        <a:lstStyle/>
        <a:p>
          <a:endParaRPr lang="en-US"/>
        </a:p>
      </dgm:t>
    </dgm:pt>
    <dgm:pt modelId="{E2C6B3D4-6DA9-4FB6-9930-AA48EAEB4168}" type="pres">
      <dgm:prSet presAssocID="{99254B4A-647D-4BB1-8031-9D9BB9614E95}" presName="Name0" presStyleCnt="0">
        <dgm:presLayoutVars>
          <dgm:chMax val="4"/>
          <dgm:resizeHandles val="exact"/>
        </dgm:presLayoutVars>
      </dgm:prSet>
      <dgm:spPr/>
      <dgm:t>
        <a:bodyPr/>
        <a:lstStyle/>
        <a:p>
          <a:endParaRPr lang="en-US"/>
        </a:p>
      </dgm:t>
    </dgm:pt>
    <dgm:pt modelId="{B1F4AE27-FC8E-446F-9B7A-4E39BCC9ADE1}" type="pres">
      <dgm:prSet presAssocID="{99254B4A-647D-4BB1-8031-9D9BB9614E95}" presName="ellipse" presStyleLbl="trBgShp" presStyleIdx="0" presStyleCnt="1"/>
      <dgm:spPr/>
    </dgm:pt>
    <dgm:pt modelId="{9854F6BD-1BDC-4E50-A425-3D345F6480C4}" type="pres">
      <dgm:prSet presAssocID="{99254B4A-647D-4BB1-8031-9D9BB9614E95}" presName="arrow1" presStyleLbl="fgShp" presStyleIdx="0" presStyleCnt="1" custScaleY="147590" custLinFactNeighborY="38251"/>
      <dgm:spPr>
        <a:solidFill>
          <a:srgbClr val="FF0000"/>
        </a:solidFill>
      </dgm:spPr>
    </dgm:pt>
    <dgm:pt modelId="{BEE7A6C2-B5DF-462C-A117-5B5180DE1FA7}" type="pres">
      <dgm:prSet presAssocID="{99254B4A-647D-4BB1-8031-9D9BB9614E95}" presName="rectangle" presStyleLbl="revTx" presStyleIdx="0" presStyleCnt="1" custLinFactNeighborX="364" custLinFactNeighborY="21858">
        <dgm:presLayoutVars>
          <dgm:bulletEnabled val="1"/>
        </dgm:presLayoutVars>
      </dgm:prSet>
      <dgm:spPr/>
      <dgm:t>
        <a:bodyPr/>
        <a:lstStyle/>
        <a:p>
          <a:endParaRPr lang="en-US"/>
        </a:p>
      </dgm:t>
    </dgm:pt>
    <dgm:pt modelId="{773D32F3-AC6D-4925-8D05-A6DFF00833DD}" type="pres">
      <dgm:prSet presAssocID="{3DAD49B8-2546-4CCB-B3F7-C4A4726A6464}" presName="item1" presStyleLbl="node1" presStyleIdx="0" presStyleCnt="3">
        <dgm:presLayoutVars>
          <dgm:bulletEnabled val="1"/>
        </dgm:presLayoutVars>
      </dgm:prSet>
      <dgm:spPr/>
      <dgm:t>
        <a:bodyPr/>
        <a:lstStyle/>
        <a:p>
          <a:endParaRPr lang="en-US"/>
        </a:p>
      </dgm:t>
    </dgm:pt>
    <dgm:pt modelId="{CBF5BBE9-0BE2-4148-AC8A-1492D5345691}" type="pres">
      <dgm:prSet presAssocID="{7BCF701A-C342-46BF-A153-856EBFCF65E3}" presName="item2" presStyleLbl="node1" presStyleIdx="1" presStyleCnt="3">
        <dgm:presLayoutVars>
          <dgm:bulletEnabled val="1"/>
        </dgm:presLayoutVars>
      </dgm:prSet>
      <dgm:spPr/>
      <dgm:t>
        <a:bodyPr/>
        <a:lstStyle/>
        <a:p>
          <a:endParaRPr lang="en-US"/>
        </a:p>
      </dgm:t>
    </dgm:pt>
    <dgm:pt modelId="{7752B6F5-DCB5-4678-A67C-7887E0C9EE6A}" type="pres">
      <dgm:prSet presAssocID="{A4A7ACC2-A6AD-4496-86AE-3FE86218E75B}" presName="item3" presStyleLbl="node1" presStyleIdx="2" presStyleCnt="3">
        <dgm:presLayoutVars>
          <dgm:bulletEnabled val="1"/>
        </dgm:presLayoutVars>
      </dgm:prSet>
      <dgm:spPr/>
      <dgm:t>
        <a:bodyPr/>
        <a:lstStyle/>
        <a:p>
          <a:endParaRPr lang="en-US"/>
        </a:p>
      </dgm:t>
    </dgm:pt>
    <dgm:pt modelId="{4F450DF6-959D-45E7-9619-B8E738CA08B8}" type="pres">
      <dgm:prSet presAssocID="{99254B4A-647D-4BB1-8031-9D9BB9614E95}" presName="funnel" presStyleLbl="trAlignAcc1" presStyleIdx="0" presStyleCnt="1" custScaleY="107653"/>
      <dgm:spPr/>
    </dgm:pt>
  </dgm:ptLst>
  <dgm:cxnLst>
    <dgm:cxn modelId="{0E4C4A2B-554A-4052-BAF7-A6C37F173017}" type="presOf" srcId="{A4A7ACC2-A6AD-4496-86AE-3FE86218E75B}" destId="{BEE7A6C2-B5DF-462C-A117-5B5180DE1FA7}" srcOrd="0" destOrd="0" presId="urn:microsoft.com/office/officeart/2005/8/layout/funnel1"/>
    <dgm:cxn modelId="{30F6D9E5-039C-424F-8EA9-0D5E72B52E20}" srcId="{99254B4A-647D-4BB1-8031-9D9BB9614E95}" destId="{A4A7ACC2-A6AD-4496-86AE-3FE86218E75B}" srcOrd="3" destOrd="0" parTransId="{4478B7B7-3E78-4500-AA2D-6E8C0967B0B3}" sibTransId="{E0964558-4C1F-48B2-B6DC-70745C130A78}"/>
    <dgm:cxn modelId="{AF1C5990-887C-4340-B542-61ECA7B26684}" type="presOf" srcId="{99254B4A-647D-4BB1-8031-9D9BB9614E95}" destId="{E2C6B3D4-6DA9-4FB6-9930-AA48EAEB4168}" srcOrd="0" destOrd="0" presId="urn:microsoft.com/office/officeart/2005/8/layout/funnel1"/>
    <dgm:cxn modelId="{D11330F4-CC29-43DA-8956-E90D395AFD40}" srcId="{99254B4A-647D-4BB1-8031-9D9BB9614E95}" destId="{3DAD49B8-2546-4CCB-B3F7-C4A4726A6464}" srcOrd="1" destOrd="0" parTransId="{BA21E175-89C9-4ED8-86EB-B18222C87652}" sibTransId="{2BE53E49-3721-4D7D-A122-FE39BD7199CB}"/>
    <dgm:cxn modelId="{B09F5715-6F1B-49C5-B42F-A07C33FAE8F1}" type="presOf" srcId="{3DAD49B8-2546-4CCB-B3F7-C4A4726A6464}" destId="{CBF5BBE9-0BE2-4148-AC8A-1492D5345691}" srcOrd="0" destOrd="0" presId="urn:microsoft.com/office/officeart/2005/8/layout/funnel1"/>
    <dgm:cxn modelId="{ABAF7BF8-BE76-4BED-BB7F-1F1A67510803}" srcId="{99254B4A-647D-4BB1-8031-9D9BB9614E95}" destId="{7BCF701A-C342-46BF-A153-856EBFCF65E3}" srcOrd="2" destOrd="0" parTransId="{20FD4CCD-85F4-4212-88F4-0F338530AA70}" sibTransId="{8908A0ED-5DB5-403C-BB8E-045D39278A4A}"/>
    <dgm:cxn modelId="{DD6D58F2-3946-49F8-9F95-A9627E022D24}" type="presOf" srcId="{C02B2CF7-1DF5-4C5B-A87D-A86813E32726}" destId="{7752B6F5-DCB5-4678-A67C-7887E0C9EE6A}" srcOrd="0" destOrd="0" presId="urn:microsoft.com/office/officeart/2005/8/layout/funnel1"/>
    <dgm:cxn modelId="{91E306D9-704F-44EC-B46A-70C3FE1FFA51}" srcId="{99254B4A-647D-4BB1-8031-9D9BB9614E95}" destId="{C02B2CF7-1DF5-4C5B-A87D-A86813E32726}" srcOrd="0" destOrd="0" parTransId="{6C2676B9-7879-409C-B5EC-5974F55BFE52}" sibTransId="{CCBA89D1-4BE6-4BB4-937A-2BF1EDBFFD4D}"/>
    <dgm:cxn modelId="{C4B7FF8D-694B-4110-9F17-D2627AF410BD}" type="presOf" srcId="{7BCF701A-C342-46BF-A153-856EBFCF65E3}" destId="{773D32F3-AC6D-4925-8D05-A6DFF00833DD}" srcOrd="0" destOrd="0" presId="urn:microsoft.com/office/officeart/2005/8/layout/funnel1"/>
    <dgm:cxn modelId="{D8E10462-B205-4D5E-97DA-DB8D77617AA2}" type="presParOf" srcId="{E2C6B3D4-6DA9-4FB6-9930-AA48EAEB4168}" destId="{B1F4AE27-FC8E-446F-9B7A-4E39BCC9ADE1}" srcOrd="0" destOrd="0" presId="urn:microsoft.com/office/officeart/2005/8/layout/funnel1"/>
    <dgm:cxn modelId="{E627E044-0F97-4DC6-9B45-47509FF6BF04}" type="presParOf" srcId="{E2C6B3D4-6DA9-4FB6-9930-AA48EAEB4168}" destId="{9854F6BD-1BDC-4E50-A425-3D345F6480C4}" srcOrd="1" destOrd="0" presId="urn:microsoft.com/office/officeart/2005/8/layout/funnel1"/>
    <dgm:cxn modelId="{15CBFB30-8628-407F-B61A-60E3D0866E97}" type="presParOf" srcId="{E2C6B3D4-6DA9-4FB6-9930-AA48EAEB4168}" destId="{BEE7A6C2-B5DF-462C-A117-5B5180DE1FA7}" srcOrd="2" destOrd="0" presId="urn:microsoft.com/office/officeart/2005/8/layout/funnel1"/>
    <dgm:cxn modelId="{03F6E1E1-9A25-4D10-B3CF-32951503DF0A}" type="presParOf" srcId="{E2C6B3D4-6DA9-4FB6-9930-AA48EAEB4168}" destId="{773D32F3-AC6D-4925-8D05-A6DFF00833DD}" srcOrd="3" destOrd="0" presId="urn:microsoft.com/office/officeart/2005/8/layout/funnel1"/>
    <dgm:cxn modelId="{996BE89C-A1F9-49DE-8190-0E03B7B31E49}" type="presParOf" srcId="{E2C6B3D4-6DA9-4FB6-9930-AA48EAEB4168}" destId="{CBF5BBE9-0BE2-4148-AC8A-1492D5345691}" srcOrd="4" destOrd="0" presId="urn:microsoft.com/office/officeart/2005/8/layout/funnel1"/>
    <dgm:cxn modelId="{8F693E4C-8B44-4463-A540-DF80FC0752C6}" type="presParOf" srcId="{E2C6B3D4-6DA9-4FB6-9930-AA48EAEB4168}" destId="{7752B6F5-DCB5-4678-A67C-7887E0C9EE6A}" srcOrd="5" destOrd="0" presId="urn:microsoft.com/office/officeart/2005/8/layout/funnel1"/>
    <dgm:cxn modelId="{3F61BBFD-0738-437C-8302-01F6AA4E9112}" type="presParOf" srcId="{E2C6B3D4-6DA9-4FB6-9930-AA48EAEB4168}" destId="{4F450DF6-959D-45E7-9619-B8E738CA08B8}" srcOrd="6" destOrd="0" presId="urn:microsoft.com/office/officeart/2005/8/layout/funnel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1F4AE27-FC8E-446F-9B7A-4E39BCC9ADE1}">
      <dsp:nvSpPr>
        <dsp:cNvPr id="0" name=""/>
        <dsp:cNvSpPr/>
      </dsp:nvSpPr>
      <dsp:spPr>
        <a:xfrm>
          <a:off x="1016268" y="180276"/>
          <a:ext cx="2690749" cy="934461"/>
        </a:xfrm>
        <a:prstGeom prst="ellipse">
          <a:avLst/>
        </a:prstGeom>
        <a:solidFill>
          <a:schemeClr val="accent1">
            <a:tint val="50000"/>
            <a:alpha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9854F6BD-1BDC-4E50-A425-3D345F6480C4}">
      <dsp:nvSpPr>
        <dsp:cNvPr id="0" name=""/>
        <dsp:cNvSpPr/>
      </dsp:nvSpPr>
      <dsp:spPr>
        <a:xfrm>
          <a:off x="2105083" y="2516702"/>
          <a:ext cx="521463" cy="492561"/>
        </a:xfrm>
        <a:prstGeom prst="downArrow">
          <a:avLst/>
        </a:prstGeom>
        <a:solidFill>
          <a:srgbClr val="FF00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EE7A6C2-B5DF-462C-A117-5B5180DE1FA7}">
      <dsp:nvSpPr>
        <dsp:cNvPr id="0" name=""/>
        <dsp:cNvSpPr/>
      </dsp:nvSpPr>
      <dsp:spPr>
        <a:xfrm>
          <a:off x="1123414" y="2735446"/>
          <a:ext cx="2503023" cy="62575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28016" tIns="128016" rIns="128016" bIns="128016" numCol="1" spcCol="1270" anchor="ctr" anchorCtr="0">
          <a:noAutofit/>
        </a:bodyPr>
        <a:lstStyle/>
        <a:p>
          <a:pPr lvl="0" algn="ctr" defTabSz="800100">
            <a:lnSpc>
              <a:spcPct val="90000"/>
            </a:lnSpc>
            <a:spcBef>
              <a:spcPct val="0"/>
            </a:spcBef>
            <a:spcAft>
              <a:spcPct val="35000"/>
            </a:spcAft>
          </a:pPr>
          <a:r>
            <a:rPr lang="en-US" sz="1800" kern="1200"/>
            <a:t>New Monthly Revenue</a:t>
          </a:r>
        </a:p>
      </dsp:txBody>
      <dsp:txXfrm>
        <a:off x="1123414" y="2735446"/>
        <a:ext cx="2503023" cy="625755"/>
      </dsp:txXfrm>
    </dsp:sp>
    <dsp:sp modelId="{773D32F3-AC6D-4925-8D05-A6DFF00833DD}">
      <dsp:nvSpPr>
        <dsp:cNvPr id="0" name=""/>
        <dsp:cNvSpPr/>
      </dsp:nvSpPr>
      <dsp:spPr>
        <a:xfrm>
          <a:off x="1994533" y="1186909"/>
          <a:ext cx="938633" cy="938633"/>
        </a:xfrm>
        <a:prstGeom prst="ellipse">
          <a:avLst/>
        </a:prstGeom>
        <a:solidFill>
          <a:srgbClr val="92D05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a:solidFill>
                <a:sysClr val="windowText" lastClr="000000"/>
              </a:solidFill>
            </a:rPr>
            <a:t>Customers</a:t>
          </a:r>
        </a:p>
      </dsp:txBody>
      <dsp:txXfrm>
        <a:off x="2131993" y="1324369"/>
        <a:ext cx="663713" cy="663713"/>
      </dsp:txXfrm>
    </dsp:sp>
    <dsp:sp modelId="{CBF5BBE9-0BE2-4148-AC8A-1492D5345691}">
      <dsp:nvSpPr>
        <dsp:cNvPr id="0" name=""/>
        <dsp:cNvSpPr/>
      </dsp:nvSpPr>
      <dsp:spPr>
        <a:xfrm>
          <a:off x="1322888" y="482725"/>
          <a:ext cx="938633" cy="938633"/>
        </a:xfrm>
        <a:prstGeom prst="ellipse">
          <a:avLst/>
        </a:prstGeom>
        <a:solidFill>
          <a:srgbClr val="FFFF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a:solidFill>
                <a:srgbClr val="FF0000"/>
              </a:solidFill>
            </a:rPr>
            <a:t>Leads</a:t>
          </a:r>
        </a:p>
      </dsp:txBody>
      <dsp:txXfrm>
        <a:off x="1460348" y="620185"/>
        <a:ext cx="663713" cy="663713"/>
      </dsp:txXfrm>
    </dsp:sp>
    <dsp:sp modelId="{7752B6F5-DCB5-4678-A67C-7887E0C9EE6A}">
      <dsp:nvSpPr>
        <dsp:cNvPr id="0" name=""/>
        <dsp:cNvSpPr/>
      </dsp:nvSpPr>
      <dsp:spPr>
        <a:xfrm>
          <a:off x="2282380" y="255784"/>
          <a:ext cx="938633" cy="938633"/>
        </a:xfrm>
        <a:prstGeom prst="ellipse">
          <a:avLst/>
        </a:prstGeom>
        <a:solidFill>
          <a:srgbClr val="7030A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r>
            <a:rPr lang="en-US" sz="1100" kern="1200"/>
            <a:t>Visitors</a:t>
          </a:r>
        </a:p>
      </dsp:txBody>
      <dsp:txXfrm>
        <a:off x="2419840" y="393244"/>
        <a:ext cx="663713" cy="663713"/>
      </dsp:txXfrm>
    </dsp:sp>
    <dsp:sp modelId="{4F450DF6-959D-45E7-9619-B8E738CA08B8}">
      <dsp:nvSpPr>
        <dsp:cNvPr id="0" name=""/>
        <dsp:cNvSpPr/>
      </dsp:nvSpPr>
      <dsp:spPr>
        <a:xfrm>
          <a:off x="905718" y="-23837"/>
          <a:ext cx="2920193" cy="2514940"/>
        </a:xfrm>
        <a:prstGeom prst="funnel">
          <a:avLst/>
        </a:prstGeom>
        <a:solidFill>
          <a:schemeClr val="lt1">
            <a:alpha val="40000"/>
            <a:hueOff val="0"/>
            <a:satOff val="0"/>
            <a:lumOff val="0"/>
            <a:alphaOff val="0"/>
          </a:schemeClr>
        </a:solidFill>
        <a:ln w="9525" cap="flat" cmpd="sng" algn="ctr">
          <a:solidFill>
            <a:schemeClr val="accent1">
              <a:hueOff val="0"/>
              <a:satOff val="0"/>
              <a:lumOff val="0"/>
              <a:alphaOff val="0"/>
            </a:schemeClr>
          </a:solidFill>
          <a:prstDash val="solid"/>
        </a:ln>
        <a:effectLst/>
      </dsp:spPr>
      <dsp:style>
        <a:lnRef idx="1">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funnel1">
  <dgm:title val=""/>
  <dgm:desc val=""/>
  <dgm:catLst>
    <dgm:cat type="relationship" pri="2000"/>
    <dgm:cat type="process" pri="27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4"/>
      <dgm:resizeHandles val="exact"/>
    </dgm:varLst>
    <dgm:alg type="composite">
      <dgm:param type="ar" val="1.25"/>
    </dgm:alg>
    <dgm:shape xmlns:r="http://schemas.openxmlformats.org/officeDocument/2006/relationships" r:blip="">
      <dgm:adjLst/>
    </dgm:shape>
    <dgm:presOf/>
    <dgm:choose name="Name1">
      <dgm:if name="Name2" axis="ch" ptType="node" func="cnt" op="equ" val="2">
        <dgm:constrLst>
          <dgm:constr type="w" for="ch" forName="ellipse" refType="w" fact="0.645"/>
          <dgm:constr type="h" for="ch" forName="ellipse" refType="h" fact="0.28"/>
          <dgm:constr type="t" for="ch" forName="ellipse" refType="w" fact="0.0275"/>
          <dgm:constr type="l" for="ch" forName="ellipse" refType="w" fact="0.0265"/>
          <dgm:constr type="w" for="ch" forName="arrow1" refType="w" fact="0.125"/>
          <dgm:constr type="h" for="ch" forName="arrow1" refType="h" fact="0.1"/>
          <dgm:constr type="t" for="ch" forName="arrow1" refType="h" fact="0.72"/>
          <dgm:constr type="l" for="ch" forName="arrow1" refType="w" fact="0.2875"/>
          <dgm:constr type="w" for="ch" forName="rectangle" refType="w" fact="0.6"/>
          <dgm:constr type="h" for="ch" forName="rectangle" refType="w" refFor="ch" refForName="rectangle" fact="0.25"/>
          <dgm:constr type="t" for="ch" forName="rectangle" refType="h" fact="0.8"/>
          <dgm:constr type="l" for="ch" forName="rectangle" refType="w" fact="0.05"/>
          <dgm:constr type="w" for="ch" forName="item1" refType="w" fact="0.35"/>
          <dgm:constr type="h" for="ch" forName="item1" refType="w" fact="0.35"/>
          <dgm:constr type="t" for="ch" forName="item1" refType="h" fact="0.05"/>
          <dgm:constr type="l" for="ch" forName="item1" refType="w" fact="0.125"/>
          <dgm:constr type="primFontSz" for="ch" forName="item1" op="equ" val="65"/>
          <dgm:constr type="w" for="ch" forName="funnel" refType="w" fact="0.7"/>
          <dgm:constr type="h" for="ch" forName="funnel" refType="h" fact="0.7"/>
          <dgm:constr type="t" for="ch" forName="funnel"/>
          <dgm:constr type="l" for="ch" forName="funnel"/>
        </dgm:constrLst>
      </dgm:if>
      <dgm:else name="Name3">
        <dgm:constrLst>
          <dgm:constr type="w" for="ch" forName="ellipse" refType="w" fact="0.645"/>
          <dgm:constr type="h" for="ch" forName="ellipse" refType="h" fact="0.28"/>
          <dgm:constr type="t" for="ch" forName="ellipse" refType="w" fact="0.0275"/>
          <dgm:constr type="l" for="ch" forName="ellipse" refType="w" fact="0.0265"/>
          <dgm:constr type="w" for="ch" forName="arrow1" refType="w" fact="0.125"/>
          <dgm:constr type="h" for="ch" forName="arrow1" refType="h" fact="0.1"/>
          <dgm:constr type="t" for="ch" forName="arrow1" refType="h" fact="0.72"/>
          <dgm:constr type="l" for="ch" forName="arrow1" refType="w" fact="0.2875"/>
          <dgm:constr type="w" for="ch" forName="rectangle" refType="w" fact="0.6"/>
          <dgm:constr type="h" for="ch" forName="rectangle" refType="w" refFor="ch" refForName="rectangle" fact="0.25"/>
          <dgm:constr type="t" for="ch" forName="rectangle" refType="h" fact="0.8"/>
          <dgm:constr type="l" for="ch" forName="rectangle" refType="w" fact="0.05"/>
          <dgm:constr type="primFontSz" for="ch" forName="rectangle" val="65"/>
          <dgm:constr type="w" for="ch" forName="item1" refType="w" fact="0.225"/>
          <dgm:constr type="h" for="ch" forName="item1" refType="w" fact="0.225"/>
          <dgm:constr type="t" for="ch" forName="item1" refType="h" fact="0.336"/>
          <dgm:constr type="l" for="ch" forName="item1" refType="w" fact="0.261"/>
          <dgm:constr type="primFontSz" for="ch" forName="item1" val="65"/>
          <dgm:constr type="w" for="ch" forName="item2" refType="w" fact="0.225"/>
          <dgm:constr type="h" for="ch" forName="item2" refType="w" fact="0.225"/>
          <dgm:constr type="t" for="ch" forName="item2" refType="h" fact="0.125"/>
          <dgm:constr type="l" for="ch" forName="item2" refType="w" fact="0.1"/>
          <dgm:constr type="primFontSz" for="ch" forName="item2" refType="primFontSz" refFor="ch" refForName="item1" op="equ"/>
          <dgm:constr type="w" for="ch" forName="item3" refType="w" fact="0.225"/>
          <dgm:constr type="h" for="ch" forName="item3" refType="w" fact="0.225"/>
          <dgm:constr type="t" for="ch" forName="item3" refType="h" fact="0.057"/>
          <dgm:constr type="l" for="ch" forName="item3" refType="w" fact="0.33"/>
          <dgm:constr type="primFontSz" for="ch" forName="item3" refType="primFontSz" refFor="ch" refForName="item1" op="equ"/>
          <dgm:constr type="w" for="ch" forName="funnel" refType="w" fact="0.7"/>
          <dgm:constr type="h" for="ch" forName="funnel" refType="h" fact="0.7"/>
          <dgm:constr type="t" for="ch" forName="funnel"/>
          <dgm:constr type="l" for="ch" forName="funnel"/>
        </dgm:constrLst>
      </dgm:else>
    </dgm:choose>
    <dgm:ruleLst/>
    <dgm:choose name="Name4">
      <dgm:if name="Name5" axis="ch" ptType="node" func="cnt" op="gte" val="1">
        <dgm:layoutNode name="ellipse" styleLbl="trBgShp">
          <dgm:alg type="sp"/>
          <dgm:shape xmlns:r="http://schemas.openxmlformats.org/officeDocument/2006/relationships" type="ellipse" r:blip="">
            <dgm:adjLst/>
          </dgm:shape>
          <dgm:presOf/>
          <dgm:constrLst/>
          <dgm:ruleLst/>
        </dgm:layoutNode>
        <dgm:layoutNode name="arrow1" styleLbl="fgShp">
          <dgm:alg type="sp"/>
          <dgm:shape xmlns:r="http://schemas.openxmlformats.org/officeDocument/2006/relationships" type="downArrow" r:blip="">
            <dgm:adjLst/>
          </dgm:shape>
          <dgm:presOf/>
          <dgm:constrLst/>
          <dgm:ruleLst/>
        </dgm:layoutNode>
        <dgm:layoutNode name="rectangle" styleLbl="revTx">
          <dgm:varLst>
            <dgm:bulletEnabled val="1"/>
          </dgm:varLst>
          <dgm:alg type="tx">
            <dgm:param type="txAnchorHorzCh" val="ctr"/>
          </dgm:alg>
          <dgm:shape xmlns:r="http://schemas.openxmlformats.org/officeDocument/2006/relationships" type="rect" r:blip="">
            <dgm:adjLst/>
          </dgm:shape>
          <dgm:choose name="Name6">
            <dgm:if name="Name7" axis="ch" ptType="node" func="cnt" op="equ" val="1">
              <dgm:presOf axis="ch desOrSelf" ptType="node node" st="1 1" cnt="1 0"/>
            </dgm:if>
            <dgm:if name="Name8" axis="ch" ptType="node" func="cnt" op="equ" val="2">
              <dgm:presOf axis="ch desOrSelf" ptType="node node" st="2 1" cnt="1 0"/>
            </dgm:if>
            <dgm:if name="Name9" axis="ch" ptType="node" func="cnt" op="equ" val="3">
              <dgm:presOf axis="ch desOrSelf" ptType="node node" st="3 1" cnt="1 0"/>
            </dgm:if>
            <dgm:else name="Name10">
              <dgm:presOf axis="ch desOrSelf" ptType="node node" st="4 1" cnt="1 0"/>
            </dgm:else>
          </dgm:choose>
          <dgm:constrLst/>
          <dgm:ruleLst>
            <dgm:rule type="primFontSz" val="5" fact="NaN" max="NaN"/>
          </dgm:ruleLst>
        </dgm:layoutNode>
        <dgm:forEach name="Name11" axis="ch" ptType="node" st="2" cnt="1">
          <dgm:layoutNode name="item1" styleLbl="node1">
            <dgm:varLst>
              <dgm:bulletEnabled val="1"/>
            </dgm:varLst>
            <dgm:alg type="tx">
              <dgm:param type="txAnchorVertCh" val="mid"/>
            </dgm:alg>
            <dgm:shape xmlns:r="http://schemas.openxmlformats.org/officeDocument/2006/relationships" type="ellipse" r:blip="">
              <dgm:adjLst/>
            </dgm:shape>
            <dgm:choose name="Name12">
              <dgm:if name="Name13" axis="root ch" ptType="all node" func="cnt" op="equ" val="1">
                <dgm:presOf/>
              </dgm:if>
              <dgm:if name="Name14" axis="root ch" ptType="all node" func="cnt" op="equ" val="2">
                <dgm:presOf axis="root ch desOrSelf" ptType="all node node" st="1 1 1" cnt="0 1 0"/>
              </dgm:if>
              <dgm:if name="Name15" axis="root ch" ptType="all node" func="cnt" op="equ" val="3">
                <dgm:presOf axis="root ch desOrSelf" ptType="all node node" st="1 2 1" cnt="0 1 0"/>
              </dgm:if>
              <dgm:else name="Name16">
                <dgm:presOf axis="root ch desOrSelf" ptType="all node node" st="1 3 1" cnt="0 1 0"/>
              </dgm:else>
            </dgm:choos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dgm:forEach name="Name17" axis="ch" ptType="node" st="3" cnt="1">
          <dgm:layoutNode name="item2" styleLbl="node1">
            <dgm:varLst>
              <dgm:bulletEnabled val="1"/>
            </dgm:varLst>
            <dgm:alg type="tx">
              <dgm:param type="txAnchorVertCh" val="mid"/>
            </dgm:alg>
            <dgm:shape xmlns:r="http://schemas.openxmlformats.org/officeDocument/2006/relationships" type="ellipse" r:blip="">
              <dgm:adjLst/>
            </dgm:shape>
            <dgm:choose name="Name18">
              <dgm:if name="Name19" axis="root ch" ptType="all node" func="cnt" op="equ" val="1">
                <dgm:presOf/>
              </dgm:if>
              <dgm:if name="Name20" axis="root ch" ptType="all node" func="cnt" op="equ" val="2">
                <dgm:presOf/>
              </dgm:if>
              <dgm:if name="Name21" axis="root ch" ptType="all node" func="cnt" op="equ" val="3">
                <dgm:presOf axis="root ch desOrSelf" ptType="all node node" st="1 1 1" cnt="0 1 0"/>
              </dgm:if>
              <dgm:else name="Name22">
                <dgm:presOf axis="root ch desOrSelf" ptType="all node node" st="1 2 1" cnt="0 1 0"/>
              </dgm:else>
            </dgm:choos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dgm:forEach name="Name23" axis="ch" ptType="node" st="4" cnt="1">
          <dgm:layoutNode name="item3" styleLbl="node1">
            <dgm:varLst>
              <dgm:bulletEnabled val="1"/>
            </dgm:varLst>
            <dgm:alg type="tx">
              <dgm:param type="txAnchorVertCh" val="mid"/>
            </dgm:alg>
            <dgm:shape xmlns:r="http://schemas.openxmlformats.org/officeDocument/2006/relationships" type="ellipse" r:blip="">
              <dgm:adjLst/>
            </dgm:shape>
            <dgm:choose name="Name24">
              <dgm:if name="Name25" axis="root ch" ptType="all node" func="cnt" op="equ" val="1">
                <dgm:presOf/>
              </dgm:if>
              <dgm:if name="Name26" axis="root ch" ptType="all node" func="cnt" op="equ" val="2">
                <dgm:presOf/>
              </dgm:if>
              <dgm:if name="Name27" axis="root ch" ptType="all node" func="cnt" op="equ" val="3">
                <dgm:presOf/>
              </dgm:if>
              <dgm:else name="Name28">
                <dgm:presOf axis="root ch desOrSelf" ptType="all node node" st="1 1 1" cnt="0 1 0"/>
              </dgm:else>
            </dgm:choos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dgm:layoutNode name="funnel" styleLbl="trAlignAcc1">
          <dgm:alg type="sp"/>
          <dgm:shape xmlns:r="http://schemas.openxmlformats.org/officeDocument/2006/relationships" type="funnel" r:blip="">
            <dgm:adjLst/>
          </dgm:shape>
          <dgm:presOf/>
          <dgm:constrLst/>
          <dgm:ruleLst/>
        </dgm:layoutNode>
      </dgm:if>
      <dgm:else name="Name2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4" Type="http://schemas.openxmlformats.org/officeDocument/2006/relationships/diagramColors" Target="../diagrams/colors1.xml"/><Relationship Id="rId5" Type="http://schemas.microsoft.com/office/2007/relationships/diagramDrawing" Target="../diagrams/drawing1.xml"/><Relationship Id="rId1" Type="http://schemas.openxmlformats.org/officeDocument/2006/relationships/diagramData" Target="../diagrams/data1.xml"/><Relationship Id="rId2"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11</xdr:col>
      <xdr:colOff>54803</xdr:colOff>
      <xdr:row>5</xdr:row>
      <xdr:rowOff>3175</xdr:rowOff>
    </xdr:from>
    <xdr:to>
      <xdr:col>18</xdr:col>
      <xdr:colOff>97203</xdr:colOff>
      <xdr:row>26</xdr:row>
      <xdr:rowOff>19001</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1581150</xdr:colOff>
      <xdr:row>0</xdr:row>
      <xdr:rowOff>0</xdr:rowOff>
    </xdr:from>
    <xdr:to>
      <xdr:col>10</xdr:col>
      <xdr:colOff>294129</xdr:colOff>
      <xdr:row>4</xdr:row>
      <xdr:rowOff>66836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4975" y="180975"/>
          <a:ext cx="8847579" cy="1152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1581150</xdr:colOff>
      <xdr:row>0</xdr:row>
      <xdr:rowOff>0</xdr:rowOff>
    </xdr:from>
    <xdr:to>
      <xdr:col>10</xdr:col>
      <xdr:colOff>294129</xdr:colOff>
      <xdr:row>4</xdr:row>
      <xdr:rowOff>66836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4975" y="0"/>
          <a:ext cx="8847579" cy="11526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4" Type="http://schemas.openxmlformats.org/officeDocument/2006/relationships/comments" Target="../comments3.xml"/><Relationship Id="rId1" Type="http://schemas.openxmlformats.org/officeDocument/2006/relationships/hyperlink" Target="http://www.b2binbound.com/about-us/" TargetMode="External"/><Relationship Id="rId2"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46"/>
  <sheetViews>
    <sheetView showGridLines="0" workbookViewId="0">
      <selection activeCell="B28" sqref="B28"/>
    </sheetView>
  </sheetViews>
  <sheetFormatPr baseColWidth="10" defaultColWidth="8.83203125" defaultRowHeight="14" outlineLevelRow="1" x14ac:dyDescent="0"/>
  <cols>
    <col min="1" max="1" width="3.6640625" customWidth="1"/>
    <col min="2" max="2" width="111.5" customWidth="1"/>
    <col min="3" max="3" width="14.5" customWidth="1"/>
    <col min="4" max="4" width="5.5" customWidth="1"/>
    <col min="5" max="5" width="36.5" customWidth="1"/>
  </cols>
  <sheetData>
    <row r="2" spans="2:5" ht="18">
      <c r="B2" s="120" t="s">
        <v>153</v>
      </c>
      <c r="C2" s="11"/>
      <c r="D2" s="16"/>
    </row>
    <row r="3" spans="2:5" ht="18">
      <c r="B3" s="130"/>
      <c r="C3" s="16"/>
      <c r="D3" s="16"/>
    </row>
    <row r="4" spans="2:5">
      <c r="B4" s="119" t="s">
        <v>145</v>
      </c>
      <c r="C4" s="17"/>
      <c r="D4" s="17"/>
    </row>
    <row r="5" spans="2:5">
      <c r="B5" s="122" t="s">
        <v>18</v>
      </c>
      <c r="C5" s="20">
        <v>50</v>
      </c>
      <c r="D5" s="20"/>
    </row>
    <row r="6" spans="2:5">
      <c r="B6" s="122" t="s">
        <v>19</v>
      </c>
      <c r="C6" s="21">
        <v>2000</v>
      </c>
      <c r="D6" s="21"/>
      <c r="E6" s="2"/>
    </row>
    <row r="7" spans="2:5">
      <c r="B7" s="122" t="s">
        <v>22</v>
      </c>
      <c r="C7" s="22">
        <f>C5*C6</f>
        <v>100000</v>
      </c>
      <c r="D7" s="22"/>
    </row>
    <row r="8" spans="2:5">
      <c r="B8" s="122"/>
      <c r="C8" s="22"/>
      <c r="D8" s="22"/>
    </row>
    <row r="9" spans="2:5">
      <c r="B9" s="123" t="s">
        <v>146</v>
      </c>
      <c r="C9" s="20"/>
      <c r="D9" s="20"/>
    </row>
    <row r="10" spans="2:5">
      <c r="B10" s="122" t="s">
        <v>20</v>
      </c>
      <c r="C10" s="21">
        <v>5000</v>
      </c>
      <c r="D10" s="21"/>
    </row>
    <row r="11" spans="2:5">
      <c r="B11" s="122" t="s">
        <v>21</v>
      </c>
      <c r="C11" s="20">
        <v>2</v>
      </c>
      <c r="D11" s="20"/>
    </row>
    <row r="12" spans="2:5">
      <c r="B12" s="122" t="s">
        <v>23</v>
      </c>
      <c r="C12" s="22">
        <f>C10*C11</f>
        <v>10000</v>
      </c>
      <c r="D12" s="22"/>
    </row>
    <row r="13" spans="2:5">
      <c r="B13" s="122"/>
      <c r="C13" s="22"/>
      <c r="D13" s="22"/>
    </row>
    <row r="14" spans="2:5">
      <c r="B14" s="124" t="s">
        <v>24</v>
      </c>
      <c r="C14" s="22">
        <f>C7+C12</f>
        <v>110000</v>
      </c>
      <c r="D14" s="22"/>
    </row>
    <row r="15" spans="2:5">
      <c r="B15" s="124" t="s">
        <v>144</v>
      </c>
      <c r="C15" s="20">
        <v>5</v>
      </c>
      <c r="D15" s="20"/>
    </row>
    <row r="16" spans="2:5">
      <c r="B16" s="124"/>
      <c r="C16" s="20"/>
      <c r="D16" s="20"/>
    </row>
    <row r="17" spans="2:5" ht="18">
      <c r="B17" s="135" t="s">
        <v>168</v>
      </c>
      <c r="C17" s="136">
        <f>12*C14/C15</f>
        <v>264000</v>
      </c>
      <c r="D17" s="131"/>
      <c r="E17" s="137" t="str">
        <f>IF(C17&gt;C28,"Exceeds desired profitability","Below desired profitability")</f>
        <v>Exceeds desired profitability</v>
      </c>
    </row>
    <row r="18" spans="2:5">
      <c r="B18" s="125"/>
      <c r="C18" s="23"/>
      <c r="D18" s="23"/>
    </row>
    <row r="19" spans="2:5">
      <c r="B19" s="123" t="s">
        <v>152</v>
      </c>
      <c r="C19" s="23"/>
      <c r="D19" s="23"/>
    </row>
    <row r="20" spans="2:5">
      <c r="B20" s="126" t="s">
        <v>147</v>
      </c>
      <c r="C20" s="116">
        <v>60000</v>
      </c>
      <c r="D20" s="116"/>
    </row>
    <row r="21" spans="2:5">
      <c r="B21" s="127" t="s">
        <v>155</v>
      </c>
      <c r="C21" s="117">
        <v>0.3</v>
      </c>
      <c r="D21" s="117"/>
      <c r="E21" s="85" t="s">
        <v>194</v>
      </c>
    </row>
    <row r="22" spans="2:5">
      <c r="B22" s="126" t="s">
        <v>148</v>
      </c>
      <c r="C22" s="117">
        <v>0.66</v>
      </c>
      <c r="D22" s="117"/>
      <c r="E22" s="85" t="s">
        <v>193</v>
      </c>
    </row>
    <row r="23" spans="2:5">
      <c r="B23" s="126" t="s">
        <v>149</v>
      </c>
      <c r="C23" s="23">
        <f>(C20*(1+C21))/C22</f>
        <v>118181.81818181818</v>
      </c>
      <c r="D23" s="23"/>
    </row>
    <row r="24" spans="2:5">
      <c r="B24" s="125"/>
      <c r="C24" s="23"/>
      <c r="D24" s="23"/>
    </row>
    <row r="25" spans="2:5">
      <c r="B25" s="124" t="s">
        <v>150</v>
      </c>
      <c r="C25" s="117">
        <v>0.15</v>
      </c>
      <c r="D25" s="117"/>
      <c r="E25" s="85" t="s">
        <v>195</v>
      </c>
    </row>
    <row r="26" spans="2:5">
      <c r="B26" s="129" t="s">
        <v>151</v>
      </c>
      <c r="C26" s="118">
        <v>0.25</v>
      </c>
      <c r="D26" s="118"/>
    </row>
    <row r="27" spans="2:5">
      <c r="B27" s="129"/>
      <c r="C27" s="118"/>
      <c r="D27" s="118"/>
    </row>
    <row r="28" spans="2:5">
      <c r="B28" s="132" t="s">
        <v>154</v>
      </c>
      <c r="C28" s="133">
        <f>C23/(1-(C25+C26))</f>
        <v>196969.69696969696</v>
      </c>
      <c r="D28" s="121"/>
    </row>
    <row r="29" spans="2:5">
      <c r="C29" s="24"/>
      <c r="D29" s="24"/>
    </row>
    <row r="30" spans="2:5" ht="18" hidden="1" outlineLevel="1">
      <c r="B30" s="120" t="s">
        <v>89</v>
      </c>
      <c r="C30" s="200"/>
      <c r="D30" s="25"/>
    </row>
    <row r="31" spans="2:5" hidden="1" outlineLevel="1">
      <c r="B31" s="17" t="s">
        <v>34</v>
      </c>
      <c r="C31" s="25"/>
      <c r="D31" s="25"/>
    </row>
    <row r="32" spans="2:5" ht="15" hidden="1" outlineLevel="1">
      <c r="B32" s="18" t="s">
        <v>25</v>
      </c>
      <c r="C32" s="26">
        <v>200000</v>
      </c>
      <c r="D32" s="26"/>
    </row>
    <row r="33" spans="2:5" ht="15" hidden="1" outlineLevel="1">
      <c r="B33" s="18" t="s">
        <v>26</v>
      </c>
      <c r="C33" s="27">
        <v>12</v>
      </c>
      <c r="D33" s="27"/>
    </row>
    <row r="34" spans="2:5" ht="15" hidden="1" outlineLevel="1">
      <c r="B34" s="18" t="s">
        <v>37</v>
      </c>
      <c r="C34" s="28">
        <f>C32-C14</f>
        <v>90000</v>
      </c>
      <c r="D34" s="28"/>
      <c r="E34" t="s">
        <v>46</v>
      </c>
    </row>
    <row r="35" spans="2:5" ht="15" hidden="1" outlineLevel="1">
      <c r="B35" s="15" t="s">
        <v>35</v>
      </c>
      <c r="C35" s="27"/>
      <c r="D35" s="27"/>
    </row>
    <row r="36" spans="2:5" ht="15" hidden="1" outlineLevel="1">
      <c r="B36" s="18" t="s">
        <v>27</v>
      </c>
      <c r="C36" s="27">
        <v>12</v>
      </c>
      <c r="D36" s="27"/>
    </row>
    <row r="37" spans="2:5" ht="15" hidden="1" outlineLevel="1">
      <c r="B37" s="18" t="s">
        <v>28</v>
      </c>
      <c r="C37" s="27">
        <v>3</v>
      </c>
      <c r="D37" s="27"/>
    </row>
    <row r="38" spans="2:5" ht="15" hidden="1" outlineLevel="1">
      <c r="B38" s="18" t="s">
        <v>39</v>
      </c>
      <c r="C38" s="27">
        <v>1</v>
      </c>
      <c r="D38" s="27"/>
    </row>
    <row r="39" spans="2:5" ht="15" hidden="1" outlineLevel="1">
      <c r="B39" s="18" t="s">
        <v>36</v>
      </c>
      <c r="C39" s="29">
        <f>C6*(C37-C38)</f>
        <v>4000</v>
      </c>
      <c r="D39" s="29"/>
    </row>
    <row r="40" spans="2:5" ht="18" hidden="1" outlineLevel="1">
      <c r="B40" s="15" t="s">
        <v>38</v>
      </c>
      <c r="C40" s="77">
        <f>C34/C39</f>
        <v>22.5</v>
      </c>
      <c r="D40" s="77"/>
      <c r="E40" s="137" t="str">
        <f>IF(C40&gt;C33, "Don't meet goal", "Meet goal")</f>
        <v>Don't meet goal</v>
      </c>
    </row>
    <row r="41" spans="2:5" ht="15" hidden="1" outlineLevel="1">
      <c r="B41" s="18"/>
      <c r="C41" s="27"/>
      <c r="D41" s="27"/>
    </row>
    <row r="42" spans="2:5" ht="15" hidden="1" outlineLevel="1">
      <c r="B42" s="15" t="s">
        <v>33</v>
      </c>
      <c r="C42" s="27"/>
      <c r="D42" s="27"/>
    </row>
    <row r="43" spans="2:5" ht="15" hidden="1" outlineLevel="1">
      <c r="B43" s="18" t="s">
        <v>29</v>
      </c>
      <c r="C43" s="115" t="s">
        <v>30</v>
      </c>
      <c r="D43" s="115"/>
    </row>
    <row r="44" spans="2:5" ht="15" hidden="1" outlineLevel="1">
      <c r="B44" s="18" t="s">
        <v>31</v>
      </c>
      <c r="C44" s="115" t="s">
        <v>30</v>
      </c>
      <c r="D44" s="115"/>
    </row>
    <row r="45" spans="2:5" ht="15" hidden="1" outlineLevel="1">
      <c r="B45" s="18" t="s">
        <v>32</v>
      </c>
      <c r="C45" s="115" t="s">
        <v>30</v>
      </c>
      <c r="D45" s="115"/>
    </row>
    <row r="46" spans="2:5" collapsed="1"/>
  </sheetData>
  <conditionalFormatting sqref="E17">
    <cfRule type="containsText" dxfId="41" priority="4" operator="containsText" text="Below desired profitability">
      <formula>NOT(ISERROR(SEARCH("Below desired profitability",E17)))</formula>
    </cfRule>
    <cfRule type="containsText" dxfId="40" priority="5" operator="containsText" text="Exceeds desired profitability">
      <formula>NOT(ISERROR(SEARCH("Exceeds desired profitability",E17)))</formula>
    </cfRule>
  </conditionalFormatting>
  <conditionalFormatting sqref="E40">
    <cfRule type="containsText" dxfId="39" priority="1" operator="containsText" text="Don't meet goal">
      <formula>NOT(ISERROR(SEARCH("Don't meet goal",E40)))</formula>
    </cfRule>
    <cfRule type="containsText" dxfId="38" priority="2" operator="containsText" text="Meet goal">
      <formula>NOT(ISERROR(SEARCH("Meet goal",E40)))</formula>
    </cfRule>
  </conditionalFormatting>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9"/>
  <sheetViews>
    <sheetView showGridLines="0" zoomScale="112" zoomScaleNormal="112" zoomScalePageLayoutView="112" workbookViewId="0">
      <selection activeCell="C4" sqref="C4"/>
    </sheetView>
  </sheetViews>
  <sheetFormatPr baseColWidth="10" defaultColWidth="8.83203125" defaultRowHeight="14" x14ac:dyDescent="0"/>
  <cols>
    <col min="1" max="1" width="3.6640625" customWidth="1"/>
    <col min="2" max="2" width="48" customWidth="1"/>
    <col min="3" max="3" width="19.6640625" customWidth="1"/>
    <col min="4" max="4" width="19.5" customWidth="1"/>
    <col min="5" max="5" width="20.83203125" customWidth="1"/>
    <col min="6" max="6" width="1.83203125" customWidth="1"/>
  </cols>
  <sheetData>
    <row r="2" spans="2:7" ht="43">
      <c r="B2" s="120" t="s">
        <v>171</v>
      </c>
      <c r="C2" s="145" t="s">
        <v>174</v>
      </c>
      <c r="D2" s="150" t="s">
        <v>175</v>
      </c>
      <c r="E2" s="152" t="s">
        <v>176</v>
      </c>
      <c r="F2" s="173"/>
    </row>
    <row r="3" spans="2:7" ht="18">
      <c r="B3" s="130"/>
      <c r="C3" s="16"/>
    </row>
    <row r="4" spans="2:7">
      <c r="B4" t="s">
        <v>169</v>
      </c>
      <c r="C4" s="222">
        <v>10000</v>
      </c>
      <c r="D4" s="2">
        <f>IFERROR(D5/D8,C4)</f>
        <v>20000</v>
      </c>
      <c r="E4" s="2">
        <f>IFERROR(E5/E8,"N/A")</f>
        <v>4000</v>
      </c>
      <c r="F4" s="2"/>
    </row>
    <row r="5" spans="2:7">
      <c r="B5" t="s">
        <v>170</v>
      </c>
      <c r="C5" s="222">
        <v>100</v>
      </c>
      <c r="D5" s="2">
        <f>IFERROR(D6/D9,C5)</f>
        <v>200</v>
      </c>
      <c r="E5" s="2">
        <f>IFERROR(E6/E9,"N/A")</f>
        <v>80</v>
      </c>
      <c r="F5" s="2"/>
    </row>
    <row r="6" spans="2:7">
      <c r="B6" t="s">
        <v>190</v>
      </c>
      <c r="C6" s="222">
        <v>2</v>
      </c>
      <c r="D6" s="222">
        <v>4</v>
      </c>
      <c r="E6">
        <f>D6</f>
        <v>4</v>
      </c>
    </row>
    <row r="7" spans="2:7">
      <c r="C7" s="108"/>
      <c r="D7" s="140"/>
    </row>
    <row r="8" spans="2:7">
      <c r="B8" s="144" t="s">
        <v>172</v>
      </c>
      <c r="C8" s="147">
        <f>IFERROR(C5/C4,"N/A")</f>
        <v>0.01</v>
      </c>
      <c r="D8" s="151">
        <f>C8</f>
        <v>0.01</v>
      </c>
      <c r="E8" s="223">
        <v>0.02</v>
      </c>
      <c r="F8" s="174"/>
      <c r="G8" s="85" t="s">
        <v>198</v>
      </c>
    </row>
    <row r="9" spans="2:7">
      <c r="B9" s="144" t="s">
        <v>173</v>
      </c>
      <c r="C9" s="147">
        <f>IFERROR(C6/C5,"N/A")</f>
        <v>0.02</v>
      </c>
      <c r="D9" s="151">
        <f>C9</f>
        <v>0.02</v>
      </c>
      <c r="E9" s="223">
        <v>0.05</v>
      </c>
      <c r="F9" s="174"/>
      <c r="G9" s="85" t="s">
        <v>261</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32"/>
  <sheetViews>
    <sheetView showGridLines="0" workbookViewId="0">
      <selection activeCell="C7" sqref="C7"/>
    </sheetView>
  </sheetViews>
  <sheetFormatPr baseColWidth="10" defaultColWidth="8.83203125" defaultRowHeight="14" x14ac:dyDescent="0"/>
  <cols>
    <col min="1" max="1" width="3" customWidth="1"/>
    <col min="2" max="2" width="88.5" customWidth="1"/>
    <col min="3" max="3" width="20.1640625" customWidth="1"/>
    <col min="4" max="4" width="3.83203125" customWidth="1"/>
    <col min="5" max="5" width="54.6640625" customWidth="1"/>
  </cols>
  <sheetData>
    <row r="2" spans="2:3" ht="18">
      <c r="B2" s="120" t="s">
        <v>163</v>
      </c>
      <c r="C2" s="11"/>
    </row>
    <row r="3" spans="2:3" ht="9" customHeight="1">
      <c r="B3" s="130"/>
      <c r="C3" s="16"/>
    </row>
    <row r="4" spans="2:3">
      <c r="B4" s="119" t="s">
        <v>156</v>
      </c>
      <c r="C4" s="17"/>
    </row>
    <row r="5" spans="2:3" ht="9.75" customHeight="1">
      <c r="B5" s="119"/>
      <c r="C5" s="17"/>
    </row>
    <row r="6" spans="2:3">
      <c r="B6" s="134" t="s">
        <v>164</v>
      </c>
      <c r="C6" s="17"/>
    </row>
    <row r="7" spans="2:3">
      <c r="B7" s="122" t="s">
        <v>196</v>
      </c>
      <c r="C7" s="211">
        <v>700</v>
      </c>
    </row>
    <row r="8" spans="2:3">
      <c r="B8" s="122" t="s">
        <v>159</v>
      </c>
      <c r="C8" s="212">
        <v>50</v>
      </c>
    </row>
    <row r="9" spans="2:3">
      <c r="B9" s="122" t="s">
        <v>158</v>
      </c>
      <c r="C9" s="22">
        <f>C7*C8</f>
        <v>35000</v>
      </c>
    </row>
    <row r="10" spans="2:3" ht="9.75" customHeight="1">
      <c r="B10" s="122"/>
      <c r="C10" s="22"/>
    </row>
    <row r="11" spans="2:3">
      <c r="B11" s="134" t="s">
        <v>165</v>
      </c>
      <c r="C11" s="20"/>
    </row>
    <row r="12" spans="2:3">
      <c r="B12" s="122" t="s">
        <v>160</v>
      </c>
      <c r="C12" s="211">
        <v>0</v>
      </c>
    </row>
    <row r="13" spans="2:3">
      <c r="B13" s="122" t="s">
        <v>161</v>
      </c>
      <c r="C13" s="213">
        <v>0</v>
      </c>
    </row>
    <row r="14" spans="2:3" ht="8.25" customHeight="1">
      <c r="B14" s="122"/>
      <c r="C14" s="22"/>
    </row>
    <row r="15" spans="2:3">
      <c r="B15" s="128" t="s">
        <v>157</v>
      </c>
      <c r="C15" s="22">
        <f>C9*(1-C13)+C12*C13</f>
        <v>35000</v>
      </c>
    </row>
    <row r="16" spans="2:3" ht="5.25" customHeight="1">
      <c r="B16" s="128"/>
      <c r="C16" s="22"/>
    </row>
    <row r="17" spans="2:5">
      <c r="B17" s="126" t="s">
        <v>162</v>
      </c>
      <c r="C17" s="213">
        <v>0.7</v>
      </c>
    </row>
    <row r="18" spans="2:5" ht="6" customHeight="1">
      <c r="B18" s="128"/>
      <c r="C18" s="22"/>
    </row>
    <row r="19" spans="2:5" ht="18.75" customHeight="1">
      <c r="B19" s="138" t="s">
        <v>177</v>
      </c>
      <c r="C19" s="153">
        <f>C15*C17</f>
        <v>24500</v>
      </c>
      <c r="E19" s="143"/>
    </row>
    <row r="21" spans="2:5">
      <c r="B21" s="89" t="s">
        <v>166</v>
      </c>
    </row>
    <row r="23" spans="2:5">
      <c r="B23" s="139" t="s">
        <v>167</v>
      </c>
      <c r="C23" s="214">
        <v>7200000</v>
      </c>
      <c r="E23" s="85" t="s">
        <v>178</v>
      </c>
    </row>
    <row r="24" spans="2:5">
      <c r="B24" s="139" t="s">
        <v>274</v>
      </c>
      <c r="C24" s="214">
        <v>4800000</v>
      </c>
      <c r="E24" s="85" t="s">
        <v>179</v>
      </c>
    </row>
    <row r="25" spans="2:5">
      <c r="B25" s="139" t="s">
        <v>189</v>
      </c>
      <c r="C25" s="210">
        <v>4000</v>
      </c>
      <c r="E25" s="85" t="s">
        <v>180</v>
      </c>
    </row>
    <row r="27" spans="2:5">
      <c r="B27" s="141" t="s">
        <v>8</v>
      </c>
      <c r="C27" s="142">
        <f>SUM(C23:C24)/C25</f>
        <v>3000</v>
      </c>
    </row>
    <row r="29" spans="2:5" ht="15">
      <c r="B29" s="138" t="s">
        <v>272</v>
      </c>
      <c r="C29" s="154">
        <f>MAX(C27,10%*C19)</f>
        <v>3000</v>
      </c>
      <c r="E29" s="85"/>
    </row>
    <row r="30" spans="2:5">
      <c r="E30" s="85"/>
    </row>
    <row r="31" spans="2:5">
      <c r="B31" t="s">
        <v>270</v>
      </c>
      <c r="C31" s="221">
        <f>'Client''s funnel analysis'!D6-'Client''s funnel analysis'!C6</f>
        <v>2</v>
      </c>
      <c r="E31" s="175" t="s">
        <v>273</v>
      </c>
    </row>
    <row r="32" spans="2:5" ht="18">
      <c r="B32" s="165" t="s">
        <v>271</v>
      </c>
      <c r="C32" s="166">
        <f>C29*C31</f>
        <v>6000</v>
      </c>
      <c r="E32" s="85" t="s">
        <v>269</v>
      </c>
    </row>
  </sheetData>
  <sheetProtection sheet="1" objects="1" scenarios="1" selectLockedCells="1"/>
  <pageMargins left="0.7" right="0.7" top="0.75" bottom="0.75" header="0.3" footer="0.3"/>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55"/>
  <sheetViews>
    <sheetView showGridLines="0" topLeftCell="A5" zoomScale="91" zoomScaleNormal="91" zoomScalePageLayoutView="91" workbookViewId="0">
      <selection activeCell="G25" sqref="G25"/>
    </sheetView>
  </sheetViews>
  <sheetFormatPr baseColWidth="10" defaultColWidth="8.83203125" defaultRowHeight="14" x14ac:dyDescent="0"/>
  <cols>
    <col min="1" max="1" width="1.5" style="30" customWidth="1"/>
    <col min="2" max="4" width="8.83203125" style="30"/>
    <col min="5" max="5" width="15.1640625" style="30" customWidth="1"/>
    <col min="6" max="6" width="21" style="30" bestFit="1" customWidth="1"/>
    <col min="7" max="7" width="22.83203125" style="30" bestFit="1" customWidth="1"/>
    <col min="8" max="8" width="6.5" style="30" customWidth="1"/>
    <col min="9" max="9" width="7" style="30" bestFit="1" customWidth="1"/>
    <col min="10" max="10" width="13.5" style="30" bestFit="1" customWidth="1"/>
    <col min="11" max="11" width="17.6640625" style="30" customWidth="1"/>
    <col min="12" max="16384" width="8.83203125" style="30"/>
  </cols>
  <sheetData>
    <row r="1" spans="2:11" ht="6.75" customHeight="1" thickBot="1"/>
    <row r="2" spans="2:11" ht="9" customHeight="1">
      <c r="B2" s="289" t="s">
        <v>51</v>
      </c>
      <c r="C2" s="290"/>
      <c r="D2" s="290"/>
      <c r="E2" s="290"/>
      <c r="F2" s="290"/>
      <c r="G2" s="290"/>
      <c r="H2" s="290"/>
      <c r="I2" s="290"/>
      <c r="J2" s="290"/>
      <c r="K2" s="291"/>
    </row>
    <row r="3" spans="2:11" ht="15" thickBot="1">
      <c r="B3" s="292"/>
      <c r="C3" s="293"/>
      <c r="D3" s="293"/>
      <c r="E3" s="293"/>
      <c r="F3" s="293"/>
      <c r="G3" s="293"/>
      <c r="H3" s="293"/>
      <c r="I3" s="293"/>
      <c r="J3" s="293"/>
      <c r="K3" s="294"/>
    </row>
    <row r="4" spans="2:11" ht="56" customHeight="1" thickBot="1">
      <c r="B4" s="295" t="s">
        <v>52</v>
      </c>
      <c r="C4" s="296"/>
      <c r="D4" s="297"/>
      <c r="E4" s="31" t="s">
        <v>53</v>
      </c>
      <c r="F4" s="32" t="s">
        <v>54</v>
      </c>
      <c r="G4" s="298" t="s">
        <v>55</v>
      </c>
      <c r="H4" s="299"/>
      <c r="I4" s="299"/>
      <c r="J4" s="299"/>
      <c r="K4" s="300"/>
    </row>
    <row r="5" spans="2:11">
      <c r="B5" s="301" t="s">
        <v>56</v>
      </c>
      <c r="C5" s="276" t="s">
        <v>57</v>
      </c>
      <c r="D5" s="277"/>
      <c r="E5" s="277"/>
      <c r="F5" s="277"/>
      <c r="G5" s="277"/>
      <c r="H5" s="277"/>
      <c r="I5" s="277"/>
      <c r="J5" s="277"/>
      <c r="K5" s="278"/>
    </row>
    <row r="6" spans="2:11">
      <c r="B6" s="302"/>
      <c r="C6" s="279" t="s">
        <v>58</v>
      </c>
      <c r="D6" s="280"/>
      <c r="E6" s="280"/>
      <c r="F6" s="280"/>
      <c r="G6" s="280"/>
      <c r="H6" s="280"/>
      <c r="I6" s="280"/>
      <c r="J6" s="280"/>
      <c r="K6" s="281"/>
    </row>
    <row r="7" spans="2:11" ht="6" customHeight="1" thickBot="1">
      <c r="B7" s="302"/>
      <c r="C7" s="33"/>
      <c r="D7" s="33"/>
      <c r="E7" s="33"/>
      <c r="F7" s="33"/>
      <c r="G7" s="33"/>
      <c r="H7" s="33"/>
      <c r="I7" s="33"/>
      <c r="J7" s="33"/>
      <c r="K7" s="34"/>
    </row>
    <row r="8" spans="2:11" ht="21" customHeight="1" thickBot="1">
      <c r="B8" s="303"/>
      <c r="C8" s="283" t="s">
        <v>59</v>
      </c>
      <c r="D8" s="283"/>
      <c r="E8" s="283"/>
      <c r="F8" s="80">
        <v>400000</v>
      </c>
      <c r="G8" s="304" t="s">
        <v>60</v>
      </c>
      <c r="H8" s="305"/>
      <c r="I8" s="305"/>
      <c r="J8" s="305"/>
      <c r="K8" s="306"/>
    </row>
    <row r="9" spans="2:11" ht="18.75" customHeight="1">
      <c r="B9" s="273" t="s">
        <v>61</v>
      </c>
      <c r="C9" s="35" t="s">
        <v>62</v>
      </c>
      <c r="D9" s="36"/>
      <c r="E9" s="36"/>
      <c r="F9" s="36"/>
      <c r="G9" s="36"/>
      <c r="H9" s="36"/>
      <c r="I9" s="36"/>
      <c r="J9" s="36"/>
      <c r="K9" s="37"/>
    </row>
    <row r="10" spans="2:11" ht="13.5" customHeight="1">
      <c r="B10" s="274"/>
      <c r="C10" s="38" t="s">
        <v>63</v>
      </c>
      <c r="D10" s="39"/>
      <c r="E10" s="39"/>
      <c r="F10" s="40"/>
      <c r="G10" s="33"/>
      <c r="H10" s="41"/>
      <c r="I10" s="41"/>
      <c r="J10" s="41"/>
      <c r="K10" s="42"/>
    </row>
    <row r="11" spans="2:11" ht="6.75" customHeight="1">
      <c r="B11" s="274"/>
      <c r="D11" s="43"/>
      <c r="E11" s="43"/>
      <c r="F11" s="44"/>
      <c r="G11" s="33"/>
      <c r="H11" s="45"/>
      <c r="I11" s="45"/>
      <c r="J11" s="45"/>
      <c r="K11" s="46"/>
    </row>
    <row r="12" spans="2:11" ht="2.25" customHeight="1" thickBot="1">
      <c r="B12" s="274"/>
      <c r="C12" s="47"/>
      <c r="D12" s="43"/>
      <c r="E12" s="43"/>
      <c r="F12" s="44"/>
      <c r="G12" s="33"/>
      <c r="H12" s="45"/>
      <c r="I12" s="45"/>
      <c r="J12" s="45"/>
      <c r="K12" s="46"/>
    </row>
    <row r="13" spans="2:11" ht="20.25" customHeight="1" thickBot="1">
      <c r="B13" s="275"/>
      <c r="C13" s="48"/>
      <c r="D13" s="49"/>
      <c r="E13" s="49" t="s">
        <v>64</v>
      </c>
      <c r="F13" s="50">
        <v>0.5</v>
      </c>
      <c r="G13" s="51"/>
      <c r="H13" s="52"/>
      <c r="I13" s="52"/>
      <c r="J13" s="52"/>
      <c r="K13" s="53"/>
    </row>
    <row r="14" spans="2:11" ht="4.5" customHeight="1">
      <c r="B14" s="273" t="s">
        <v>65</v>
      </c>
      <c r="C14" s="284"/>
      <c r="D14" s="285"/>
      <c r="E14" s="285"/>
      <c r="F14" s="285"/>
      <c r="G14" s="285"/>
      <c r="H14" s="285"/>
      <c r="I14" s="285"/>
      <c r="J14" s="285"/>
      <c r="K14" s="281"/>
    </row>
    <row r="15" spans="2:11" ht="12" customHeight="1">
      <c r="B15" s="274"/>
      <c r="C15" s="279" t="s">
        <v>66</v>
      </c>
      <c r="D15" s="280"/>
      <c r="E15" s="280"/>
      <c r="F15" s="280"/>
      <c r="G15" s="280"/>
      <c r="H15" s="280"/>
      <c r="I15" s="280"/>
      <c r="J15" s="280"/>
      <c r="K15" s="281"/>
    </row>
    <row r="16" spans="2:11" ht="6.75" customHeight="1" thickBot="1">
      <c r="B16" s="274"/>
      <c r="C16" s="33"/>
      <c r="D16" s="33"/>
      <c r="E16" s="33"/>
      <c r="F16" s="33"/>
      <c r="G16" s="33"/>
      <c r="H16" s="33"/>
      <c r="I16" s="33"/>
      <c r="J16" s="33"/>
      <c r="K16" s="34"/>
    </row>
    <row r="17" spans="2:11" ht="16" thickBot="1">
      <c r="B17" s="274"/>
      <c r="C17" s="282" t="s">
        <v>67</v>
      </c>
      <c r="D17" s="282"/>
      <c r="E17" s="282"/>
      <c r="F17" s="79">
        <v>67000</v>
      </c>
      <c r="G17" s="286" t="s">
        <v>68</v>
      </c>
      <c r="H17" s="279"/>
      <c r="I17" s="279"/>
      <c r="J17" s="279"/>
      <c r="K17" s="34"/>
    </row>
    <row r="18" spans="2:11" ht="19" thickBot="1">
      <c r="B18" s="275"/>
      <c r="C18" s="283" t="s">
        <v>69</v>
      </c>
      <c r="D18" s="283"/>
      <c r="E18" s="283"/>
      <c r="F18" s="54">
        <f>(F8/F17)*F13</f>
        <v>2.9850746268656718</v>
      </c>
      <c r="G18" s="287"/>
      <c r="H18" s="288"/>
      <c r="I18" s="288"/>
      <c r="J18" s="288"/>
      <c r="K18" s="34"/>
    </row>
    <row r="19" spans="2:11" ht="15" customHeight="1">
      <c r="B19" s="273" t="s">
        <v>70</v>
      </c>
      <c r="C19" s="276" t="s">
        <v>71</v>
      </c>
      <c r="D19" s="277"/>
      <c r="E19" s="277"/>
      <c r="F19" s="277"/>
      <c r="G19" s="277"/>
      <c r="H19" s="277"/>
      <c r="I19" s="277"/>
      <c r="J19" s="277"/>
      <c r="K19" s="278"/>
    </row>
    <row r="20" spans="2:11" ht="12.75" customHeight="1">
      <c r="B20" s="274"/>
      <c r="C20" s="279" t="s">
        <v>72</v>
      </c>
      <c r="D20" s="280"/>
      <c r="E20" s="280"/>
      <c r="F20" s="280"/>
      <c r="G20" s="280"/>
      <c r="H20" s="280"/>
      <c r="I20" s="280"/>
      <c r="J20" s="280"/>
      <c r="K20" s="281"/>
    </row>
    <row r="21" spans="2:11" ht="5.25" customHeight="1" thickBot="1">
      <c r="B21" s="274"/>
      <c r="C21" s="33"/>
      <c r="D21" s="33"/>
      <c r="E21" s="33"/>
      <c r="F21" s="33"/>
      <c r="G21" s="33"/>
      <c r="H21" s="33"/>
      <c r="I21" s="33"/>
      <c r="J21" s="33"/>
      <c r="K21" s="34"/>
    </row>
    <row r="22" spans="2:11" ht="16" thickBot="1">
      <c r="B22" s="274"/>
      <c r="C22" s="33"/>
      <c r="D22" s="33"/>
      <c r="E22" s="55"/>
      <c r="F22" s="56" t="s">
        <v>73</v>
      </c>
      <c r="G22" s="56" t="s">
        <v>74</v>
      </c>
      <c r="H22" s="33"/>
      <c r="I22" s="33"/>
      <c r="J22" s="33"/>
      <c r="K22" s="34"/>
    </row>
    <row r="23" spans="2:11" ht="16" thickBot="1">
      <c r="B23" s="274"/>
      <c r="C23" s="282" t="s">
        <v>75</v>
      </c>
      <c r="D23" s="282"/>
      <c r="E23" s="282"/>
      <c r="F23" s="57">
        <v>3.0000000000000001E-3</v>
      </c>
      <c r="G23" s="57">
        <v>5.0000000000000001E-3</v>
      </c>
      <c r="H23" s="33" t="s">
        <v>76</v>
      </c>
      <c r="I23" s="33"/>
      <c r="J23" s="33"/>
      <c r="K23" s="34"/>
    </row>
    <row r="24" spans="2:11" ht="8" customHeight="1" thickBot="1">
      <c r="B24" s="274"/>
      <c r="C24" s="58"/>
      <c r="D24" s="58"/>
      <c r="E24" s="58"/>
      <c r="F24" s="59"/>
      <c r="G24" s="60"/>
      <c r="H24" s="33"/>
      <c r="I24" s="33"/>
      <c r="J24" s="33"/>
      <c r="K24" s="34"/>
    </row>
    <row r="25" spans="2:11" ht="19" thickBot="1">
      <c r="B25" s="275"/>
      <c r="C25" s="283" t="s">
        <v>77</v>
      </c>
      <c r="D25" s="283"/>
      <c r="E25" s="283"/>
      <c r="F25" s="61">
        <f>(F18/F23)</f>
        <v>995.0248756218906</v>
      </c>
      <c r="G25" s="62">
        <f>F18/G23</f>
        <v>597.01492537313436</v>
      </c>
      <c r="H25" s="33" t="s">
        <v>78</v>
      </c>
      <c r="I25" s="33"/>
      <c r="J25" s="33"/>
      <c r="K25" s="34"/>
    </row>
    <row r="26" spans="2:11" ht="13.5" customHeight="1">
      <c r="B26" s="273" t="s">
        <v>79</v>
      </c>
      <c r="C26" s="276" t="s">
        <v>80</v>
      </c>
      <c r="D26" s="277"/>
      <c r="E26" s="277"/>
      <c r="F26" s="277"/>
      <c r="G26" s="277"/>
      <c r="H26" s="277"/>
      <c r="I26" s="277"/>
      <c r="J26" s="277"/>
      <c r="K26" s="278"/>
    </row>
    <row r="27" spans="2:11" ht="12.75" customHeight="1">
      <c r="B27" s="274"/>
      <c r="C27" s="279" t="s">
        <v>81</v>
      </c>
      <c r="D27" s="280"/>
      <c r="E27" s="280"/>
      <c r="F27" s="280"/>
      <c r="G27" s="280"/>
      <c r="H27" s="280"/>
      <c r="I27" s="280"/>
      <c r="J27" s="280"/>
      <c r="K27" s="281"/>
    </row>
    <row r="28" spans="2:11" ht="3" customHeight="1" thickBot="1">
      <c r="B28" s="274"/>
      <c r="C28" s="33"/>
      <c r="D28" s="33"/>
      <c r="E28" s="33"/>
      <c r="F28" s="33"/>
      <c r="G28" s="33"/>
      <c r="H28" s="33"/>
      <c r="I28" s="33"/>
      <c r="J28" s="33"/>
      <c r="K28" s="34"/>
    </row>
    <row r="29" spans="2:11" ht="16" thickBot="1">
      <c r="B29" s="274"/>
      <c r="C29" s="33"/>
      <c r="D29" s="33"/>
      <c r="E29" s="55"/>
      <c r="F29" s="56" t="s">
        <v>73</v>
      </c>
      <c r="G29" s="56" t="s">
        <v>74</v>
      </c>
      <c r="H29" s="33"/>
      <c r="I29" s="33"/>
      <c r="J29" s="33"/>
      <c r="K29" s="34"/>
    </row>
    <row r="30" spans="2:11" ht="17" customHeight="1" thickBot="1">
      <c r="B30" s="274"/>
      <c r="C30" s="282" t="s">
        <v>82</v>
      </c>
      <c r="D30" s="282"/>
      <c r="E30" s="282"/>
      <c r="F30" s="63">
        <v>0.02</v>
      </c>
      <c r="G30" s="63">
        <v>0.04</v>
      </c>
      <c r="H30" s="33" t="s">
        <v>83</v>
      </c>
      <c r="I30" s="33"/>
      <c r="J30" s="33"/>
      <c r="K30" s="34"/>
    </row>
    <row r="31" spans="2:11" ht="8" customHeight="1" thickBot="1">
      <c r="B31" s="274"/>
      <c r="C31" s="58"/>
      <c r="D31" s="58"/>
      <c r="E31" s="58"/>
      <c r="F31" s="59"/>
      <c r="G31" s="60"/>
      <c r="H31" s="33"/>
      <c r="I31" s="33"/>
      <c r="J31" s="33"/>
      <c r="K31" s="34"/>
    </row>
    <row r="32" spans="2:11" ht="19" customHeight="1" thickBot="1">
      <c r="B32" s="275"/>
      <c r="C32" s="283" t="s">
        <v>84</v>
      </c>
      <c r="D32" s="283"/>
      <c r="E32" s="283"/>
      <c r="F32" s="64">
        <f>(F25/F30)</f>
        <v>49751.243781094527</v>
      </c>
      <c r="G32" s="65">
        <f>G25/G30</f>
        <v>14925.373134328358</v>
      </c>
      <c r="H32" s="33" t="s">
        <v>78</v>
      </c>
      <c r="I32" s="33"/>
      <c r="J32" s="51"/>
      <c r="K32" s="66"/>
    </row>
    <row r="33" spans="2:11">
      <c r="B33" s="67"/>
      <c r="C33" s="68"/>
      <c r="D33" s="68"/>
      <c r="E33" s="68"/>
      <c r="F33" s="68"/>
      <c r="G33" s="68"/>
      <c r="H33" s="68"/>
      <c r="I33" s="68" t="s">
        <v>85</v>
      </c>
      <c r="J33" s="69" t="s">
        <v>86</v>
      </c>
      <c r="K33" s="70" t="s">
        <v>87</v>
      </c>
    </row>
    <row r="34" spans="2:11">
      <c r="B34" s="71"/>
      <c r="C34" s="72"/>
      <c r="D34" s="72"/>
      <c r="E34" s="72"/>
      <c r="F34" s="72"/>
      <c r="G34" s="73"/>
      <c r="H34" s="72"/>
      <c r="I34" s="72"/>
      <c r="J34" s="74"/>
      <c r="K34" s="75" t="s">
        <v>88</v>
      </c>
    </row>
    <row r="35" spans="2:11">
      <c r="B35" s="71"/>
      <c r="C35" s="71"/>
      <c r="D35" s="71"/>
      <c r="E35" s="71"/>
      <c r="F35" s="71"/>
      <c r="G35" s="71"/>
      <c r="H35" s="71"/>
      <c r="I35" s="71"/>
      <c r="J35" s="71"/>
    </row>
    <row r="36" spans="2:11">
      <c r="B36" s="71"/>
      <c r="C36" s="71"/>
      <c r="D36" s="71"/>
      <c r="E36" s="71"/>
      <c r="F36" s="71"/>
      <c r="G36" s="71"/>
      <c r="H36" s="71"/>
      <c r="I36" s="71"/>
      <c r="J36" s="71"/>
    </row>
    <row r="37" spans="2:11">
      <c r="B37" s="71"/>
      <c r="C37" s="71"/>
      <c r="D37" s="71"/>
      <c r="E37" s="71"/>
      <c r="F37" s="71"/>
      <c r="G37" s="71"/>
      <c r="H37" s="71"/>
      <c r="I37" s="71"/>
      <c r="J37" s="71"/>
    </row>
    <row r="38" spans="2:11">
      <c r="B38" s="71"/>
      <c r="C38" s="71"/>
      <c r="D38" s="71"/>
      <c r="E38" s="71"/>
      <c r="F38" s="71"/>
      <c r="G38" s="71"/>
      <c r="H38" s="71"/>
      <c r="I38" s="71"/>
      <c r="J38" s="71"/>
    </row>
    <row r="39" spans="2:11">
      <c r="B39" s="71"/>
      <c r="C39" s="71"/>
      <c r="D39" s="71"/>
      <c r="E39" s="71"/>
      <c r="F39" s="71"/>
      <c r="G39" s="71"/>
      <c r="H39" s="71"/>
      <c r="I39" s="71"/>
      <c r="J39" s="71"/>
    </row>
    <row r="40" spans="2:11">
      <c r="B40" s="71"/>
      <c r="C40" s="71"/>
      <c r="D40" s="71"/>
      <c r="E40" s="71"/>
      <c r="F40" s="71"/>
      <c r="G40" s="71"/>
      <c r="H40" s="71"/>
      <c r="I40" s="71"/>
      <c r="J40" s="71"/>
    </row>
    <row r="41" spans="2:11">
      <c r="B41" s="71"/>
      <c r="C41" s="71"/>
      <c r="D41" s="71"/>
      <c r="E41" s="71"/>
      <c r="F41" s="71"/>
      <c r="G41" s="71"/>
      <c r="H41" s="71"/>
      <c r="I41" s="71"/>
      <c r="J41" s="71"/>
    </row>
    <row r="42" spans="2:11">
      <c r="B42" s="71"/>
      <c r="C42" s="71"/>
      <c r="D42" s="71"/>
      <c r="E42" s="71"/>
      <c r="F42" s="71"/>
      <c r="G42" s="71"/>
      <c r="H42" s="71"/>
      <c r="I42" s="71"/>
      <c r="J42" s="71"/>
    </row>
    <row r="43" spans="2:11">
      <c r="B43" s="71"/>
      <c r="C43" s="71"/>
      <c r="D43" s="71"/>
      <c r="E43" s="71"/>
      <c r="F43" s="71"/>
      <c r="G43" s="71"/>
      <c r="H43" s="71"/>
      <c r="I43" s="71"/>
      <c r="J43" s="71"/>
    </row>
    <row r="44" spans="2:11">
      <c r="B44" s="71"/>
      <c r="C44" s="71"/>
      <c r="D44" s="71"/>
      <c r="E44" s="71"/>
      <c r="F44" s="71"/>
      <c r="G44" s="71"/>
      <c r="H44" s="71"/>
      <c r="I44" s="71"/>
      <c r="J44" s="71"/>
    </row>
    <row r="45" spans="2:11">
      <c r="B45" s="71"/>
      <c r="C45" s="71"/>
      <c r="D45" s="71"/>
      <c r="E45" s="71"/>
      <c r="F45" s="71"/>
      <c r="G45" s="71"/>
      <c r="H45" s="71"/>
      <c r="I45" s="71"/>
      <c r="J45" s="71"/>
    </row>
    <row r="46" spans="2:11">
      <c r="B46" s="71"/>
      <c r="C46" s="71"/>
      <c r="D46" s="71"/>
      <c r="E46" s="71"/>
      <c r="F46" s="71"/>
      <c r="G46" s="71"/>
      <c r="H46" s="71"/>
      <c r="I46" s="71"/>
      <c r="J46" s="71"/>
    </row>
    <row r="47" spans="2:11">
      <c r="B47" s="271"/>
      <c r="C47" s="271"/>
      <c r="D47" s="271"/>
      <c r="E47" s="271"/>
      <c r="F47" s="271"/>
      <c r="G47" s="271"/>
      <c r="H47" s="271"/>
      <c r="I47" s="271"/>
      <c r="J47" s="271"/>
    </row>
    <row r="48" spans="2:11">
      <c r="B48" s="272"/>
      <c r="C48" s="272"/>
      <c r="D48" s="272"/>
      <c r="E48" s="272"/>
      <c r="F48" s="272"/>
      <c r="G48" s="272"/>
      <c r="H48" s="272"/>
      <c r="I48" s="272"/>
      <c r="J48" s="272"/>
    </row>
    <row r="49" spans="2:10">
      <c r="B49" s="71"/>
      <c r="C49" s="71"/>
      <c r="D49" s="71"/>
      <c r="E49" s="71"/>
      <c r="F49" s="71"/>
      <c r="G49" s="71"/>
      <c r="H49" s="71"/>
      <c r="I49" s="71"/>
      <c r="J49" s="71"/>
    </row>
    <row r="50" spans="2:10">
      <c r="B50" s="71"/>
      <c r="C50" s="71"/>
      <c r="D50" s="71"/>
      <c r="E50" s="71"/>
      <c r="F50" s="71"/>
      <c r="G50" s="71"/>
      <c r="H50" s="71"/>
      <c r="I50" s="71"/>
      <c r="J50" s="71"/>
    </row>
    <row r="51" spans="2:10">
      <c r="B51" s="71"/>
      <c r="C51" s="71"/>
      <c r="D51" s="71"/>
      <c r="E51" s="71"/>
      <c r="F51" s="71"/>
      <c r="G51" s="71"/>
      <c r="H51" s="71"/>
      <c r="I51" s="71"/>
      <c r="J51" s="71"/>
    </row>
    <row r="52" spans="2:10">
      <c r="B52" s="71"/>
      <c r="C52" s="71"/>
      <c r="D52" s="71"/>
      <c r="E52" s="71"/>
      <c r="F52" s="71"/>
      <c r="G52" s="71"/>
      <c r="H52" s="71"/>
      <c r="I52" s="71"/>
      <c r="J52" s="71"/>
    </row>
    <row r="53" spans="2:10">
      <c r="B53" s="71"/>
      <c r="C53" s="71"/>
      <c r="D53" s="71"/>
      <c r="E53" s="71"/>
      <c r="F53" s="71"/>
      <c r="G53" s="71"/>
      <c r="H53" s="71"/>
      <c r="I53" s="71"/>
      <c r="J53" s="71"/>
    </row>
    <row r="54" spans="2:10">
      <c r="B54" s="71"/>
      <c r="C54" s="71"/>
      <c r="D54" s="71"/>
      <c r="E54" s="71"/>
      <c r="F54" s="71"/>
      <c r="G54" s="71"/>
      <c r="H54" s="71"/>
      <c r="I54" s="71"/>
      <c r="J54" s="71"/>
    </row>
    <row r="55" spans="2:10">
      <c r="B55" s="71"/>
      <c r="C55" s="71"/>
      <c r="D55" s="71"/>
      <c r="E55" s="71"/>
      <c r="F55" s="71"/>
      <c r="G55" s="71"/>
      <c r="H55" s="71"/>
      <c r="I55" s="71"/>
      <c r="J55" s="71"/>
    </row>
  </sheetData>
  <mergeCells count="28">
    <mergeCell ref="B2:K3"/>
    <mergeCell ref="B4:D4"/>
    <mergeCell ref="G4:K4"/>
    <mergeCell ref="B5:B8"/>
    <mergeCell ref="C5:K5"/>
    <mergeCell ref="C6:K6"/>
    <mergeCell ref="C8:E8"/>
    <mergeCell ref="G8:K8"/>
    <mergeCell ref="B9:B13"/>
    <mergeCell ref="B14:B18"/>
    <mergeCell ref="C14:K14"/>
    <mergeCell ref="C15:K15"/>
    <mergeCell ref="C17:E17"/>
    <mergeCell ref="G17:J17"/>
    <mergeCell ref="C18:E18"/>
    <mergeCell ref="G18:J18"/>
    <mergeCell ref="B47:J47"/>
    <mergeCell ref="B48:J48"/>
    <mergeCell ref="B19:B25"/>
    <mergeCell ref="C19:K19"/>
    <mergeCell ref="C20:K20"/>
    <mergeCell ref="C23:E23"/>
    <mergeCell ref="C25:E25"/>
    <mergeCell ref="B26:B32"/>
    <mergeCell ref="C26:K26"/>
    <mergeCell ref="C27:K27"/>
    <mergeCell ref="C30:E30"/>
    <mergeCell ref="C32:E32"/>
  </mergeCells>
  <hyperlinks>
    <hyperlink ref="K33" r:id="rId1"/>
  </hyperlinks>
  <pageMargins left="0.2" right="0.2" top="0.75" bottom="0.75" header="0.3" footer="0.3"/>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9"/>
  <sheetViews>
    <sheetView topLeftCell="B1" workbookViewId="0">
      <selection activeCell="E18" sqref="E18"/>
    </sheetView>
  </sheetViews>
  <sheetFormatPr baseColWidth="10" defaultColWidth="8.83203125" defaultRowHeight="14" outlineLevelCol="1" x14ac:dyDescent="0"/>
  <cols>
    <col min="1" max="1" width="2.6640625" customWidth="1"/>
    <col min="2" max="2" width="4.33203125" customWidth="1"/>
    <col min="3" max="3" width="72" bestFit="1" customWidth="1"/>
    <col min="4" max="4" width="22.5" bestFit="1" customWidth="1"/>
    <col min="5" max="5" width="19.6640625" customWidth="1" outlineLevel="1"/>
    <col min="6" max="6" width="9.1640625" customWidth="1" outlineLevel="1"/>
    <col min="7" max="7" width="9.1640625" customWidth="1"/>
  </cols>
  <sheetData>
    <row r="2" spans="2:6">
      <c r="C2" s="14" t="s">
        <v>96</v>
      </c>
      <c r="D2" s="14" t="s">
        <v>97</v>
      </c>
      <c r="E2" s="14" t="s">
        <v>0</v>
      </c>
    </row>
    <row r="3" spans="2:6">
      <c r="B3">
        <v>1</v>
      </c>
      <c r="C3" t="s">
        <v>91</v>
      </c>
      <c r="D3" s="7">
        <v>10000</v>
      </c>
      <c r="E3" s="7">
        <v>10000</v>
      </c>
    </row>
    <row r="4" spans="2:6">
      <c r="C4" s="3" t="s">
        <v>8</v>
      </c>
      <c r="D4" s="7">
        <v>6000</v>
      </c>
      <c r="E4" s="7">
        <v>2733</v>
      </c>
      <c r="F4" t="s">
        <v>101</v>
      </c>
    </row>
    <row r="5" spans="2:6">
      <c r="C5" s="3" t="s">
        <v>9</v>
      </c>
      <c r="D5" s="8">
        <f>D3-D4</f>
        <v>4000</v>
      </c>
      <c r="E5" s="8">
        <f>E3-E4</f>
        <v>7267</v>
      </c>
    </row>
    <row r="6" spans="2:6">
      <c r="B6">
        <v>2</v>
      </c>
      <c r="C6" t="s">
        <v>10</v>
      </c>
    </row>
    <row r="7" spans="2:6">
      <c r="C7" s="3" t="s">
        <v>1</v>
      </c>
      <c r="D7" s="82">
        <f>'Inbound Marketing Goals'!F17</f>
        <v>67000</v>
      </c>
      <c r="E7" s="7">
        <v>700</v>
      </c>
    </row>
    <row r="8" spans="2:6">
      <c r="C8" s="3" t="s">
        <v>2</v>
      </c>
      <c r="D8" s="6">
        <v>0.6</v>
      </c>
      <c r="E8" s="6">
        <v>0.7</v>
      </c>
      <c r="F8" t="s">
        <v>11</v>
      </c>
    </row>
    <row r="9" spans="2:6">
      <c r="C9" s="3" t="s">
        <v>43</v>
      </c>
      <c r="D9" s="5">
        <v>1</v>
      </c>
      <c r="E9" s="4">
        <f>1/0.015</f>
        <v>66.666666666666671</v>
      </c>
    </row>
    <row r="10" spans="2:6">
      <c r="C10" s="3" t="s">
        <v>3</v>
      </c>
      <c r="D10" s="9">
        <f>D7*D8*D9</f>
        <v>40200</v>
      </c>
      <c r="E10" s="9">
        <f>E7*E8*E9</f>
        <v>32666.666666666664</v>
      </c>
      <c r="F10" t="s">
        <v>12</v>
      </c>
    </row>
    <row r="12" spans="2:6">
      <c r="C12" s="13" t="s">
        <v>95</v>
      </c>
      <c r="D12" s="11"/>
      <c r="E12" s="11"/>
    </row>
    <row r="13" spans="2:6">
      <c r="B13">
        <v>3</v>
      </c>
      <c r="C13" s="12" t="s">
        <v>40</v>
      </c>
      <c r="D13" s="78">
        <f>'Inbound Marketing Goals'!F18</f>
        <v>2.9850746268656718</v>
      </c>
      <c r="E13" s="5">
        <v>150</v>
      </c>
      <c r="F13" t="s">
        <v>42</v>
      </c>
    </row>
    <row r="14" spans="2:6">
      <c r="B14">
        <v>4</v>
      </c>
      <c r="C14" s="12" t="s">
        <v>41</v>
      </c>
      <c r="D14" s="8">
        <f>D13*D10</f>
        <v>120000</v>
      </c>
      <c r="E14" s="9">
        <f>E13*E10</f>
        <v>4900000</v>
      </c>
    </row>
    <row r="15" spans="2:6">
      <c r="C15" s="12"/>
      <c r="D15" s="112">
        <v>0.1</v>
      </c>
      <c r="E15" s="19"/>
      <c r="F15" s="12"/>
    </row>
    <row r="16" spans="2:6">
      <c r="B16">
        <v>5</v>
      </c>
      <c r="C16" s="12" t="s">
        <v>92</v>
      </c>
      <c r="D16" s="83">
        <f>D15*D14</f>
        <v>12000</v>
      </c>
      <c r="E16" s="19">
        <f>D15*E14</f>
        <v>490000</v>
      </c>
      <c r="F16" s="12" t="s">
        <v>45</v>
      </c>
    </row>
    <row r="17" spans="2:7">
      <c r="C17" s="12"/>
      <c r="D17" s="112"/>
      <c r="E17" s="19"/>
      <c r="F17" s="12"/>
    </row>
    <row r="18" spans="2:7">
      <c r="C18" s="12" t="s">
        <v>90</v>
      </c>
      <c r="D18" s="8">
        <f>D13*D4</f>
        <v>17910.447761194031</v>
      </c>
      <c r="E18" s="9">
        <f>E4*E13</f>
        <v>409950</v>
      </c>
      <c r="F18" t="s">
        <v>44</v>
      </c>
    </row>
    <row r="19" spans="2:7">
      <c r="C19" s="12" t="s">
        <v>98</v>
      </c>
      <c r="D19" s="84">
        <f>D18-D16</f>
        <v>5910.447761194031</v>
      </c>
      <c r="E19" s="9">
        <f>E18-E16</f>
        <v>-80050</v>
      </c>
      <c r="F19" t="s">
        <v>93</v>
      </c>
    </row>
    <row r="20" spans="2:7">
      <c r="C20" s="12"/>
      <c r="D20" s="101"/>
      <c r="E20" s="9"/>
    </row>
    <row r="21" spans="2:7">
      <c r="E21" s="9"/>
    </row>
    <row r="22" spans="2:7">
      <c r="E22" s="9"/>
    </row>
    <row r="24" spans="2:7" hidden="1">
      <c r="C24" s="81" t="s">
        <v>94</v>
      </c>
      <c r="D24" s="11"/>
      <c r="E24" s="11"/>
    </row>
    <row r="25" spans="2:7" hidden="1">
      <c r="B25">
        <v>6</v>
      </c>
      <c r="C25" s="10" t="s">
        <v>4</v>
      </c>
      <c r="E25" s="9">
        <f>E10-E3</f>
        <v>22666.666666666664</v>
      </c>
    </row>
    <row r="26" spans="2:7" hidden="1">
      <c r="B26">
        <v>7</v>
      </c>
      <c r="C26" s="10" t="s">
        <v>5</v>
      </c>
      <c r="E26" s="1">
        <f>E10/E3</f>
        <v>3.2666666666666666</v>
      </c>
      <c r="F26" t="s">
        <v>7</v>
      </c>
    </row>
    <row r="27" spans="2:7" hidden="1">
      <c r="B27">
        <v>8</v>
      </c>
      <c r="C27" s="10" t="s">
        <v>6</v>
      </c>
      <c r="E27" s="1">
        <f>E3/(E7*E8)</f>
        <v>20.408163265306126</v>
      </c>
    </row>
    <row r="28" spans="2:7" hidden="1"/>
    <row r="29" spans="2:7" hidden="1"/>
    <row r="30" spans="2:7" hidden="1">
      <c r="G30" s="85" t="s">
        <v>99</v>
      </c>
    </row>
    <row r="31" spans="2:7" hidden="1">
      <c r="C31" s="13" t="s">
        <v>13</v>
      </c>
    </row>
    <row r="32" spans="2:7" hidden="1">
      <c r="B32">
        <v>7</v>
      </c>
      <c r="C32" s="12" t="s">
        <v>14</v>
      </c>
      <c r="E32" s="4">
        <v>10000</v>
      </c>
    </row>
    <row r="33" spans="2:7" hidden="1">
      <c r="B33">
        <v>8</v>
      </c>
      <c r="C33" s="12" t="s">
        <v>15</v>
      </c>
      <c r="D33" s="8"/>
      <c r="E33" s="8">
        <f>E32*E7*E8</f>
        <v>4900000</v>
      </c>
    </row>
    <row r="34" spans="2:7" hidden="1">
      <c r="C34" s="12"/>
      <c r="E34" s="2"/>
    </row>
    <row r="35" spans="2:7" hidden="1"/>
    <row r="36" spans="2:7" hidden="1">
      <c r="B36">
        <v>3</v>
      </c>
      <c r="C36" s="10" t="s">
        <v>16</v>
      </c>
      <c r="E36" s="8"/>
      <c r="G36" s="85" t="s">
        <v>100</v>
      </c>
    </row>
    <row r="37" spans="2:7" hidden="1">
      <c r="C37" s="3" t="s">
        <v>48</v>
      </c>
      <c r="D37" s="8">
        <v>120000</v>
      </c>
      <c r="E37" t="s">
        <v>50</v>
      </c>
    </row>
    <row r="38" spans="2:7" hidden="1">
      <c r="C38" s="3" t="s">
        <v>47</v>
      </c>
      <c r="D38" s="6">
        <v>0.6</v>
      </c>
      <c r="E38" t="s">
        <v>49</v>
      </c>
    </row>
    <row r="39" spans="2:7" hidden="1">
      <c r="C39" s="3" t="s">
        <v>17</v>
      </c>
      <c r="E39" s="8"/>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53"/>
  <sheetViews>
    <sheetView showGridLines="0" topLeftCell="A17" workbookViewId="0">
      <selection activeCell="B44" sqref="B44"/>
    </sheetView>
  </sheetViews>
  <sheetFormatPr baseColWidth="10" defaultColWidth="8.83203125" defaultRowHeight="14" outlineLevelCol="1" x14ac:dyDescent="0"/>
  <cols>
    <col min="1" max="1" width="3.1640625" style="87" customWidth="1"/>
    <col min="2" max="2" width="39.5" style="87" customWidth="1"/>
    <col min="3" max="3" width="10.1640625" style="87" customWidth="1" outlineLevel="1"/>
    <col min="4" max="4" width="12.1640625" style="87" customWidth="1" outlineLevel="1"/>
    <col min="5" max="5" width="16.5" style="87" bestFit="1" customWidth="1"/>
    <col min="6" max="6" width="10.5" style="87" customWidth="1" outlineLevel="1"/>
    <col min="7" max="7" width="16.5" style="87" bestFit="1" customWidth="1"/>
    <col min="8" max="8" width="10.5" style="87" hidden="1" customWidth="1" outlineLevel="1"/>
    <col min="9" max="9" width="22.5" style="87" customWidth="1" collapsed="1"/>
    <col min="10" max="10" width="10.5" style="87" hidden="1" customWidth="1" outlineLevel="1"/>
    <col min="11" max="11" width="8.83203125" style="87" collapsed="1"/>
    <col min="12" max="12" width="8.83203125" style="87"/>
    <col min="13" max="14" width="9.1640625" style="87" hidden="1" customWidth="1" outlineLevel="1"/>
    <col min="15" max="15" width="12.5" style="87" hidden="1" customWidth="1" outlineLevel="1"/>
    <col min="16" max="16" width="10" style="87" hidden="1" customWidth="1" outlineLevel="1"/>
    <col min="17" max="17" width="20" style="87" bestFit="1" customWidth="1" collapsed="1"/>
    <col min="18" max="258" width="8.83203125" style="87"/>
    <col min="259" max="259" width="30.1640625" style="87" bestFit="1" customWidth="1"/>
    <col min="260" max="260" width="10.1640625" style="87" customWidth="1"/>
    <col min="261" max="261" width="12.1640625" style="87" customWidth="1"/>
    <col min="262" max="262" width="16.5" style="87" bestFit="1" customWidth="1"/>
    <col min="263" max="263" width="10.5" style="87" customWidth="1"/>
    <col min="264" max="264" width="16.5" style="87" bestFit="1" customWidth="1"/>
    <col min="265" max="265" width="10.5" style="87" customWidth="1"/>
    <col min="266" max="266" width="17.5" style="87" bestFit="1" customWidth="1"/>
    <col min="267" max="267" width="10.5" style="87" customWidth="1"/>
    <col min="268" max="514" width="8.83203125" style="87"/>
    <col min="515" max="515" width="30.1640625" style="87" bestFit="1" customWidth="1"/>
    <col min="516" max="516" width="10.1640625" style="87" customWidth="1"/>
    <col min="517" max="517" width="12.1640625" style="87" customWidth="1"/>
    <col min="518" max="518" width="16.5" style="87" bestFit="1" customWidth="1"/>
    <col min="519" max="519" width="10.5" style="87" customWidth="1"/>
    <col min="520" max="520" width="16.5" style="87" bestFit="1" customWidth="1"/>
    <col min="521" max="521" width="10.5" style="87" customWidth="1"/>
    <col min="522" max="522" width="17.5" style="87" bestFit="1" customWidth="1"/>
    <col min="523" max="523" width="10.5" style="87" customWidth="1"/>
    <col min="524" max="770" width="8.83203125" style="87"/>
    <col min="771" max="771" width="30.1640625" style="87" bestFit="1" customWidth="1"/>
    <col min="772" max="772" width="10.1640625" style="87" customWidth="1"/>
    <col min="773" max="773" width="12.1640625" style="87" customWidth="1"/>
    <col min="774" max="774" width="16.5" style="87" bestFit="1" customWidth="1"/>
    <col min="775" max="775" width="10.5" style="87" customWidth="1"/>
    <col min="776" max="776" width="16.5" style="87" bestFit="1" customWidth="1"/>
    <col min="777" max="777" width="10.5" style="87" customWidth="1"/>
    <col min="778" max="778" width="17.5" style="87" bestFit="1" customWidth="1"/>
    <col min="779" max="779" width="10.5" style="87" customWidth="1"/>
    <col min="780" max="1026" width="8.83203125" style="87"/>
    <col min="1027" max="1027" width="30.1640625" style="87" bestFit="1" customWidth="1"/>
    <col min="1028" max="1028" width="10.1640625" style="87" customWidth="1"/>
    <col min="1029" max="1029" width="12.1640625" style="87" customWidth="1"/>
    <col min="1030" max="1030" width="16.5" style="87" bestFit="1" customWidth="1"/>
    <col min="1031" max="1031" width="10.5" style="87" customWidth="1"/>
    <col min="1032" max="1032" width="16.5" style="87" bestFit="1" customWidth="1"/>
    <col min="1033" max="1033" width="10.5" style="87" customWidth="1"/>
    <col min="1034" max="1034" width="17.5" style="87" bestFit="1" customWidth="1"/>
    <col min="1035" max="1035" width="10.5" style="87" customWidth="1"/>
    <col min="1036" max="1282" width="8.83203125" style="87"/>
    <col min="1283" max="1283" width="30.1640625" style="87" bestFit="1" customWidth="1"/>
    <col min="1284" max="1284" width="10.1640625" style="87" customWidth="1"/>
    <col min="1285" max="1285" width="12.1640625" style="87" customWidth="1"/>
    <col min="1286" max="1286" width="16.5" style="87" bestFit="1" customWidth="1"/>
    <col min="1287" max="1287" width="10.5" style="87" customWidth="1"/>
    <col min="1288" max="1288" width="16.5" style="87" bestFit="1" customWidth="1"/>
    <col min="1289" max="1289" width="10.5" style="87" customWidth="1"/>
    <col min="1290" max="1290" width="17.5" style="87" bestFit="1" customWidth="1"/>
    <col min="1291" max="1291" width="10.5" style="87" customWidth="1"/>
    <col min="1292" max="1538" width="8.83203125" style="87"/>
    <col min="1539" max="1539" width="30.1640625" style="87" bestFit="1" customWidth="1"/>
    <col min="1540" max="1540" width="10.1640625" style="87" customWidth="1"/>
    <col min="1541" max="1541" width="12.1640625" style="87" customWidth="1"/>
    <col min="1542" max="1542" width="16.5" style="87" bestFit="1" customWidth="1"/>
    <col min="1543" max="1543" width="10.5" style="87" customWidth="1"/>
    <col min="1544" max="1544" width="16.5" style="87" bestFit="1" customWidth="1"/>
    <col min="1545" max="1545" width="10.5" style="87" customWidth="1"/>
    <col min="1546" max="1546" width="17.5" style="87" bestFit="1" customWidth="1"/>
    <col min="1547" max="1547" width="10.5" style="87" customWidth="1"/>
    <col min="1548" max="1794" width="8.83203125" style="87"/>
    <col min="1795" max="1795" width="30.1640625" style="87" bestFit="1" customWidth="1"/>
    <col min="1796" max="1796" width="10.1640625" style="87" customWidth="1"/>
    <col min="1797" max="1797" width="12.1640625" style="87" customWidth="1"/>
    <col min="1798" max="1798" width="16.5" style="87" bestFit="1" customWidth="1"/>
    <col min="1799" max="1799" width="10.5" style="87" customWidth="1"/>
    <col min="1800" max="1800" width="16.5" style="87" bestFit="1" customWidth="1"/>
    <col min="1801" max="1801" width="10.5" style="87" customWidth="1"/>
    <col min="1802" max="1802" width="17.5" style="87" bestFit="1" customWidth="1"/>
    <col min="1803" max="1803" width="10.5" style="87" customWidth="1"/>
    <col min="1804" max="2050" width="8.83203125" style="87"/>
    <col min="2051" max="2051" width="30.1640625" style="87" bestFit="1" customWidth="1"/>
    <col min="2052" max="2052" width="10.1640625" style="87" customWidth="1"/>
    <col min="2053" max="2053" width="12.1640625" style="87" customWidth="1"/>
    <col min="2054" max="2054" width="16.5" style="87" bestFit="1" customWidth="1"/>
    <col min="2055" max="2055" width="10.5" style="87" customWidth="1"/>
    <col min="2056" max="2056" width="16.5" style="87" bestFit="1" customWidth="1"/>
    <col min="2057" max="2057" width="10.5" style="87" customWidth="1"/>
    <col min="2058" max="2058" width="17.5" style="87" bestFit="1" customWidth="1"/>
    <col min="2059" max="2059" width="10.5" style="87" customWidth="1"/>
    <col min="2060" max="2306" width="8.83203125" style="87"/>
    <col min="2307" max="2307" width="30.1640625" style="87" bestFit="1" customWidth="1"/>
    <col min="2308" max="2308" width="10.1640625" style="87" customWidth="1"/>
    <col min="2309" max="2309" width="12.1640625" style="87" customWidth="1"/>
    <col min="2310" max="2310" width="16.5" style="87" bestFit="1" customWidth="1"/>
    <col min="2311" max="2311" width="10.5" style="87" customWidth="1"/>
    <col min="2312" max="2312" width="16.5" style="87" bestFit="1" customWidth="1"/>
    <col min="2313" max="2313" width="10.5" style="87" customWidth="1"/>
    <col min="2314" max="2314" width="17.5" style="87" bestFit="1" customWidth="1"/>
    <col min="2315" max="2315" width="10.5" style="87" customWidth="1"/>
    <col min="2316" max="2562" width="8.83203125" style="87"/>
    <col min="2563" max="2563" width="30.1640625" style="87" bestFit="1" customWidth="1"/>
    <col min="2564" max="2564" width="10.1640625" style="87" customWidth="1"/>
    <col min="2565" max="2565" width="12.1640625" style="87" customWidth="1"/>
    <col min="2566" max="2566" width="16.5" style="87" bestFit="1" customWidth="1"/>
    <col min="2567" max="2567" width="10.5" style="87" customWidth="1"/>
    <col min="2568" max="2568" width="16.5" style="87" bestFit="1" customWidth="1"/>
    <col min="2569" max="2569" width="10.5" style="87" customWidth="1"/>
    <col min="2570" max="2570" width="17.5" style="87" bestFit="1" customWidth="1"/>
    <col min="2571" max="2571" width="10.5" style="87" customWidth="1"/>
    <col min="2572" max="2818" width="8.83203125" style="87"/>
    <col min="2819" max="2819" width="30.1640625" style="87" bestFit="1" customWidth="1"/>
    <col min="2820" max="2820" width="10.1640625" style="87" customWidth="1"/>
    <col min="2821" max="2821" width="12.1640625" style="87" customWidth="1"/>
    <col min="2822" max="2822" width="16.5" style="87" bestFit="1" customWidth="1"/>
    <col min="2823" max="2823" width="10.5" style="87" customWidth="1"/>
    <col min="2824" max="2824" width="16.5" style="87" bestFit="1" customWidth="1"/>
    <col min="2825" max="2825" width="10.5" style="87" customWidth="1"/>
    <col min="2826" max="2826" width="17.5" style="87" bestFit="1" customWidth="1"/>
    <col min="2827" max="2827" width="10.5" style="87" customWidth="1"/>
    <col min="2828" max="3074" width="8.83203125" style="87"/>
    <col min="3075" max="3075" width="30.1640625" style="87" bestFit="1" customWidth="1"/>
    <col min="3076" max="3076" width="10.1640625" style="87" customWidth="1"/>
    <col min="3077" max="3077" width="12.1640625" style="87" customWidth="1"/>
    <col min="3078" max="3078" width="16.5" style="87" bestFit="1" customWidth="1"/>
    <col min="3079" max="3079" width="10.5" style="87" customWidth="1"/>
    <col min="3080" max="3080" width="16.5" style="87" bestFit="1" customWidth="1"/>
    <col min="3081" max="3081" width="10.5" style="87" customWidth="1"/>
    <col min="3082" max="3082" width="17.5" style="87" bestFit="1" customWidth="1"/>
    <col min="3083" max="3083" width="10.5" style="87" customWidth="1"/>
    <col min="3084" max="3330" width="8.83203125" style="87"/>
    <col min="3331" max="3331" width="30.1640625" style="87" bestFit="1" customWidth="1"/>
    <col min="3332" max="3332" width="10.1640625" style="87" customWidth="1"/>
    <col min="3333" max="3333" width="12.1640625" style="87" customWidth="1"/>
    <col min="3334" max="3334" width="16.5" style="87" bestFit="1" customWidth="1"/>
    <col min="3335" max="3335" width="10.5" style="87" customWidth="1"/>
    <col min="3336" max="3336" width="16.5" style="87" bestFit="1" customWidth="1"/>
    <col min="3337" max="3337" width="10.5" style="87" customWidth="1"/>
    <col min="3338" max="3338" width="17.5" style="87" bestFit="1" customWidth="1"/>
    <col min="3339" max="3339" width="10.5" style="87" customWidth="1"/>
    <col min="3340" max="3586" width="8.83203125" style="87"/>
    <col min="3587" max="3587" width="30.1640625" style="87" bestFit="1" customWidth="1"/>
    <col min="3588" max="3588" width="10.1640625" style="87" customWidth="1"/>
    <col min="3589" max="3589" width="12.1640625" style="87" customWidth="1"/>
    <col min="3590" max="3590" width="16.5" style="87" bestFit="1" customWidth="1"/>
    <col min="3591" max="3591" width="10.5" style="87" customWidth="1"/>
    <col min="3592" max="3592" width="16.5" style="87" bestFit="1" customWidth="1"/>
    <col min="3593" max="3593" width="10.5" style="87" customWidth="1"/>
    <col min="3594" max="3594" width="17.5" style="87" bestFit="1" customWidth="1"/>
    <col min="3595" max="3595" width="10.5" style="87" customWidth="1"/>
    <col min="3596" max="3842" width="8.83203125" style="87"/>
    <col min="3843" max="3843" width="30.1640625" style="87" bestFit="1" customWidth="1"/>
    <col min="3844" max="3844" width="10.1640625" style="87" customWidth="1"/>
    <col min="3845" max="3845" width="12.1640625" style="87" customWidth="1"/>
    <col min="3846" max="3846" width="16.5" style="87" bestFit="1" customWidth="1"/>
    <col min="3847" max="3847" width="10.5" style="87" customWidth="1"/>
    <col min="3848" max="3848" width="16.5" style="87" bestFit="1" customWidth="1"/>
    <col min="3849" max="3849" width="10.5" style="87" customWidth="1"/>
    <col min="3850" max="3850" width="17.5" style="87" bestFit="1" customWidth="1"/>
    <col min="3851" max="3851" width="10.5" style="87" customWidth="1"/>
    <col min="3852" max="4098" width="8.83203125" style="87"/>
    <col min="4099" max="4099" width="30.1640625" style="87" bestFit="1" customWidth="1"/>
    <col min="4100" max="4100" width="10.1640625" style="87" customWidth="1"/>
    <col min="4101" max="4101" width="12.1640625" style="87" customWidth="1"/>
    <col min="4102" max="4102" width="16.5" style="87" bestFit="1" customWidth="1"/>
    <col min="4103" max="4103" width="10.5" style="87" customWidth="1"/>
    <col min="4104" max="4104" width="16.5" style="87" bestFit="1" customWidth="1"/>
    <col min="4105" max="4105" width="10.5" style="87" customWidth="1"/>
    <col min="4106" max="4106" width="17.5" style="87" bestFit="1" customWidth="1"/>
    <col min="4107" max="4107" width="10.5" style="87" customWidth="1"/>
    <col min="4108" max="4354" width="8.83203125" style="87"/>
    <col min="4355" max="4355" width="30.1640625" style="87" bestFit="1" customWidth="1"/>
    <col min="4356" max="4356" width="10.1640625" style="87" customWidth="1"/>
    <col min="4357" max="4357" width="12.1640625" style="87" customWidth="1"/>
    <col min="4358" max="4358" width="16.5" style="87" bestFit="1" customWidth="1"/>
    <col min="4359" max="4359" width="10.5" style="87" customWidth="1"/>
    <col min="4360" max="4360" width="16.5" style="87" bestFit="1" customWidth="1"/>
    <col min="4361" max="4361" width="10.5" style="87" customWidth="1"/>
    <col min="4362" max="4362" width="17.5" style="87" bestFit="1" customWidth="1"/>
    <col min="4363" max="4363" width="10.5" style="87" customWidth="1"/>
    <col min="4364" max="4610" width="8.83203125" style="87"/>
    <col min="4611" max="4611" width="30.1640625" style="87" bestFit="1" customWidth="1"/>
    <col min="4612" max="4612" width="10.1640625" style="87" customWidth="1"/>
    <col min="4613" max="4613" width="12.1640625" style="87" customWidth="1"/>
    <col min="4614" max="4614" width="16.5" style="87" bestFit="1" customWidth="1"/>
    <col min="4615" max="4615" width="10.5" style="87" customWidth="1"/>
    <col min="4616" max="4616" width="16.5" style="87" bestFit="1" customWidth="1"/>
    <col min="4617" max="4617" width="10.5" style="87" customWidth="1"/>
    <col min="4618" max="4618" width="17.5" style="87" bestFit="1" customWidth="1"/>
    <col min="4619" max="4619" width="10.5" style="87" customWidth="1"/>
    <col min="4620" max="4866" width="8.83203125" style="87"/>
    <col min="4867" max="4867" width="30.1640625" style="87" bestFit="1" customWidth="1"/>
    <col min="4868" max="4868" width="10.1640625" style="87" customWidth="1"/>
    <col min="4869" max="4869" width="12.1640625" style="87" customWidth="1"/>
    <col min="4870" max="4870" width="16.5" style="87" bestFit="1" customWidth="1"/>
    <col min="4871" max="4871" width="10.5" style="87" customWidth="1"/>
    <col min="4872" max="4872" width="16.5" style="87" bestFit="1" customWidth="1"/>
    <col min="4873" max="4873" width="10.5" style="87" customWidth="1"/>
    <col min="4874" max="4874" width="17.5" style="87" bestFit="1" customWidth="1"/>
    <col min="4875" max="4875" width="10.5" style="87" customWidth="1"/>
    <col min="4876" max="5122" width="8.83203125" style="87"/>
    <col min="5123" max="5123" width="30.1640625" style="87" bestFit="1" customWidth="1"/>
    <col min="5124" max="5124" width="10.1640625" style="87" customWidth="1"/>
    <col min="5125" max="5125" width="12.1640625" style="87" customWidth="1"/>
    <col min="5126" max="5126" width="16.5" style="87" bestFit="1" customWidth="1"/>
    <col min="5127" max="5127" width="10.5" style="87" customWidth="1"/>
    <col min="5128" max="5128" width="16.5" style="87" bestFit="1" customWidth="1"/>
    <col min="5129" max="5129" width="10.5" style="87" customWidth="1"/>
    <col min="5130" max="5130" width="17.5" style="87" bestFit="1" customWidth="1"/>
    <col min="5131" max="5131" width="10.5" style="87" customWidth="1"/>
    <col min="5132" max="5378" width="8.83203125" style="87"/>
    <col min="5379" max="5379" width="30.1640625" style="87" bestFit="1" customWidth="1"/>
    <col min="5380" max="5380" width="10.1640625" style="87" customWidth="1"/>
    <col min="5381" max="5381" width="12.1640625" style="87" customWidth="1"/>
    <col min="5382" max="5382" width="16.5" style="87" bestFit="1" customWidth="1"/>
    <col min="5383" max="5383" width="10.5" style="87" customWidth="1"/>
    <col min="5384" max="5384" width="16.5" style="87" bestFit="1" customWidth="1"/>
    <col min="5385" max="5385" width="10.5" style="87" customWidth="1"/>
    <col min="5386" max="5386" width="17.5" style="87" bestFit="1" customWidth="1"/>
    <col min="5387" max="5387" width="10.5" style="87" customWidth="1"/>
    <col min="5388" max="5634" width="8.83203125" style="87"/>
    <col min="5635" max="5635" width="30.1640625" style="87" bestFit="1" customWidth="1"/>
    <col min="5636" max="5636" width="10.1640625" style="87" customWidth="1"/>
    <col min="5637" max="5637" width="12.1640625" style="87" customWidth="1"/>
    <col min="5638" max="5638" width="16.5" style="87" bestFit="1" customWidth="1"/>
    <col min="5639" max="5639" width="10.5" style="87" customWidth="1"/>
    <col min="5640" max="5640" width="16.5" style="87" bestFit="1" customWidth="1"/>
    <col min="5641" max="5641" width="10.5" style="87" customWidth="1"/>
    <col min="5642" max="5642" width="17.5" style="87" bestFit="1" customWidth="1"/>
    <col min="5643" max="5643" width="10.5" style="87" customWidth="1"/>
    <col min="5644" max="5890" width="8.83203125" style="87"/>
    <col min="5891" max="5891" width="30.1640625" style="87" bestFit="1" customWidth="1"/>
    <col min="5892" max="5892" width="10.1640625" style="87" customWidth="1"/>
    <col min="5893" max="5893" width="12.1640625" style="87" customWidth="1"/>
    <col min="5894" max="5894" width="16.5" style="87" bestFit="1" customWidth="1"/>
    <col min="5895" max="5895" width="10.5" style="87" customWidth="1"/>
    <col min="5896" max="5896" width="16.5" style="87" bestFit="1" customWidth="1"/>
    <col min="5897" max="5897" width="10.5" style="87" customWidth="1"/>
    <col min="5898" max="5898" width="17.5" style="87" bestFit="1" customWidth="1"/>
    <col min="5899" max="5899" width="10.5" style="87" customWidth="1"/>
    <col min="5900" max="6146" width="8.83203125" style="87"/>
    <col min="6147" max="6147" width="30.1640625" style="87" bestFit="1" customWidth="1"/>
    <col min="6148" max="6148" width="10.1640625" style="87" customWidth="1"/>
    <col min="6149" max="6149" width="12.1640625" style="87" customWidth="1"/>
    <col min="6150" max="6150" width="16.5" style="87" bestFit="1" customWidth="1"/>
    <col min="6151" max="6151" width="10.5" style="87" customWidth="1"/>
    <col min="6152" max="6152" width="16.5" style="87" bestFit="1" customWidth="1"/>
    <col min="6153" max="6153" width="10.5" style="87" customWidth="1"/>
    <col min="6154" max="6154" width="17.5" style="87" bestFit="1" customWidth="1"/>
    <col min="6155" max="6155" width="10.5" style="87" customWidth="1"/>
    <col min="6156" max="6402" width="8.83203125" style="87"/>
    <col min="6403" max="6403" width="30.1640625" style="87" bestFit="1" customWidth="1"/>
    <col min="6404" max="6404" width="10.1640625" style="87" customWidth="1"/>
    <col min="6405" max="6405" width="12.1640625" style="87" customWidth="1"/>
    <col min="6406" max="6406" width="16.5" style="87" bestFit="1" customWidth="1"/>
    <col min="6407" max="6407" width="10.5" style="87" customWidth="1"/>
    <col min="6408" max="6408" width="16.5" style="87" bestFit="1" customWidth="1"/>
    <col min="6409" max="6409" width="10.5" style="87" customWidth="1"/>
    <col min="6410" max="6410" width="17.5" style="87" bestFit="1" customWidth="1"/>
    <col min="6411" max="6411" width="10.5" style="87" customWidth="1"/>
    <col min="6412" max="6658" width="8.83203125" style="87"/>
    <col min="6659" max="6659" width="30.1640625" style="87" bestFit="1" customWidth="1"/>
    <col min="6660" max="6660" width="10.1640625" style="87" customWidth="1"/>
    <col min="6661" max="6661" width="12.1640625" style="87" customWidth="1"/>
    <col min="6662" max="6662" width="16.5" style="87" bestFit="1" customWidth="1"/>
    <col min="6663" max="6663" width="10.5" style="87" customWidth="1"/>
    <col min="6664" max="6664" width="16.5" style="87" bestFit="1" customWidth="1"/>
    <col min="6665" max="6665" width="10.5" style="87" customWidth="1"/>
    <col min="6666" max="6666" width="17.5" style="87" bestFit="1" customWidth="1"/>
    <col min="6667" max="6667" width="10.5" style="87" customWidth="1"/>
    <col min="6668" max="6914" width="8.83203125" style="87"/>
    <col min="6915" max="6915" width="30.1640625" style="87" bestFit="1" customWidth="1"/>
    <col min="6916" max="6916" width="10.1640625" style="87" customWidth="1"/>
    <col min="6917" max="6917" width="12.1640625" style="87" customWidth="1"/>
    <col min="6918" max="6918" width="16.5" style="87" bestFit="1" customWidth="1"/>
    <col min="6919" max="6919" width="10.5" style="87" customWidth="1"/>
    <col min="6920" max="6920" width="16.5" style="87" bestFit="1" customWidth="1"/>
    <col min="6921" max="6921" width="10.5" style="87" customWidth="1"/>
    <col min="6922" max="6922" width="17.5" style="87" bestFit="1" customWidth="1"/>
    <col min="6923" max="6923" width="10.5" style="87" customWidth="1"/>
    <col min="6924" max="7170" width="8.83203125" style="87"/>
    <col min="7171" max="7171" width="30.1640625" style="87" bestFit="1" customWidth="1"/>
    <col min="7172" max="7172" width="10.1640625" style="87" customWidth="1"/>
    <col min="7173" max="7173" width="12.1640625" style="87" customWidth="1"/>
    <col min="7174" max="7174" width="16.5" style="87" bestFit="1" customWidth="1"/>
    <col min="7175" max="7175" width="10.5" style="87" customWidth="1"/>
    <col min="7176" max="7176" width="16.5" style="87" bestFit="1" customWidth="1"/>
    <col min="7177" max="7177" width="10.5" style="87" customWidth="1"/>
    <col min="7178" max="7178" width="17.5" style="87" bestFit="1" customWidth="1"/>
    <col min="7179" max="7179" width="10.5" style="87" customWidth="1"/>
    <col min="7180" max="7426" width="8.83203125" style="87"/>
    <col min="7427" max="7427" width="30.1640625" style="87" bestFit="1" customWidth="1"/>
    <col min="7428" max="7428" width="10.1640625" style="87" customWidth="1"/>
    <col min="7429" max="7429" width="12.1640625" style="87" customWidth="1"/>
    <col min="7430" max="7430" width="16.5" style="87" bestFit="1" customWidth="1"/>
    <col min="7431" max="7431" width="10.5" style="87" customWidth="1"/>
    <col min="7432" max="7432" width="16.5" style="87" bestFit="1" customWidth="1"/>
    <col min="7433" max="7433" width="10.5" style="87" customWidth="1"/>
    <col min="7434" max="7434" width="17.5" style="87" bestFit="1" customWidth="1"/>
    <col min="7435" max="7435" width="10.5" style="87" customWidth="1"/>
    <col min="7436" max="7682" width="8.83203125" style="87"/>
    <col min="7683" max="7683" width="30.1640625" style="87" bestFit="1" customWidth="1"/>
    <col min="7684" max="7684" width="10.1640625" style="87" customWidth="1"/>
    <col min="7685" max="7685" width="12.1640625" style="87" customWidth="1"/>
    <col min="7686" max="7686" width="16.5" style="87" bestFit="1" customWidth="1"/>
    <col min="7687" max="7687" width="10.5" style="87" customWidth="1"/>
    <col min="7688" max="7688" width="16.5" style="87" bestFit="1" customWidth="1"/>
    <col min="7689" max="7689" width="10.5" style="87" customWidth="1"/>
    <col min="7690" max="7690" width="17.5" style="87" bestFit="1" customWidth="1"/>
    <col min="7691" max="7691" width="10.5" style="87" customWidth="1"/>
    <col min="7692" max="7938" width="8.83203125" style="87"/>
    <col min="7939" max="7939" width="30.1640625" style="87" bestFit="1" customWidth="1"/>
    <col min="7940" max="7940" width="10.1640625" style="87" customWidth="1"/>
    <col min="7941" max="7941" width="12.1640625" style="87" customWidth="1"/>
    <col min="7942" max="7942" width="16.5" style="87" bestFit="1" customWidth="1"/>
    <col min="7943" max="7943" width="10.5" style="87" customWidth="1"/>
    <col min="7944" max="7944" width="16.5" style="87" bestFit="1" customWidth="1"/>
    <col min="7945" max="7945" width="10.5" style="87" customWidth="1"/>
    <col min="7946" max="7946" width="17.5" style="87" bestFit="1" customWidth="1"/>
    <col min="7947" max="7947" width="10.5" style="87" customWidth="1"/>
    <col min="7948" max="8194" width="8.83203125" style="87"/>
    <col min="8195" max="8195" width="30.1640625" style="87" bestFit="1" customWidth="1"/>
    <col min="8196" max="8196" width="10.1640625" style="87" customWidth="1"/>
    <col min="8197" max="8197" width="12.1640625" style="87" customWidth="1"/>
    <col min="8198" max="8198" width="16.5" style="87" bestFit="1" customWidth="1"/>
    <col min="8199" max="8199" width="10.5" style="87" customWidth="1"/>
    <col min="8200" max="8200" width="16.5" style="87" bestFit="1" customWidth="1"/>
    <col min="8201" max="8201" width="10.5" style="87" customWidth="1"/>
    <col min="8202" max="8202" width="17.5" style="87" bestFit="1" customWidth="1"/>
    <col min="8203" max="8203" width="10.5" style="87" customWidth="1"/>
    <col min="8204" max="8450" width="8.83203125" style="87"/>
    <col min="8451" max="8451" width="30.1640625" style="87" bestFit="1" customWidth="1"/>
    <col min="8452" max="8452" width="10.1640625" style="87" customWidth="1"/>
    <col min="8453" max="8453" width="12.1640625" style="87" customWidth="1"/>
    <col min="8454" max="8454" width="16.5" style="87" bestFit="1" customWidth="1"/>
    <col min="8455" max="8455" width="10.5" style="87" customWidth="1"/>
    <col min="8456" max="8456" width="16.5" style="87" bestFit="1" customWidth="1"/>
    <col min="8457" max="8457" width="10.5" style="87" customWidth="1"/>
    <col min="8458" max="8458" width="17.5" style="87" bestFit="1" customWidth="1"/>
    <col min="8459" max="8459" width="10.5" style="87" customWidth="1"/>
    <col min="8460" max="8706" width="8.83203125" style="87"/>
    <col min="8707" max="8707" width="30.1640625" style="87" bestFit="1" customWidth="1"/>
    <col min="8708" max="8708" width="10.1640625" style="87" customWidth="1"/>
    <col min="8709" max="8709" width="12.1640625" style="87" customWidth="1"/>
    <col min="8710" max="8710" width="16.5" style="87" bestFit="1" customWidth="1"/>
    <col min="8711" max="8711" width="10.5" style="87" customWidth="1"/>
    <col min="8712" max="8712" width="16.5" style="87" bestFit="1" customWidth="1"/>
    <col min="8713" max="8713" width="10.5" style="87" customWidth="1"/>
    <col min="8714" max="8714" width="17.5" style="87" bestFit="1" customWidth="1"/>
    <col min="8715" max="8715" width="10.5" style="87" customWidth="1"/>
    <col min="8716" max="8962" width="8.83203125" style="87"/>
    <col min="8963" max="8963" width="30.1640625" style="87" bestFit="1" customWidth="1"/>
    <col min="8964" max="8964" width="10.1640625" style="87" customWidth="1"/>
    <col min="8965" max="8965" width="12.1640625" style="87" customWidth="1"/>
    <col min="8966" max="8966" width="16.5" style="87" bestFit="1" customWidth="1"/>
    <col min="8967" max="8967" width="10.5" style="87" customWidth="1"/>
    <col min="8968" max="8968" width="16.5" style="87" bestFit="1" customWidth="1"/>
    <col min="8969" max="8969" width="10.5" style="87" customWidth="1"/>
    <col min="8970" max="8970" width="17.5" style="87" bestFit="1" customWidth="1"/>
    <col min="8971" max="8971" width="10.5" style="87" customWidth="1"/>
    <col min="8972" max="9218" width="8.83203125" style="87"/>
    <col min="9219" max="9219" width="30.1640625" style="87" bestFit="1" customWidth="1"/>
    <col min="9220" max="9220" width="10.1640625" style="87" customWidth="1"/>
    <col min="9221" max="9221" width="12.1640625" style="87" customWidth="1"/>
    <col min="9222" max="9222" width="16.5" style="87" bestFit="1" customWidth="1"/>
    <col min="9223" max="9223" width="10.5" style="87" customWidth="1"/>
    <col min="9224" max="9224" width="16.5" style="87" bestFit="1" customWidth="1"/>
    <col min="9225" max="9225" width="10.5" style="87" customWidth="1"/>
    <col min="9226" max="9226" width="17.5" style="87" bestFit="1" customWidth="1"/>
    <col min="9227" max="9227" width="10.5" style="87" customWidth="1"/>
    <col min="9228" max="9474" width="8.83203125" style="87"/>
    <col min="9475" max="9475" width="30.1640625" style="87" bestFit="1" customWidth="1"/>
    <col min="9476" max="9476" width="10.1640625" style="87" customWidth="1"/>
    <col min="9477" max="9477" width="12.1640625" style="87" customWidth="1"/>
    <col min="9478" max="9478" width="16.5" style="87" bestFit="1" customWidth="1"/>
    <col min="9479" max="9479" width="10.5" style="87" customWidth="1"/>
    <col min="9480" max="9480" width="16.5" style="87" bestFit="1" customWidth="1"/>
    <col min="9481" max="9481" width="10.5" style="87" customWidth="1"/>
    <col min="9482" max="9482" width="17.5" style="87" bestFit="1" customWidth="1"/>
    <col min="9483" max="9483" width="10.5" style="87" customWidth="1"/>
    <col min="9484" max="9730" width="8.83203125" style="87"/>
    <col min="9731" max="9731" width="30.1640625" style="87" bestFit="1" customWidth="1"/>
    <col min="9732" max="9732" width="10.1640625" style="87" customWidth="1"/>
    <col min="9733" max="9733" width="12.1640625" style="87" customWidth="1"/>
    <col min="9734" max="9734" width="16.5" style="87" bestFit="1" customWidth="1"/>
    <col min="9735" max="9735" width="10.5" style="87" customWidth="1"/>
    <col min="9736" max="9736" width="16.5" style="87" bestFit="1" customWidth="1"/>
    <col min="9737" max="9737" width="10.5" style="87" customWidth="1"/>
    <col min="9738" max="9738" width="17.5" style="87" bestFit="1" customWidth="1"/>
    <col min="9739" max="9739" width="10.5" style="87" customWidth="1"/>
    <col min="9740" max="9986" width="8.83203125" style="87"/>
    <col min="9987" max="9987" width="30.1640625" style="87" bestFit="1" customWidth="1"/>
    <col min="9988" max="9988" width="10.1640625" style="87" customWidth="1"/>
    <col min="9989" max="9989" width="12.1640625" style="87" customWidth="1"/>
    <col min="9990" max="9990" width="16.5" style="87" bestFit="1" customWidth="1"/>
    <col min="9991" max="9991" width="10.5" style="87" customWidth="1"/>
    <col min="9992" max="9992" width="16.5" style="87" bestFit="1" customWidth="1"/>
    <col min="9993" max="9993" width="10.5" style="87" customWidth="1"/>
    <col min="9994" max="9994" width="17.5" style="87" bestFit="1" customWidth="1"/>
    <col min="9995" max="9995" width="10.5" style="87" customWidth="1"/>
    <col min="9996" max="10242" width="8.83203125" style="87"/>
    <col min="10243" max="10243" width="30.1640625" style="87" bestFit="1" customWidth="1"/>
    <col min="10244" max="10244" width="10.1640625" style="87" customWidth="1"/>
    <col min="10245" max="10245" width="12.1640625" style="87" customWidth="1"/>
    <col min="10246" max="10246" width="16.5" style="87" bestFit="1" customWidth="1"/>
    <col min="10247" max="10247" width="10.5" style="87" customWidth="1"/>
    <col min="10248" max="10248" width="16.5" style="87" bestFit="1" customWidth="1"/>
    <col min="10249" max="10249" width="10.5" style="87" customWidth="1"/>
    <col min="10250" max="10250" width="17.5" style="87" bestFit="1" customWidth="1"/>
    <col min="10251" max="10251" width="10.5" style="87" customWidth="1"/>
    <col min="10252" max="10498" width="8.83203125" style="87"/>
    <col min="10499" max="10499" width="30.1640625" style="87" bestFit="1" customWidth="1"/>
    <col min="10500" max="10500" width="10.1640625" style="87" customWidth="1"/>
    <col min="10501" max="10501" width="12.1640625" style="87" customWidth="1"/>
    <col min="10502" max="10502" width="16.5" style="87" bestFit="1" customWidth="1"/>
    <col min="10503" max="10503" width="10.5" style="87" customWidth="1"/>
    <col min="10504" max="10504" width="16.5" style="87" bestFit="1" customWidth="1"/>
    <col min="10505" max="10505" width="10.5" style="87" customWidth="1"/>
    <col min="10506" max="10506" width="17.5" style="87" bestFit="1" customWidth="1"/>
    <col min="10507" max="10507" width="10.5" style="87" customWidth="1"/>
    <col min="10508" max="10754" width="8.83203125" style="87"/>
    <col min="10755" max="10755" width="30.1640625" style="87" bestFit="1" customWidth="1"/>
    <col min="10756" max="10756" width="10.1640625" style="87" customWidth="1"/>
    <col min="10757" max="10757" width="12.1640625" style="87" customWidth="1"/>
    <col min="10758" max="10758" width="16.5" style="87" bestFit="1" customWidth="1"/>
    <col min="10759" max="10759" width="10.5" style="87" customWidth="1"/>
    <col min="10760" max="10760" width="16.5" style="87" bestFit="1" customWidth="1"/>
    <col min="10761" max="10761" width="10.5" style="87" customWidth="1"/>
    <col min="10762" max="10762" width="17.5" style="87" bestFit="1" customWidth="1"/>
    <col min="10763" max="10763" width="10.5" style="87" customWidth="1"/>
    <col min="10764" max="11010" width="8.83203125" style="87"/>
    <col min="11011" max="11011" width="30.1640625" style="87" bestFit="1" customWidth="1"/>
    <col min="11012" max="11012" width="10.1640625" style="87" customWidth="1"/>
    <col min="11013" max="11013" width="12.1640625" style="87" customWidth="1"/>
    <col min="11014" max="11014" width="16.5" style="87" bestFit="1" customWidth="1"/>
    <col min="11015" max="11015" width="10.5" style="87" customWidth="1"/>
    <col min="11016" max="11016" width="16.5" style="87" bestFit="1" customWidth="1"/>
    <col min="11017" max="11017" width="10.5" style="87" customWidth="1"/>
    <col min="11018" max="11018" width="17.5" style="87" bestFit="1" customWidth="1"/>
    <col min="11019" max="11019" width="10.5" style="87" customWidth="1"/>
    <col min="11020" max="11266" width="8.83203125" style="87"/>
    <col min="11267" max="11267" width="30.1640625" style="87" bestFit="1" customWidth="1"/>
    <col min="11268" max="11268" width="10.1640625" style="87" customWidth="1"/>
    <col min="11269" max="11269" width="12.1640625" style="87" customWidth="1"/>
    <col min="11270" max="11270" width="16.5" style="87" bestFit="1" customWidth="1"/>
    <col min="11271" max="11271" width="10.5" style="87" customWidth="1"/>
    <col min="11272" max="11272" width="16.5" style="87" bestFit="1" customWidth="1"/>
    <col min="11273" max="11273" width="10.5" style="87" customWidth="1"/>
    <col min="11274" max="11274" width="17.5" style="87" bestFit="1" customWidth="1"/>
    <col min="11275" max="11275" width="10.5" style="87" customWidth="1"/>
    <col min="11276" max="11522" width="8.83203125" style="87"/>
    <col min="11523" max="11523" width="30.1640625" style="87" bestFit="1" customWidth="1"/>
    <col min="11524" max="11524" width="10.1640625" style="87" customWidth="1"/>
    <col min="11525" max="11525" width="12.1640625" style="87" customWidth="1"/>
    <col min="11526" max="11526" width="16.5" style="87" bestFit="1" customWidth="1"/>
    <col min="11527" max="11527" width="10.5" style="87" customWidth="1"/>
    <col min="11528" max="11528" width="16.5" style="87" bestFit="1" customWidth="1"/>
    <col min="11529" max="11529" width="10.5" style="87" customWidth="1"/>
    <col min="11530" max="11530" width="17.5" style="87" bestFit="1" customWidth="1"/>
    <col min="11531" max="11531" width="10.5" style="87" customWidth="1"/>
    <col min="11532" max="11778" width="8.83203125" style="87"/>
    <col min="11779" max="11779" width="30.1640625" style="87" bestFit="1" customWidth="1"/>
    <col min="11780" max="11780" width="10.1640625" style="87" customWidth="1"/>
    <col min="11781" max="11781" width="12.1640625" style="87" customWidth="1"/>
    <col min="11782" max="11782" width="16.5" style="87" bestFit="1" customWidth="1"/>
    <col min="11783" max="11783" width="10.5" style="87" customWidth="1"/>
    <col min="11784" max="11784" width="16.5" style="87" bestFit="1" customWidth="1"/>
    <col min="11785" max="11785" width="10.5" style="87" customWidth="1"/>
    <col min="11786" max="11786" width="17.5" style="87" bestFit="1" customWidth="1"/>
    <col min="11787" max="11787" width="10.5" style="87" customWidth="1"/>
    <col min="11788" max="12034" width="8.83203125" style="87"/>
    <col min="12035" max="12035" width="30.1640625" style="87" bestFit="1" customWidth="1"/>
    <col min="12036" max="12036" width="10.1640625" style="87" customWidth="1"/>
    <col min="12037" max="12037" width="12.1640625" style="87" customWidth="1"/>
    <col min="12038" max="12038" width="16.5" style="87" bestFit="1" customWidth="1"/>
    <col min="12039" max="12039" width="10.5" style="87" customWidth="1"/>
    <col min="12040" max="12040" width="16.5" style="87" bestFit="1" customWidth="1"/>
    <col min="12041" max="12041" width="10.5" style="87" customWidth="1"/>
    <col min="12042" max="12042" width="17.5" style="87" bestFit="1" customWidth="1"/>
    <col min="12043" max="12043" width="10.5" style="87" customWidth="1"/>
    <col min="12044" max="12290" width="8.83203125" style="87"/>
    <col min="12291" max="12291" width="30.1640625" style="87" bestFit="1" customWidth="1"/>
    <col min="12292" max="12292" width="10.1640625" style="87" customWidth="1"/>
    <col min="12293" max="12293" width="12.1640625" style="87" customWidth="1"/>
    <col min="12294" max="12294" width="16.5" style="87" bestFit="1" customWidth="1"/>
    <col min="12295" max="12295" width="10.5" style="87" customWidth="1"/>
    <col min="12296" max="12296" width="16.5" style="87" bestFit="1" customWidth="1"/>
    <col min="12297" max="12297" width="10.5" style="87" customWidth="1"/>
    <col min="12298" max="12298" width="17.5" style="87" bestFit="1" customWidth="1"/>
    <col min="12299" max="12299" width="10.5" style="87" customWidth="1"/>
    <col min="12300" max="12546" width="8.83203125" style="87"/>
    <col min="12547" max="12547" width="30.1640625" style="87" bestFit="1" customWidth="1"/>
    <col min="12548" max="12548" width="10.1640625" style="87" customWidth="1"/>
    <col min="12549" max="12549" width="12.1640625" style="87" customWidth="1"/>
    <col min="12550" max="12550" width="16.5" style="87" bestFit="1" customWidth="1"/>
    <col min="12551" max="12551" width="10.5" style="87" customWidth="1"/>
    <col min="12552" max="12552" width="16.5" style="87" bestFit="1" customWidth="1"/>
    <col min="12553" max="12553" width="10.5" style="87" customWidth="1"/>
    <col min="12554" max="12554" width="17.5" style="87" bestFit="1" customWidth="1"/>
    <col min="12555" max="12555" width="10.5" style="87" customWidth="1"/>
    <col min="12556" max="12802" width="8.83203125" style="87"/>
    <col min="12803" max="12803" width="30.1640625" style="87" bestFit="1" customWidth="1"/>
    <col min="12804" max="12804" width="10.1640625" style="87" customWidth="1"/>
    <col min="12805" max="12805" width="12.1640625" style="87" customWidth="1"/>
    <col min="12806" max="12806" width="16.5" style="87" bestFit="1" customWidth="1"/>
    <col min="12807" max="12807" width="10.5" style="87" customWidth="1"/>
    <col min="12808" max="12808" width="16.5" style="87" bestFit="1" customWidth="1"/>
    <col min="12809" max="12809" width="10.5" style="87" customWidth="1"/>
    <col min="12810" max="12810" width="17.5" style="87" bestFit="1" customWidth="1"/>
    <col min="12811" max="12811" width="10.5" style="87" customWidth="1"/>
    <col min="12812" max="13058" width="8.83203125" style="87"/>
    <col min="13059" max="13059" width="30.1640625" style="87" bestFit="1" customWidth="1"/>
    <col min="13060" max="13060" width="10.1640625" style="87" customWidth="1"/>
    <col min="13061" max="13061" width="12.1640625" style="87" customWidth="1"/>
    <col min="13062" max="13062" width="16.5" style="87" bestFit="1" customWidth="1"/>
    <col min="13063" max="13063" width="10.5" style="87" customWidth="1"/>
    <col min="13064" max="13064" width="16.5" style="87" bestFit="1" customWidth="1"/>
    <col min="13065" max="13065" width="10.5" style="87" customWidth="1"/>
    <col min="13066" max="13066" width="17.5" style="87" bestFit="1" customWidth="1"/>
    <col min="13067" max="13067" width="10.5" style="87" customWidth="1"/>
    <col min="13068" max="13314" width="8.83203125" style="87"/>
    <col min="13315" max="13315" width="30.1640625" style="87" bestFit="1" customWidth="1"/>
    <col min="13316" max="13316" width="10.1640625" style="87" customWidth="1"/>
    <col min="13317" max="13317" width="12.1640625" style="87" customWidth="1"/>
    <col min="13318" max="13318" width="16.5" style="87" bestFit="1" customWidth="1"/>
    <col min="13319" max="13319" width="10.5" style="87" customWidth="1"/>
    <col min="13320" max="13320" width="16.5" style="87" bestFit="1" customWidth="1"/>
    <col min="13321" max="13321" width="10.5" style="87" customWidth="1"/>
    <col min="13322" max="13322" width="17.5" style="87" bestFit="1" customWidth="1"/>
    <col min="13323" max="13323" width="10.5" style="87" customWidth="1"/>
    <col min="13324" max="13570" width="8.83203125" style="87"/>
    <col min="13571" max="13571" width="30.1640625" style="87" bestFit="1" customWidth="1"/>
    <col min="13572" max="13572" width="10.1640625" style="87" customWidth="1"/>
    <col min="13573" max="13573" width="12.1640625" style="87" customWidth="1"/>
    <col min="13574" max="13574" width="16.5" style="87" bestFit="1" customWidth="1"/>
    <col min="13575" max="13575" width="10.5" style="87" customWidth="1"/>
    <col min="13576" max="13576" width="16.5" style="87" bestFit="1" customWidth="1"/>
    <col min="13577" max="13577" width="10.5" style="87" customWidth="1"/>
    <col min="13578" max="13578" width="17.5" style="87" bestFit="1" customWidth="1"/>
    <col min="13579" max="13579" width="10.5" style="87" customWidth="1"/>
    <col min="13580" max="13826" width="8.83203125" style="87"/>
    <col min="13827" max="13827" width="30.1640625" style="87" bestFit="1" customWidth="1"/>
    <col min="13828" max="13828" width="10.1640625" style="87" customWidth="1"/>
    <col min="13829" max="13829" width="12.1640625" style="87" customWidth="1"/>
    <col min="13830" max="13830" width="16.5" style="87" bestFit="1" customWidth="1"/>
    <col min="13831" max="13831" width="10.5" style="87" customWidth="1"/>
    <col min="13832" max="13832" width="16.5" style="87" bestFit="1" customWidth="1"/>
    <col min="13833" max="13833" width="10.5" style="87" customWidth="1"/>
    <col min="13834" max="13834" width="17.5" style="87" bestFit="1" customWidth="1"/>
    <col min="13835" max="13835" width="10.5" style="87" customWidth="1"/>
    <col min="13836" max="14082" width="8.83203125" style="87"/>
    <col min="14083" max="14083" width="30.1640625" style="87" bestFit="1" customWidth="1"/>
    <col min="14084" max="14084" width="10.1640625" style="87" customWidth="1"/>
    <col min="14085" max="14085" width="12.1640625" style="87" customWidth="1"/>
    <col min="14086" max="14086" width="16.5" style="87" bestFit="1" customWidth="1"/>
    <col min="14087" max="14087" width="10.5" style="87" customWidth="1"/>
    <col min="14088" max="14088" width="16.5" style="87" bestFit="1" customWidth="1"/>
    <col min="14089" max="14089" width="10.5" style="87" customWidth="1"/>
    <col min="14090" max="14090" width="17.5" style="87" bestFit="1" customWidth="1"/>
    <col min="14091" max="14091" width="10.5" style="87" customWidth="1"/>
    <col min="14092" max="14338" width="8.83203125" style="87"/>
    <col min="14339" max="14339" width="30.1640625" style="87" bestFit="1" customWidth="1"/>
    <col min="14340" max="14340" width="10.1640625" style="87" customWidth="1"/>
    <col min="14341" max="14341" width="12.1640625" style="87" customWidth="1"/>
    <col min="14342" max="14342" width="16.5" style="87" bestFit="1" customWidth="1"/>
    <col min="14343" max="14343" width="10.5" style="87" customWidth="1"/>
    <col min="14344" max="14344" width="16.5" style="87" bestFit="1" customWidth="1"/>
    <col min="14345" max="14345" width="10.5" style="87" customWidth="1"/>
    <col min="14346" max="14346" width="17.5" style="87" bestFit="1" customWidth="1"/>
    <col min="14347" max="14347" width="10.5" style="87" customWidth="1"/>
    <col min="14348" max="14594" width="8.83203125" style="87"/>
    <col min="14595" max="14595" width="30.1640625" style="87" bestFit="1" customWidth="1"/>
    <col min="14596" max="14596" width="10.1640625" style="87" customWidth="1"/>
    <col min="14597" max="14597" width="12.1640625" style="87" customWidth="1"/>
    <col min="14598" max="14598" width="16.5" style="87" bestFit="1" customWidth="1"/>
    <col min="14599" max="14599" width="10.5" style="87" customWidth="1"/>
    <col min="14600" max="14600" width="16.5" style="87" bestFit="1" customWidth="1"/>
    <col min="14601" max="14601" width="10.5" style="87" customWidth="1"/>
    <col min="14602" max="14602" width="17.5" style="87" bestFit="1" customWidth="1"/>
    <col min="14603" max="14603" width="10.5" style="87" customWidth="1"/>
    <col min="14604" max="14850" width="8.83203125" style="87"/>
    <col min="14851" max="14851" width="30.1640625" style="87" bestFit="1" customWidth="1"/>
    <col min="14852" max="14852" width="10.1640625" style="87" customWidth="1"/>
    <col min="14853" max="14853" width="12.1640625" style="87" customWidth="1"/>
    <col min="14854" max="14854" width="16.5" style="87" bestFit="1" customWidth="1"/>
    <col min="14855" max="14855" width="10.5" style="87" customWidth="1"/>
    <col min="14856" max="14856" width="16.5" style="87" bestFit="1" customWidth="1"/>
    <col min="14857" max="14857" width="10.5" style="87" customWidth="1"/>
    <col min="14858" max="14858" width="17.5" style="87" bestFit="1" customWidth="1"/>
    <col min="14859" max="14859" width="10.5" style="87" customWidth="1"/>
    <col min="14860" max="15106" width="8.83203125" style="87"/>
    <col min="15107" max="15107" width="30.1640625" style="87" bestFit="1" customWidth="1"/>
    <col min="15108" max="15108" width="10.1640625" style="87" customWidth="1"/>
    <col min="15109" max="15109" width="12.1640625" style="87" customWidth="1"/>
    <col min="15110" max="15110" width="16.5" style="87" bestFit="1" customWidth="1"/>
    <col min="15111" max="15111" width="10.5" style="87" customWidth="1"/>
    <col min="15112" max="15112" width="16.5" style="87" bestFit="1" customWidth="1"/>
    <col min="15113" max="15113" width="10.5" style="87" customWidth="1"/>
    <col min="15114" max="15114" width="17.5" style="87" bestFit="1" customWidth="1"/>
    <col min="15115" max="15115" width="10.5" style="87" customWidth="1"/>
    <col min="15116" max="15362" width="8.83203125" style="87"/>
    <col min="15363" max="15363" width="30.1640625" style="87" bestFit="1" customWidth="1"/>
    <col min="15364" max="15364" width="10.1640625" style="87" customWidth="1"/>
    <col min="15365" max="15365" width="12.1640625" style="87" customWidth="1"/>
    <col min="15366" max="15366" width="16.5" style="87" bestFit="1" customWidth="1"/>
    <col min="15367" max="15367" width="10.5" style="87" customWidth="1"/>
    <col min="15368" max="15368" width="16.5" style="87" bestFit="1" customWidth="1"/>
    <col min="15369" max="15369" width="10.5" style="87" customWidth="1"/>
    <col min="15370" max="15370" width="17.5" style="87" bestFit="1" customWidth="1"/>
    <col min="15371" max="15371" width="10.5" style="87" customWidth="1"/>
    <col min="15372" max="15618" width="8.83203125" style="87"/>
    <col min="15619" max="15619" width="30.1640625" style="87" bestFit="1" customWidth="1"/>
    <col min="15620" max="15620" width="10.1640625" style="87" customWidth="1"/>
    <col min="15621" max="15621" width="12.1640625" style="87" customWidth="1"/>
    <col min="15622" max="15622" width="16.5" style="87" bestFit="1" customWidth="1"/>
    <col min="15623" max="15623" width="10.5" style="87" customWidth="1"/>
    <col min="15624" max="15624" width="16.5" style="87" bestFit="1" customWidth="1"/>
    <col min="15625" max="15625" width="10.5" style="87" customWidth="1"/>
    <col min="15626" max="15626" width="17.5" style="87" bestFit="1" customWidth="1"/>
    <col min="15627" max="15627" width="10.5" style="87" customWidth="1"/>
    <col min="15628" max="15874" width="8.83203125" style="87"/>
    <col min="15875" max="15875" width="30.1640625" style="87" bestFit="1" customWidth="1"/>
    <col min="15876" max="15876" width="10.1640625" style="87" customWidth="1"/>
    <col min="15877" max="15877" width="12.1640625" style="87" customWidth="1"/>
    <col min="15878" max="15878" width="16.5" style="87" bestFit="1" customWidth="1"/>
    <col min="15879" max="15879" width="10.5" style="87" customWidth="1"/>
    <col min="15880" max="15880" width="16.5" style="87" bestFit="1" customWidth="1"/>
    <col min="15881" max="15881" width="10.5" style="87" customWidth="1"/>
    <col min="15882" max="15882" width="17.5" style="87" bestFit="1" customWidth="1"/>
    <col min="15883" max="15883" width="10.5" style="87" customWidth="1"/>
    <col min="15884" max="16130" width="8.83203125" style="87"/>
    <col min="16131" max="16131" width="30.1640625" style="87" bestFit="1" customWidth="1"/>
    <col min="16132" max="16132" width="10.1640625" style="87" customWidth="1"/>
    <col min="16133" max="16133" width="12.1640625" style="87" customWidth="1"/>
    <col min="16134" max="16134" width="16.5" style="87" bestFit="1" customWidth="1"/>
    <col min="16135" max="16135" width="10.5" style="87" customWidth="1"/>
    <col min="16136" max="16136" width="16.5" style="87" bestFit="1" customWidth="1"/>
    <col min="16137" max="16137" width="10.5" style="87" customWidth="1"/>
    <col min="16138" max="16138" width="17.5" style="87" bestFit="1" customWidth="1"/>
    <col min="16139" max="16139" width="10.5" style="87" customWidth="1"/>
    <col min="16140" max="16384" width="8.83203125" style="87"/>
  </cols>
  <sheetData>
    <row r="1" spans="2:14" ht="7.5" customHeight="1"/>
    <row r="2" spans="2:14" customFormat="1">
      <c r="B2" s="307" t="s">
        <v>102</v>
      </c>
      <c r="C2" s="307"/>
      <c r="D2" s="307"/>
      <c r="E2" s="307"/>
      <c r="F2" s="86"/>
      <c r="G2" s="95">
        <v>12</v>
      </c>
      <c r="H2" s="86"/>
      <c r="I2" s="86"/>
      <c r="J2" s="87"/>
    </row>
    <row r="3" spans="2:14" customFormat="1">
      <c r="B3" s="159"/>
      <c r="C3" s="160"/>
      <c r="D3" s="160"/>
      <c r="E3" s="168" t="s">
        <v>103</v>
      </c>
      <c r="F3" s="242"/>
      <c r="G3" s="168" t="s">
        <v>104</v>
      </c>
      <c r="H3" s="242"/>
      <c r="I3" s="168" t="s">
        <v>105</v>
      </c>
    </row>
    <row r="4" spans="2:14" customFormat="1">
      <c r="B4" s="164" t="s">
        <v>106</v>
      </c>
      <c r="C4" s="98"/>
      <c r="D4" s="98"/>
      <c r="E4" s="104">
        <f>'Client''s funnel analysis'!C4</f>
        <v>10000</v>
      </c>
      <c r="F4" s="87"/>
      <c r="G4" s="104">
        <f>'Client''s funnel analysis'!C5</f>
        <v>100</v>
      </c>
      <c r="H4" s="87"/>
      <c r="I4" s="104">
        <f>'Client''s funnel analysis'!C6</f>
        <v>2</v>
      </c>
      <c r="N4" s="224" t="s">
        <v>277</v>
      </c>
    </row>
    <row r="5" spans="2:14" customFormat="1">
      <c r="B5" s="164" t="s">
        <v>107</v>
      </c>
      <c r="C5" s="98"/>
      <c r="D5" s="98"/>
      <c r="E5" s="104">
        <f>'Client''s funnel analysis'!E4</f>
        <v>4000</v>
      </c>
      <c r="F5" s="87"/>
      <c r="G5" s="104">
        <f>'Client''s funnel analysis'!E5</f>
        <v>80</v>
      </c>
      <c r="H5" s="87"/>
      <c r="I5" s="104">
        <f>'Client''s funnel analysis'!E6</f>
        <v>4</v>
      </c>
      <c r="N5" s="224" t="s">
        <v>197</v>
      </c>
    </row>
    <row r="6" spans="2:14" customFormat="1">
      <c r="B6" s="164" t="s">
        <v>108</v>
      </c>
      <c r="C6" s="98"/>
      <c r="D6" s="98"/>
      <c r="E6" s="91">
        <f>(E5-E4)/$G$2</f>
        <v>-500</v>
      </c>
      <c r="F6" s="87"/>
      <c r="G6" s="91">
        <f>(G5-G4)/$G$2</f>
        <v>-1.6666666666666667</v>
      </c>
      <c r="H6" s="87"/>
      <c r="I6" s="90">
        <f>(I5-I4)/$G$2</f>
        <v>0.16666666666666666</v>
      </c>
      <c r="K6" s="87"/>
      <c r="N6" s="224" t="s">
        <v>278</v>
      </c>
    </row>
    <row r="7" spans="2:14" customFormat="1">
      <c r="B7" s="164" t="s">
        <v>109</v>
      </c>
      <c r="C7" s="98"/>
      <c r="D7" s="98"/>
      <c r="E7" s="92">
        <f>E6/(E4+E6)</f>
        <v>-5.2631578947368418E-2</v>
      </c>
      <c r="F7" s="87"/>
      <c r="G7" s="92">
        <f>G6/(G6+G4)</f>
        <v>-1.6949152542372881E-2</v>
      </c>
      <c r="H7" s="87"/>
      <c r="I7" s="92">
        <f>I6/(I6+I4)</f>
        <v>7.6923076923076927E-2</v>
      </c>
      <c r="K7" s="87"/>
      <c r="N7" s="224" t="s">
        <v>279</v>
      </c>
    </row>
    <row r="8" spans="2:14" customFormat="1">
      <c r="B8" s="89" t="s">
        <v>110</v>
      </c>
      <c r="C8" s="98"/>
      <c r="D8" s="98"/>
      <c r="E8" s="92">
        <f>E5/E4-1</f>
        <v>-0.6</v>
      </c>
      <c r="F8" s="87"/>
      <c r="G8" s="92">
        <f>G5/G4-1</f>
        <v>-0.19999999999999996</v>
      </c>
      <c r="H8" s="87"/>
      <c r="I8" s="92">
        <f>I5/I4-1</f>
        <v>1</v>
      </c>
      <c r="K8" s="87"/>
      <c r="N8" s="87"/>
    </row>
    <row r="9" spans="2:14" customFormat="1">
      <c r="B9" s="164"/>
      <c r="C9" s="98"/>
      <c r="D9" s="98"/>
      <c r="E9" s="92"/>
      <c r="F9" s="87"/>
      <c r="G9" s="92"/>
      <c r="H9" s="87"/>
      <c r="I9" s="92"/>
      <c r="K9" s="87"/>
    </row>
    <row r="10" spans="2:14" customFormat="1" hidden="1">
      <c r="B10" s="164" t="s">
        <v>182</v>
      </c>
      <c r="C10" s="98"/>
      <c r="D10" s="98"/>
      <c r="E10" s="92"/>
      <c r="F10" s="87"/>
      <c r="G10" s="92">
        <f>G4/E4</f>
        <v>0.01</v>
      </c>
      <c r="H10" s="87"/>
      <c r="I10" s="92"/>
    </row>
    <row r="11" spans="2:14" customFormat="1" hidden="1">
      <c r="B11" s="164" t="s">
        <v>181</v>
      </c>
      <c r="C11" s="98"/>
      <c r="D11" s="98"/>
      <c r="E11" s="92"/>
      <c r="F11" s="87"/>
      <c r="G11" s="92">
        <f>G5/E5</f>
        <v>0.02</v>
      </c>
      <c r="H11" s="87"/>
      <c r="I11" s="92"/>
    </row>
    <row r="12" spans="2:14" customFormat="1" hidden="1">
      <c r="B12" s="89" t="s">
        <v>185</v>
      </c>
      <c r="C12" s="98"/>
      <c r="D12" s="98"/>
      <c r="E12" s="92"/>
      <c r="F12" s="87"/>
      <c r="G12" s="92">
        <f>G11/G10-1</f>
        <v>1</v>
      </c>
      <c r="H12" s="87"/>
      <c r="I12" s="92"/>
    </row>
    <row r="13" spans="2:14" customFormat="1" hidden="1">
      <c r="B13" s="164"/>
      <c r="C13" s="98"/>
      <c r="D13" s="98"/>
      <c r="E13" s="92"/>
      <c r="F13" s="87"/>
      <c r="G13" s="92"/>
      <c r="H13" s="87"/>
      <c r="I13" s="92"/>
    </row>
    <row r="14" spans="2:14" customFormat="1" hidden="1">
      <c r="B14" s="164" t="s">
        <v>183</v>
      </c>
      <c r="C14" s="98"/>
      <c r="D14" s="98"/>
      <c r="E14" s="92"/>
      <c r="F14" s="87"/>
      <c r="G14" s="92"/>
      <c r="H14" s="87"/>
      <c r="I14" s="92">
        <f>I4/G4</f>
        <v>0.02</v>
      </c>
    </row>
    <row r="15" spans="2:14" customFormat="1" hidden="1">
      <c r="B15" s="164" t="s">
        <v>184</v>
      </c>
      <c r="C15" s="98"/>
      <c r="D15" s="98"/>
      <c r="F15" s="87"/>
      <c r="H15" s="87"/>
      <c r="I15" s="146">
        <f>I5/G5</f>
        <v>0.05</v>
      </c>
      <c r="N15" s="87"/>
    </row>
    <row r="16" spans="2:14" customFormat="1" hidden="1">
      <c r="B16" s="89" t="s">
        <v>185</v>
      </c>
      <c r="C16" s="98"/>
      <c r="D16" s="98"/>
      <c r="F16" s="87"/>
      <c r="H16" s="87"/>
      <c r="I16" s="146">
        <f>I15/I14-1</f>
        <v>1.5</v>
      </c>
      <c r="N16" s="87"/>
    </row>
    <row r="17" spans="2:21" customFormat="1">
      <c r="B17" s="89"/>
      <c r="C17" s="98"/>
      <c r="D17" s="98"/>
      <c r="F17" s="87"/>
      <c r="H17" s="87"/>
      <c r="I17" s="146"/>
      <c r="N17" s="87"/>
    </row>
    <row r="18" spans="2:21" customFormat="1">
      <c r="B18" s="176" t="s">
        <v>267</v>
      </c>
      <c r="C18" s="76"/>
      <c r="D18" s="208"/>
      <c r="E18" s="257" t="str">
        <f>IF(AND(E8&lt;0,G8&lt;0),"Conversions",IF(AND(E8&gt;0,G8&gt;0),"Traffic &amp; Conversions",IF(AND(E8&gt;0,G8&lt;0),"Traffic","Conversions")))</f>
        <v>Conversions</v>
      </c>
      <c r="F18" s="249"/>
      <c r="G18" s="249"/>
      <c r="H18" s="249"/>
      <c r="I18" s="249"/>
      <c r="J18" s="76"/>
      <c r="N18" s="87"/>
    </row>
    <row r="19" spans="2:21" customFormat="1">
      <c r="B19" s="207"/>
      <c r="C19" s="207"/>
      <c r="D19" s="87"/>
      <c r="E19" s="209"/>
      <c r="F19" s="87"/>
      <c r="G19" s="207"/>
      <c r="H19" s="81"/>
      <c r="I19" s="81"/>
      <c r="J19" s="81"/>
      <c r="N19" s="87"/>
    </row>
    <row r="20" spans="2:21" customFormat="1">
      <c r="B20" s="159"/>
      <c r="C20" s="160"/>
      <c r="D20" s="160"/>
      <c r="E20" s="171" t="s">
        <v>265</v>
      </c>
      <c r="F20" s="225"/>
      <c r="G20" s="170" t="s">
        <v>113</v>
      </c>
      <c r="H20" s="230"/>
      <c r="I20" s="169" t="s">
        <v>114</v>
      </c>
      <c r="J20" s="235"/>
      <c r="N20" s="87" t="s">
        <v>103</v>
      </c>
      <c r="O20" s="87" t="s">
        <v>186</v>
      </c>
      <c r="P20" s="87" t="s">
        <v>187</v>
      </c>
    </row>
    <row r="21" spans="2:21">
      <c r="B21" s="87" t="s">
        <v>266</v>
      </c>
      <c r="C21" s="98"/>
      <c r="D21" s="98"/>
      <c r="E21" s="206">
        <f>4*4</f>
        <v>16</v>
      </c>
      <c r="F21" s="228"/>
      <c r="G21" s="206">
        <f>6*4</f>
        <v>24</v>
      </c>
      <c r="H21" s="233"/>
      <c r="I21" s="206">
        <f>4*10</f>
        <v>40</v>
      </c>
      <c r="J21" s="238"/>
      <c r="N21" s="167" t="s">
        <v>263</v>
      </c>
    </row>
    <row r="22" spans="2:21" customFormat="1">
      <c r="B22" s="89"/>
      <c r="C22" s="96" t="s">
        <v>115</v>
      </c>
      <c r="D22" s="96" t="s">
        <v>116</v>
      </c>
      <c r="E22" s="93" t="s">
        <v>117</v>
      </c>
      <c r="F22" s="226" t="s">
        <v>118</v>
      </c>
      <c r="G22" s="93" t="s">
        <v>117</v>
      </c>
      <c r="H22" s="231" t="s">
        <v>118</v>
      </c>
      <c r="I22" s="93" t="s">
        <v>117</v>
      </c>
      <c r="J22" s="236" t="s">
        <v>118</v>
      </c>
      <c r="M22" s="172" t="s">
        <v>188</v>
      </c>
      <c r="N22" s="157">
        <v>0.6</v>
      </c>
      <c r="O22" s="157">
        <v>0.3</v>
      </c>
      <c r="P22" s="157">
        <v>0.5</v>
      </c>
    </row>
    <row r="23" spans="2:21" customFormat="1">
      <c r="B23" s="14" t="s">
        <v>119</v>
      </c>
      <c r="C23" s="162" t="s">
        <v>120</v>
      </c>
      <c r="D23" s="162" t="s">
        <v>121</v>
      </c>
      <c r="E23" s="163" t="s">
        <v>122</v>
      </c>
      <c r="F23" s="227" t="s">
        <v>123</v>
      </c>
      <c r="G23" s="163" t="s">
        <v>122</v>
      </c>
      <c r="H23" s="232" t="s">
        <v>123</v>
      </c>
      <c r="I23" s="163" t="s">
        <v>122</v>
      </c>
      <c r="J23" s="237" t="s">
        <v>123</v>
      </c>
      <c r="M23" s="172" t="s">
        <v>264</v>
      </c>
      <c r="N23" s="155">
        <f>1-N22</f>
        <v>0.4</v>
      </c>
      <c r="O23" s="155">
        <f>1-O22</f>
        <v>0.7</v>
      </c>
      <c r="P23" s="155">
        <f>1-P22</f>
        <v>0.5</v>
      </c>
      <c r="S23" s="87"/>
    </row>
    <row r="24" spans="2:21" customFormat="1">
      <c r="B24" s="85" t="s">
        <v>124</v>
      </c>
      <c r="C24" s="98"/>
      <c r="D24" s="98"/>
      <c r="F24" s="228"/>
      <c r="H24" s="233"/>
      <c r="J24" s="238"/>
      <c r="R24" s="87"/>
      <c r="S24" s="87"/>
    </row>
    <row r="25" spans="2:21" customFormat="1">
      <c r="B25" s="113" t="s">
        <v>135</v>
      </c>
      <c r="C25" s="107">
        <v>1</v>
      </c>
      <c r="D25" s="107">
        <v>100</v>
      </c>
      <c r="E25" s="240">
        <f>E$21/$C25*IF($E$18="Traffic",$N25,IF($E$18="Conversions",$O25,$P25))</f>
        <v>2.4</v>
      </c>
      <c r="F25" s="229">
        <f>E25*$D25</f>
        <v>240</v>
      </c>
      <c r="G25" s="240">
        <f>G$21/$C25*IF($E$18="Traffic",$N25,IF($E$18="Conversions",$O25,$P25))</f>
        <v>3.5999999999999996</v>
      </c>
      <c r="H25" s="234">
        <f>G25*$D25</f>
        <v>359.99999999999994</v>
      </c>
      <c r="I25" s="240">
        <f>I$21/$C25*IF($E$18="Traffic",$N25,IF($E$18="Conversions",$O25,$P25))</f>
        <v>6</v>
      </c>
      <c r="J25" s="239">
        <f>I25*$D25</f>
        <v>600</v>
      </c>
      <c r="L25" s="87"/>
      <c r="M25" s="146"/>
      <c r="N25" s="149">
        <v>0.3</v>
      </c>
      <c r="O25" s="149">
        <v>0.15</v>
      </c>
      <c r="P25" s="149">
        <v>0.3</v>
      </c>
      <c r="R25" s="87"/>
      <c r="S25" s="2"/>
      <c r="T25" s="2"/>
      <c r="U25" s="2"/>
    </row>
    <row r="26" spans="2:21" customFormat="1">
      <c r="B26" s="113" t="s">
        <v>136</v>
      </c>
      <c r="C26" s="107">
        <v>1</v>
      </c>
      <c r="D26" s="107">
        <v>75</v>
      </c>
      <c r="E26" s="240">
        <f>E$21/$C26*IF($E$18="Traffic",$N26,IF($E$18="Conversions",$O26,$P26))</f>
        <v>0.8</v>
      </c>
      <c r="F26" s="229">
        <f t="shared" ref="F26:H27" si="0">E26*$D26</f>
        <v>60</v>
      </c>
      <c r="G26" s="240">
        <f>G$21/$C26*IF($E$18="Traffic",$N26,IF($E$18="Conversions",$O26,$P26))</f>
        <v>1.2000000000000002</v>
      </c>
      <c r="H26" s="234">
        <f t="shared" si="0"/>
        <v>90.000000000000014</v>
      </c>
      <c r="I26" s="240">
        <f>I$21/$C26*IF($E$18="Traffic",$N26,IF($E$18="Conversions",$O26,$P26))</f>
        <v>2</v>
      </c>
      <c r="J26" s="239">
        <f>I26*$D26</f>
        <v>150</v>
      </c>
      <c r="L26" s="87"/>
      <c r="M26" s="146"/>
      <c r="N26" s="149">
        <v>0.15</v>
      </c>
      <c r="O26" s="149">
        <v>0.05</v>
      </c>
      <c r="P26" s="149">
        <v>0.1</v>
      </c>
      <c r="R26" s="87"/>
      <c r="S26" s="2"/>
      <c r="T26" s="2"/>
      <c r="U26" s="2"/>
    </row>
    <row r="27" spans="2:21" customFormat="1">
      <c r="B27" s="113" t="s">
        <v>137</v>
      </c>
      <c r="C27" s="199">
        <v>0.2</v>
      </c>
      <c r="D27" s="107">
        <v>25</v>
      </c>
      <c r="E27" s="240">
        <f>E$21/$C27*IF($E$18="Traffic",$N27,IF($E$18="Conversions",$O27,$P27))</f>
        <v>7.9999999999999982</v>
      </c>
      <c r="F27" s="229">
        <f t="shared" si="0"/>
        <v>199.99999999999994</v>
      </c>
      <c r="G27" s="240">
        <f>G$21/$C27*IF($E$18="Traffic",$N27,IF($E$18="Conversions",$O27,$P27))</f>
        <v>11.999999999999996</v>
      </c>
      <c r="H27" s="234">
        <f t="shared" si="0"/>
        <v>299.99999999999989</v>
      </c>
      <c r="I27" s="240">
        <f>I$21/$C27*IF($E$18="Traffic",$N27,IF($E$18="Conversions",$O27,$P27))</f>
        <v>19.999999999999996</v>
      </c>
      <c r="J27" s="239">
        <f>I27*$D27</f>
        <v>499.99999999999989</v>
      </c>
      <c r="L27" s="87"/>
      <c r="M27" s="146"/>
      <c r="N27" s="202">
        <f>N22-SUM(N25:N26)</f>
        <v>0.15000000000000002</v>
      </c>
      <c r="O27" s="202">
        <f>O22-SUM(O25:O26)</f>
        <v>9.9999999999999978E-2</v>
      </c>
      <c r="P27" s="202">
        <f>P22-SUM(P25:P26)</f>
        <v>9.9999999999999978E-2</v>
      </c>
      <c r="R27" s="87"/>
      <c r="S27" s="2"/>
      <c r="T27" s="2"/>
      <c r="U27" s="2"/>
    </row>
    <row r="28" spans="2:21" customFormat="1">
      <c r="B28" s="85" t="s">
        <v>125</v>
      </c>
      <c r="C28" s="107"/>
      <c r="D28" s="107"/>
      <c r="E28" s="241"/>
      <c r="F28" s="229"/>
      <c r="G28" s="241"/>
      <c r="H28" s="234"/>
      <c r="I28" s="241"/>
      <c r="J28" s="239"/>
      <c r="L28" s="87"/>
      <c r="M28" s="146"/>
      <c r="N28" s="140"/>
      <c r="O28" s="140"/>
      <c r="P28" s="140"/>
      <c r="R28" s="87"/>
      <c r="S28" s="2"/>
      <c r="T28" s="2"/>
      <c r="U28" s="2"/>
    </row>
    <row r="29" spans="2:21" customFormat="1">
      <c r="B29" s="113" t="s">
        <v>138</v>
      </c>
      <c r="C29" s="107">
        <v>3</v>
      </c>
      <c r="D29" s="107">
        <v>100</v>
      </c>
      <c r="E29" s="240">
        <f>E$21/$C29*IF($E$18="Traffic",$N29,IF($E$18="Conversions",$O29,$P29))</f>
        <v>0.79999999999999993</v>
      </c>
      <c r="F29" s="229">
        <f t="shared" ref="F29:H31" si="1">E29*$D29</f>
        <v>80</v>
      </c>
      <c r="G29" s="240">
        <f>G$21/$C29*IF($E$18="Traffic",$N29,IF($E$18="Conversions",$O29,$P29))</f>
        <v>1.2</v>
      </c>
      <c r="H29" s="234">
        <f t="shared" si="1"/>
        <v>120</v>
      </c>
      <c r="I29" s="240">
        <f>I$21/$C29*IF($E$18="Traffic",$N29,IF($E$18="Conversions",$O29,$P29))</f>
        <v>2</v>
      </c>
      <c r="J29" s="239">
        <f>I29*$D29</f>
        <v>200</v>
      </c>
      <c r="L29" s="87"/>
      <c r="M29" s="146"/>
      <c r="N29" s="149">
        <v>0.05</v>
      </c>
      <c r="O29" s="149">
        <v>0.15</v>
      </c>
      <c r="P29" s="149">
        <v>0.1</v>
      </c>
      <c r="R29" s="87"/>
      <c r="S29" s="2"/>
      <c r="T29" s="2"/>
      <c r="U29" s="2"/>
    </row>
    <row r="30" spans="2:21" customFormat="1">
      <c r="B30" s="113" t="s">
        <v>139</v>
      </c>
      <c r="C30" s="107">
        <v>2</v>
      </c>
      <c r="D30" s="107">
        <v>50</v>
      </c>
      <c r="E30" s="240">
        <f>E$21/$C30*IF($E$18="Traffic",$N30,IF($E$18="Conversions",$O30,$P30))</f>
        <v>0.8</v>
      </c>
      <c r="F30" s="229">
        <f t="shared" si="1"/>
        <v>40</v>
      </c>
      <c r="G30" s="240">
        <f>G$21/$C30*IF($E$18="Traffic",$N30,IF($E$18="Conversions",$O30,$P30))</f>
        <v>1.2000000000000002</v>
      </c>
      <c r="H30" s="234">
        <f t="shared" si="1"/>
        <v>60.000000000000007</v>
      </c>
      <c r="I30" s="240">
        <f>I$21/$C30*IF($E$18="Traffic",$N30,IF($E$18="Conversions",$O30,$P30))</f>
        <v>2</v>
      </c>
      <c r="J30" s="239">
        <f>I30*$D30</f>
        <v>100</v>
      </c>
      <c r="L30" s="87"/>
      <c r="M30" s="146"/>
      <c r="N30" s="149">
        <v>0.05</v>
      </c>
      <c r="O30" s="149">
        <v>0.1</v>
      </c>
      <c r="P30" s="149">
        <v>0.05</v>
      </c>
      <c r="R30" s="87"/>
      <c r="S30" s="2"/>
      <c r="T30" s="2"/>
      <c r="U30" s="2"/>
    </row>
    <row r="31" spans="2:21" customFormat="1">
      <c r="B31" s="113" t="s">
        <v>140</v>
      </c>
      <c r="C31" s="199">
        <v>0.3</v>
      </c>
      <c r="D31" s="107">
        <v>25</v>
      </c>
      <c r="E31" s="240">
        <f>E$21/$C31*IF($E$18="Traffic",$N31,IF($E$18="Conversions",$O31,$P31))</f>
        <v>2.666666666666667</v>
      </c>
      <c r="F31" s="229">
        <f t="shared" si="1"/>
        <v>66.666666666666671</v>
      </c>
      <c r="G31" s="240">
        <f>G$21/$C31*IF($E$18="Traffic",$N31,IF($E$18="Conversions",$O31,$P31))</f>
        <v>4</v>
      </c>
      <c r="H31" s="234">
        <f t="shared" si="1"/>
        <v>100</v>
      </c>
      <c r="I31" s="240">
        <f>I$21/$C31*IF($E$18="Traffic",$N31,IF($E$18="Conversions",$O31,$P31))</f>
        <v>6.6666666666666679</v>
      </c>
      <c r="J31" s="239">
        <f>I31*$D31</f>
        <v>166.66666666666669</v>
      </c>
      <c r="L31" s="87"/>
      <c r="M31" s="146"/>
      <c r="N31" s="149">
        <v>0.05</v>
      </c>
      <c r="O31" s="149">
        <v>0.05</v>
      </c>
      <c r="P31" s="149">
        <v>0.05</v>
      </c>
      <c r="R31" s="87"/>
      <c r="S31" s="2"/>
      <c r="T31" s="2"/>
      <c r="U31" s="2"/>
    </row>
    <row r="32" spans="2:21" customFormat="1">
      <c r="B32" s="85" t="s">
        <v>126</v>
      </c>
      <c r="C32" s="107"/>
      <c r="D32" s="107"/>
      <c r="E32" s="241"/>
      <c r="F32" s="229"/>
      <c r="G32" s="241"/>
      <c r="H32" s="234"/>
      <c r="I32" s="241"/>
      <c r="J32" s="239"/>
      <c r="L32" s="87"/>
      <c r="M32" s="146"/>
      <c r="N32" s="140"/>
      <c r="O32" s="140"/>
      <c r="P32" s="149"/>
      <c r="R32" s="87"/>
      <c r="S32" s="2"/>
      <c r="T32" s="2"/>
      <c r="U32" s="2"/>
    </row>
    <row r="33" spans="2:21" customFormat="1">
      <c r="B33" s="113" t="s">
        <v>141</v>
      </c>
      <c r="C33" s="107">
        <v>3</v>
      </c>
      <c r="D33" s="107">
        <v>75</v>
      </c>
      <c r="E33" s="240">
        <f>E$21/$C33*IF($E$18="Traffic",$N33,IF($E$18="Conversions",$O33,$P33))</f>
        <v>0.53333333333333333</v>
      </c>
      <c r="F33" s="229">
        <f t="shared" ref="F33:H36" si="2">E33*$D33</f>
        <v>40</v>
      </c>
      <c r="G33" s="240">
        <f>G$21/$C33*IF($E$18="Traffic",$N33,IF($E$18="Conversions",$O33,$P33))</f>
        <v>0.8</v>
      </c>
      <c r="H33" s="234">
        <f t="shared" si="2"/>
        <v>60</v>
      </c>
      <c r="I33" s="240">
        <f>I$21/$C33*IF($E$18="Traffic",$N33,IF($E$18="Conversions",$O33,$P33))</f>
        <v>1.3333333333333335</v>
      </c>
      <c r="J33" s="239">
        <f>I33*$D33</f>
        <v>100.00000000000001</v>
      </c>
      <c r="L33" s="87"/>
      <c r="M33" s="146"/>
      <c r="N33" s="149">
        <v>0.05</v>
      </c>
      <c r="O33" s="149">
        <v>0.1</v>
      </c>
      <c r="P33" s="149">
        <v>0.05</v>
      </c>
      <c r="R33" s="87"/>
      <c r="S33" s="2"/>
      <c r="T33" s="2"/>
      <c r="U33" s="2"/>
    </row>
    <row r="34" spans="2:21" customFormat="1">
      <c r="B34" s="113" t="s">
        <v>142</v>
      </c>
      <c r="C34" s="107">
        <v>1</v>
      </c>
      <c r="D34" s="107">
        <v>50</v>
      </c>
      <c r="E34" s="240">
        <f>E$21/$C34*IF($E$18="Traffic",$N34,IF($E$18="Conversions",$O34,$P34))</f>
        <v>0.8</v>
      </c>
      <c r="F34" s="229">
        <f t="shared" si="2"/>
        <v>40</v>
      </c>
      <c r="G34" s="240">
        <f>G$21/$C34*IF($E$18="Traffic",$N34,IF($E$18="Conversions",$O34,$P34))</f>
        <v>1.2000000000000002</v>
      </c>
      <c r="H34" s="234">
        <f t="shared" si="2"/>
        <v>60.000000000000007</v>
      </c>
      <c r="I34" s="240">
        <f>I$21/$C34*IF($E$18="Traffic",$N34,IF($E$18="Conversions",$O34,$P34))</f>
        <v>2</v>
      </c>
      <c r="J34" s="239">
        <f>I34*$D34</f>
        <v>100</v>
      </c>
      <c r="L34" s="87"/>
      <c r="M34" s="146"/>
      <c r="N34" s="149">
        <v>0.05</v>
      </c>
      <c r="O34" s="149">
        <v>0.05</v>
      </c>
      <c r="P34" s="149">
        <v>0.05</v>
      </c>
      <c r="R34" s="87"/>
      <c r="S34" s="2"/>
      <c r="T34" s="2"/>
      <c r="U34" s="2"/>
    </row>
    <row r="35" spans="2:21" customFormat="1">
      <c r="B35" s="113" t="s">
        <v>143</v>
      </c>
      <c r="C35" s="107">
        <v>2</v>
      </c>
      <c r="D35" s="107">
        <v>75</v>
      </c>
      <c r="E35" s="240">
        <f>E$21/$C35*IF($E$18="Traffic",$N35,IF($E$18="Conversions",$O35,$P35))</f>
        <v>1.2</v>
      </c>
      <c r="F35" s="229">
        <f t="shared" si="2"/>
        <v>90</v>
      </c>
      <c r="G35" s="240">
        <f>G$21/$C35*IF($E$18="Traffic",$N35,IF($E$18="Conversions",$O35,$P35))</f>
        <v>1.7999999999999998</v>
      </c>
      <c r="H35" s="234">
        <f t="shared" si="2"/>
        <v>135</v>
      </c>
      <c r="I35" s="240">
        <f>I$21/$C35*IF($E$18="Traffic",$N35,IF($E$18="Conversions",$O35,$P35))</f>
        <v>3</v>
      </c>
      <c r="J35" s="239">
        <f>I35*$D35</f>
        <v>225</v>
      </c>
      <c r="L35" s="87"/>
      <c r="M35" s="146"/>
      <c r="N35" s="149">
        <v>0.05</v>
      </c>
      <c r="O35" s="149">
        <v>0.15</v>
      </c>
      <c r="P35" s="149">
        <v>0.1</v>
      </c>
      <c r="R35" s="87"/>
      <c r="S35" s="2"/>
      <c r="T35" s="2"/>
      <c r="U35" s="2"/>
    </row>
    <row r="36" spans="2:21" customFormat="1">
      <c r="B36" s="201" t="s">
        <v>262</v>
      </c>
      <c r="C36" s="107">
        <v>1</v>
      </c>
      <c r="D36" s="107">
        <v>100</v>
      </c>
      <c r="E36" s="240">
        <f>E$21/$C36*IF($E$18="Traffic",$N36,IF($E$18="Conversions",$O36,$P36))</f>
        <v>1.6</v>
      </c>
      <c r="F36" s="229">
        <f t="shared" si="2"/>
        <v>160</v>
      </c>
      <c r="G36" s="240">
        <f>G$21/$C36*IF($E$18="Traffic",$N36,IF($E$18="Conversions",$O36,$P36))</f>
        <v>2.4000000000000004</v>
      </c>
      <c r="H36" s="234">
        <f t="shared" si="2"/>
        <v>240.00000000000003</v>
      </c>
      <c r="I36" s="240">
        <f>I$21/$C36*IF($E$18="Traffic",$N36,IF($E$18="Conversions",$O36,$P36))</f>
        <v>4</v>
      </c>
      <c r="J36" s="239">
        <f>I36*$D36</f>
        <v>400</v>
      </c>
      <c r="L36" s="87"/>
      <c r="M36" s="146"/>
      <c r="N36" s="149">
        <v>0.1</v>
      </c>
      <c r="O36" s="149">
        <v>0.1</v>
      </c>
      <c r="P36" s="149">
        <v>0.1</v>
      </c>
      <c r="R36" s="87"/>
      <c r="S36" s="2"/>
      <c r="T36" s="2"/>
      <c r="U36" s="2"/>
    </row>
    <row r="37" spans="2:21" customFormat="1">
      <c r="B37" t="s">
        <v>191</v>
      </c>
      <c r="C37" s="107"/>
      <c r="D37" s="107"/>
      <c r="E37" s="161"/>
      <c r="F37" s="229">
        <f>C41</f>
        <v>1000</v>
      </c>
      <c r="G37" s="161"/>
      <c r="H37" s="234">
        <f>C41</f>
        <v>1000</v>
      </c>
      <c r="I37" s="161"/>
      <c r="J37" s="239">
        <f>C41</f>
        <v>1000</v>
      </c>
      <c r="L37" s="87"/>
      <c r="M37" s="146"/>
      <c r="N37" s="148"/>
      <c r="O37" s="148"/>
      <c r="S37" s="204"/>
      <c r="T37" s="204"/>
      <c r="U37" s="204"/>
    </row>
    <row r="38" spans="2:21">
      <c r="B38" s="99" t="s">
        <v>282</v>
      </c>
      <c r="C38" s="110"/>
      <c r="D38" s="110"/>
      <c r="E38" s="110"/>
      <c r="F38" s="243">
        <f>SUM(F25:F37)</f>
        <v>2016.6666666666665</v>
      </c>
      <c r="G38" s="110"/>
      <c r="H38" s="245">
        <f>SUM(H25:H37)</f>
        <v>2525</v>
      </c>
      <c r="I38" s="110"/>
      <c r="J38" s="247">
        <f>SUM(J25:J37)</f>
        <v>3541.666666666667</v>
      </c>
      <c r="N38" s="87" t="str">
        <f>IF(SUM(N25:N36)=100%,"","not OK")</f>
        <v/>
      </c>
      <c r="O38" s="87" t="str">
        <f>IF(SUM(O25:O36)=100%,"","not OK")</f>
        <v/>
      </c>
      <c r="P38" s="87" t="str">
        <f>IF(SUM(P25:P36)=100%,"","not OK")</f>
        <v/>
      </c>
      <c r="S38" s="205"/>
      <c r="T38" s="205"/>
      <c r="U38" s="205"/>
    </row>
    <row r="39" spans="2:21" hidden="1">
      <c r="B39" s="99" t="s">
        <v>275</v>
      </c>
      <c r="C39" s="110"/>
      <c r="D39" s="110"/>
      <c r="E39" s="110"/>
      <c r="F39" s="244">
        <f>(($E$44-$C$41)-F38)/($E$44-$C$41)</f>
        <v>0.59666666666666668</v>
      </c>
      <c r="G39" s="110"/>
      <c r="H39" s="246">
        <f>(($E$44-$C$41)-H38)/($E$44-$C$41)</f>
        <v>0.495</v>
      </c>
      <c r="I39" s="110"/>
      <c r="J39" s="248">
        <f>(($E$44-$C$41)-J38)/($E$44-$C$41)</f>
        <v>0.29166666666666663</v>
      </c>
    </row>
    <row r="40" spans="2:21">
      <c r="B40" s="250" t="s">
        <v>276</v>
      </c>
      <c r="C40" s="157">
        <v>0.3</v>
      </c>
    </row>
    <row r="41" spans="2:21">
      <c r="B41" s="87" t="s">
        <v>268</v>
      </c>
      <c r="C41" s="158">
        <v>1000</v>
      </c>
    </row>
    <row r="42" spans="2:21">
      <c r="B42" s="251" t="s">
        <v>281</v>
      </c>
      <c r="C42" s="252"/>
      <c r="D42" s="253"/>
      <c r="E42" s="266">
        <f>F38*(1+$C$40)+$C$41</f>
        <v>3621.6666666666665</v>
      </c>
      <c r="F42" s="265"/>
      <c r="G42" s="266">
        <f>H38*(1+$C$40)+$C$41</f>
        <v>4282.5</v>
      </c>
      <c r="H42" s="265"/>
      <c r="I42" s="267">
        <f>J38*(1+$C$40)+$C$41</f>
        <v>5604.166666666667</v>
      </c>
      <c r="J42" s="256"/>
    </row>
    <row r="43" spans="2:21">
      <c r="B43" s="254"/>
      <c r="C43" s="174"/>
      <c r="D43" s="194"/>
      <c r="E43" s="194"/>
      <c r="F43" s="255"/>
      <c r="G43" s="194"/>
      <c r="H43" s="255"/>
      <c r="I43" s="194"/>
      <c r="J43" s="255"/>
    </row>
    <row r="44" spans="2:21">
      <c r="B44" s="260" t="s">
        <v>280</v>
      </c>
      <c r="C44" s="262"/>
      <c r="D44" s="263"/>
      <c r="E44" s="268">
        <f>'Value analysis'!C32</f>
        <v>6000</v>
      </c>
    </row>
    <row r="45" spans="2:21" customFormat="1">
      <c r="B45" s="261" t="s">
        <v>283</v>
      </c>
      <c r="C45" s="264"/>
      <c r="D45" s="264"/>
      <c r="E45" s="269" t="str">
        <f>IF(J39&gt;C40,"Fastest",IF(H39&gt;C40,"Faster",IF(F39&gt;C40,"Fast","No plan delivers desired operating margin")))</f>
        <v>Faster</v>
      </c>
      <c r="F45" s="259"/>
      <c r="G45" s="258"/>
      <c r="H45" s="259"/>
      <c r="I45" s="259"/>
      <c r="J45" s="208"/>
      <c r="N45" s="87"/>
    </row>
    <row r="46" spans="2:21">
      <c r="C46" s="158"/>
    </row>
    <row r="47" spans="2:21">
      <c r="C47" s="156"/>
      <c r="E47" s="167"/>
    </row>
    <row r="53" spans="2:3">
      <c r="B53" s="87" t="s">
        <v>192</v>
      </c>
      <c r="C53" s="203"/>
    </row>
  </sheetData>
  <mergeCells count="1">
    <mergeCell ref="B2:E2"/>
  </mergeCells>
  <pageMargins left="0.7" right="0.7" top="0.75" bottom="0.75" header="0.3" footer="0.3"/>
  <pageSetup orientation="portrait"/>
  <ignoredErrors>
    <ignoredError sqref="F37 H37 H25:H36 F32 F28 F25:F27 F29:F31 F33:F36 G25:G36 I25:I36" formula="1"/>
  </ignoredErrors>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38"/>
  <sheetViews>
    <sheetView showGridLines="0" topLeftCell="A4" zoomScale="87" zoomScaleNormal="87" zoomScalePageLayoutView="87" workbookViewId="0">
      <selection activeCell="D15" sqref="D15"/>
    </sheetView>
  </sheetViews>
  <sheetFormatPr baseColWidth="10" defaultColWidth="8.83203125" defaultRowHeight="14" x14ac:dyDescent="0"/>
  <cols>
    <col min="1" max="1" width="1.83203125" customWidth="1"/>
    <col min="2" max="2" width="41.5" bestFit="1" customWidth="1"/>
    <col min="3" max="3" width="1.5" customWidth="1"/>
    <col min="4" max="4" width="15.1640625" bestFit="1" customWidth="1"/>
    <col min="5" max="5" width="1.83203125" customWidth="1"/>
    <col min="6" max="6" width="18.33203125" bestFit="1" customWidth="1"/>
    <col min="7" max="7" width="18.6640625" customWidth="1"/>
    <col min="8" max="8" width="2.33203125" customWidth="1"/>
    <col min="9" max="9" width="26.6640625" customWidth="1"/>
    <col min="10" max="10" width="26" bestFit="1" customWidth="1"/>
    <col min="11" max="11" width="30.5" bestFit="1" customWidth="1"/>
    <col min="13" max="13" width="9.6640625" customWidth="1"/>
    <col min="14" max="18" width="9.1640625" customWidth="1"/>
  </cols>
  <sheetData>
    <row r="3" spans="2:16" ht="40.5" customHeight="1"/>
    <row r="5" spans="2:16" ht="6.75" customHeight="1" thickBot="1">
      <c r="B5" s="16"/>
      <c r="C5" s="16"/>
      <c r="D5" s="16"/>
      <c r="N5" t="s">
        <v>199</v>
      </c>
      <c r="O5" t="s">
        <v>200</v>
      </c>
      <c r="P5" t="s">
        <v>201</v>
      </c>
    </row>
    <row r="6" spans="2:16" ht="15" thickBot="1">
      <c r="B6" s="185" t="s">
        <v>202</v>
      </c>
      <c r="C6" s="16"/>
      <c r="D6" s="16"/>
      <c r="N6">
        <v>1</v>
      </c>
      <c r="O6" s="91">
        <f>D8</f>
        <v>100</v>
      </c>
      <c r="P6">
        <f>D9</f>
        <v>4000</v>
      </c>
    </row>
    <row r="7" spans="2:16" ht="15" thickBot="1">
      <c r="B7" s="177" t="s">
        <v>203</v>
      </c>
      <c r="C7" s="16"/>
      <c r="D7" s="215">
        <f>'Client''s funnel analysis'!C4</f>
        <v>10000</v>
      </c>
      <c r="F7" s="178" t="s">
        <v>204</v>
      </c>
      <c r="G7" s="178" t="s">
        <v>205</v>
      </c>
      <c r="N7">
        <v>2</v>
      </c>
      <c r="O7" s="91">
        <f>IF($D$8&lt;6, $D$8*1.3, IF($D$8&lt;21, $D$8*1.3, IF($D$8&lt;50, $D$8*1.2, IF($D$8&gt;100,$D$8*1.2, IF($D$8&lt;500, $D$8*1.3, IF($D$8&gt;499, $D$8*1.4))))))</f>
        <v>130</v>
      </c>
      <c r="P7" s="91">
        <f>P6+O7</f>
        <v>4130</v>
      </c>
    </row>
    <row r="8" spans="2:16" ht="15" thickBot="1">
      <c r="B8" s="179" t="s">
        <v>206</v>
      </c>
      <c r="C8" s="16"/>
      <c r="D8" s="216">
        <f>'Client''s funnel analysis'!C5</f>
        <v>100</v>
      </c>
      <c r="F8" s="180">
        <f>D7*0.02</f>
        <v>200</v>
      </c>
      <c r="G8" s="180">
        <f>D7*0.05</f>
        <v>500</v>
      </c>
      <c r="I8" s="308" t="s">
        <v>207</v>
      </c>
      <c r="J8" s="309"/>
      <c r="K8" s="310"/>
      <c r="N8">
        <v>3</v>
      </c>
      <c r="O8" s="91">
        <f>IF($D$8&lt;6, O7*1.3, IF($D$8&lt;21, O7*1.3, IF($D$8&lt;50, O7*1.2, IF($D$8&gt;100,O7*1.2, IF($D$8&lt;500, O7*1.3, IF($D$8&gt;499, O7*1.4))))))</f>
        <v>169</v>
      </c>
      <c r="P8" s="91">
        <f>P7+O8</f>
        <v>4299</v>
      </c>
    </row>
    <row r="9" spans="2:16" ht="15" thickBot="1">
      <c r="B9" s="179" t="s">
        <v>208</v>
      </c>
      <c r="C9" s="16"/>
      <c r="D9" s="197">
        <v>4000</v>
      </c>
      <c r="F9" s="181"/>
      <c r="G9" s="181"/>
      <c r="I9" s="177"/>
      <c r="J9" s="308" t="s">
        <v>209</v>
      </c>
      <c r="K9" s="310"/>
      <c r="N9">
        <v>4</v>
      </c>
      <c r="O9" s="91">
        <f>IF($D$8&lt;6, O8*1.3, IF($D$8&lt;21, O8*1.3, IF($D$8&lt;50, O8*1.2, IF($D$8&gt;100,O8*1.2, IF($D$8&lt;500, O8*1.3, IF($D$8&gt;499, O8*1.4))))))</f>
        <v>219.70000000000002</v>
      </c>
      <c r="P9" s="91">
        <f t="shared" ref="P9:P20" si="0">P8+O9</f>
        <v>4518.7</v>
      </c>
    </row>
    <row r="10" spans="2:16" ht="15" thickBot="1">
      <c r="B10" s="182" t="s">
        <v>210</v>
      </c>
      <c r="C10" s="16"/>
      <c r="D10" s="216">
        <f>'Client''s funnel analysis'!C6</f>
        <v>2</v>
      </c>
      <c r="F10" s="16"/>
      <c r="I10" s="183"/>
      <c r="J10" s="180" t="s">
        <v>211</v>
      </c>
      <c r="K10" s="180" t="s">
        <v>212</v>
      </c>
      <c r="N10">
        <v>5</v>
      </c>
      <c r="O10" s="91">
        <f t="shared" ref="O10:O20" si="1">IF($D$8&lt;6, O9*1.3, IF($D$8&lt;21, O9*1.3, IF($D$8&lt;50, O9*1.2, IF($D$8&gt;100,O9*1.2, IF($D$8&lt;500, O9*1.3, IF($D$8&gt;499, O9*1.4))))))</f>
        <v>285.61</v>
      </c>
      <c r="P10" s="91">
        <f t="shared" si="0"/>
        <v>4804.3099999999995</v>
      </c>
    </row>
    <row r="11" spans="2:16">
      <c r="B11" s="182" t="s">
        <v>213</v>
      </c>
      <c r="C11" s="16"/>
      <c r="D11" s="216">
        <f>'Client''s funnel analysis'!D6</f>
        <v>4</v>
      </c>
      <c r="F11" s="16"/>
      <c r="I11" s="177" t="s">
        <v>214</v>
      </c>
      <c r="J11" s="177" t="s">
        <v>215</v>
      </c>
      <c r="K11" s="177" t="s">
        <v>216</v>
      </c>
      <c r="N11">
        <v>6</v>
      </c>
      <c r="O11" s="91">
        <f>IF($D$8&lt;6, O10*1.3, IF($D$8&lt;21, O10*1.3, IF($D$8&lt;50, O10*1.2, IF($D$8&gt;100,O10*1.2, IF($D$8&lt;500, O10*1.3, IF($D$8&gt;499, O10*1.4))))))</f>
        <v>371.29300000000001</v>
      </c>
      <c r="P11" s="91">
        <f>P10+O11</f>
        <v>5175.6029999999992</v>
      </c>
    </row>
    <row r="12" spans="2:16" ht="15" thickBot="1">
      <c r="B12" s="183" t="s">
        <v>225</v>
      </c>
      <c r="C12" s="16"/>
      <c r="D12" s="217">
        <f>'Client''s funnel analysis'!C9</f>
        <v>0.02</v>
      </c>
      <c r="I12" s="179" t="s">
        <v>217</v>
      </c>
      <c r="J12" s="179" t="s">
        <v>215</v>
      </c>
      <c r="K12" s="179" t="s">
        <v>218</v>
      </c>
      <c r="N12">
        <v>7</v>
      </c>
      <c r="O12" s="91">
        <f t="shared" si="1"/>
        <v>482.68090000000001</v>
      </c>
      <c r="P12" s="91">
        <f t="shared" si="0"/>
        <v>5658.2838999999994</v>
      </c>
    </row>
    <row r="13" spans="2:16" ht="15" thickBot="1">
      <c r="E13" s="87"/>
      <c r="F13" s="87"/>
      <c r="I13" s="179" t="s">
        <v>219</v>
      </c>
      <c r="J13" s="179" t="s">
        <v>215</v>
      </c>
      <c r="K13" s="179" t="s">
        <v>220</v>
      </c>
      <c r="N13">
        <v>8</v>
      </c>
      <c r="O13" s="91">
        <f t="shared" si="1"/>
        <v>627.48517000000004</v>
      </c>
      <c r="P13" s="91">
        <f t="shared" si="0"/>
        <v>6285.7690699999994</v>
      </c>
    </row>
    <row r="14" spans="2:16" ht="15" thickBot="1">
      <c r="B14" s="185" t="s">
        <v>229</v>
      </c>
      <c r="C14" s="16"/>
      <c r="D14" s="16"/>
      <c r="I14" s="183" t="s">
        <v>221</v>
      </c>
      <c r="J14" s="183" t="s">
        <v>222</v>
      </c>
      <c r="K14" s="183" t="s">
        <v>223</v>
      </c>
      <c r="N14">
        <v>9</v>
      </c>
      <c r="O14" s="91">
        <f t="shared" si="1"/>
        <v>815.73072100000013</v>
      </c>
      <c r="P14" s="91">
        <f t="shared" si="0"/>
        <v>7101.4997909999993</v>
      </c>
    </row>
    <row r="15" spans="2:16" ht="15" thickBot="1">
      <c r="B15" s="177" t="s">
        <v>233</v>
      </c>
      <c r="C15" s="16"/>
      <c r="D15" s="218">
        <f>IF($D$7&lt;2000, $D$7*1.5, IF($D$7&gt;1999, $D$7*1.3))</f>
        <v>13000</v>
      </c>
      <c r="F15" s="178" t="s">
        <v>204</v>
      </c>
      <c r="G15" s="178" t="s">
        <v>205</v>
      </c>
      <c r="N15">
        <v>10</v>
      </c>
      <c r="O15" s="91">
        <f t="shared" si="1"/>
        <v>1060.4499373000001</v>
      </c>
      <c r="P15" s="91">
        <f t="shared" si="0"/>
        <v>8161.9497282999992</v>
      </c>
    </row>
    <row r="16" spans="2:16" ht="15" thickBot="1">
      <c r="B16" s="179" t="s">
        <v>237</v>
      </c>
      <c r="C16" s="16"/>
      <c r="D16" s="219">
        <f>O11</f>
        <v>371.29300000000001</v>
      </c>
      <c r="F16" s="198">
        <f>D15*0.02</f>
        <v>260</v>
      </c>
      <c r="G16" s="180">
        <f>D15*0.05</f>
        <v>650</v>
      </c>
      <c r="I16" s="308" t="s">
        <v>224</v>
      </c>
      <c r="J16" s="309"/>
      <c r="K16" s="310"/>
      <c r="N16">
        <v>11</v>
      </c>
      <c r="O16" s="91">
        <f t="shared" si="1"/>
        <v>1378.5849184900003</v>
      </c>
      <c r="P16" s="91">
        <f t="shared" si="0"/>
        <v>9540.5346467899999</v>
      </c>
    </row>
    <row r="17" spans="2:16" ht="15" thickBot="1">
      <c r="B17" s="179" t="s">
        <v>241</v>
      </c>
      <c r="C17" s="16"/>
      <c r="D17" s="219">
        <f>P11</f>
        <v>5175.6029999999992</v>
      </c>
      <c r="F17" s="181"/>
      <c r="G17" s="181"/>
      <c r="I17" s="177"/>
      <c r="J17" s="308" t="s">
        <v>209</v>
      </c>
      <c r="K17" s="310"/>
      <c r="N17">
        <v>12</v>
      </c>
      <c r="O17" s="91">
        <f t="shared" si="1"/>
        <v>1792.1603940370005</v>
      </c>
      <c r="P17" s="91">
        <f t="shared" si="0"/>
        <v>11332.695040827</v>
      </c>
    </row>
    <row r="18" spans="2:16" ht="15" thickBot="1">
      <c r="B18" s="183" t="s">
        <v>245</v>
      </c>
      <c r="C18" s="16"/>
      <c r="D18" s="220">
        <f>D16*D12</f>
        <v>7.4258600000000001</v>
      </c>
      <c r="I18" s="183"/>
      <c r="J18" s="180" t="s">
        <v>211</v>
      </c>
      <c r="K18" s="180" t="s">
        <v>212</v>
      </c>
      <c r="N18">
        <v>13</v>
      </c>
      <c r="O18" s="91">
        <f t="shared" si="1"/>
        <v>2329.8085122481007</v>
      </c>
      <c r="P18" s="91">
        <f t="shared" si="0"/>
        <v>13662.503553075101</v>
      </c>
    </row>
    <row r="19" spans="2:16" ht="15" thickBot="1">
      <c r="I19" s="177" t="s">
        <v>226</v>
      </c>
      <c r="J19" s="177" t="s">
        <v>227</v>
      </c>
      <c r="K19" s="177" t="s">
        <v>228</v>
      </c>
      <c r="N19">
        <v>14</v>
      </c>
      <c r="O19" s="91">
        <f t="shared" si="1"/>
        <v>3028.7510659225309</v>
      </c>
      <c r="P19" s="91">
        <f t="shared" si="0"/>
        <v>16691.254618997631</v>
      </c>
    </row>
    <row r="20" spans="2:16" ht="15" thickBot="1">
      <c r="B20" s="185" t="s">
        <v>249</v>
      </c>
      <c r="C20" s="16"/>
      <c r="D20" s="186"/>
      <c r="I20" s="179" t="s">
        <v>230</v>
      </c>
      <c r="J20" s="179" t="s">
        <v>231</v>
      </c>
      <c r="K20" s="179" t="s">
        <v>232</v>
      </c>
      <c r="N20">
        <v>15</v>
      </c>
      <c r="O20" s="91">
        <f t="shared" si="1"/>
        <v>3937.37638569929</v>
      </c>
      <c r="P20" s="91">
        <f t="shared" si="0"/>
        <v>20628.631004696923</v>
      </c>
    </row>
    <row r="21" spans="2:16" ht="15" thickBot="1">
      <c r="B21" s="177" t="s">
        <v>233</v>
      </c>
      <c r="C21" s="16"/>
      <c r="D21" s="218">
        <f>IF($D$7&lt;200, $D$7*1.9, IF($D$7&lt;500, $D$7*2.5, IF($D$7&lt;2000, $D$7*2.2, IF($D$7&gt;1999,$D$7*1.6))))</f>
        <v>16000</v>
      </c>
      <c r="F21" s="178" t="s">
        <v>204</v>
      </c>
      <c r="G21" s="178" t="s">
        <v>205</v>
      </c>
      <c r="I21" s="179" t="s">
        <v>234</v>
      </c>
      <c r="J21" s="179" t="s">
        <v>235</v>
      </c>
      <c r="K21" s="179" t="s">
        <v>236</v>
      </c>
    </row>
    <row r="22" spans="2:16" ht="15" thickBot="1">
      <c r="B22" s="179" t="s">
        <v>237</v>
      </c>
      <c r="C22" s="16"/>
      <c r="D22" s="219">
        <f>O17</f>
        <v>1792.1603940370005</v>
      </c>
      <c r="F22" s="198">
        <f>D21*0.02</f>
        <v>320</v>
      </c>
      <c r="G22" s="180">
        <f>D21*0.05</f>
        <v>800</v>
      </c>
      <c r="I22" s="179" t="s">
        <v>238</v>
      </c>
      <c r="J22" s="179" t="s">
        <v>239</v>
      </c>
      <c r="K22" s="179" t="s">
        <v>240</v>
      </c>
    </row>
    <row r="23" spans="2:16">
      <c r="B23" s="179" t="s">
        <v>241</v>
      </c>
      <c r="C23" s="16"/>
      <c r="D23" s="219">
        <f>P17</f>
        <v>11332.695040827</v>
      </c>
      <c r="F23" s="181"/>
      <c r="G23" s="181"/>
      <c r="I23" s="179" t="s">
        <v>242</v>
      </c>
      <c r="J23" s="179" t="s">
        <v>243</v>
      </c>
      <c r="K23" s="179" t="s">
        <v>244</v>
      </c>
    </row>
    <row r="24" spans="2:16" ht="15" thickBot="1">
      <c r="B24" s="183" t="s">
        <v>245</v>
      </c>
      <c r="C24" s="16"/>
      <c r="D24" s="220">
        <f>D22*D12</f>
        <v>35.84320788074001</v>
      </c>
      <c r="I24" s="183" t="s">
        <v>246</v>
      </c>
      <c r="J24" s="183" t="s">
        <v>247</v>
      </c>
      <c r="K24" s="184" t="s">
        <v>248</v>
      </c>
    </row>
    <row r="25" spans="2:16" ht="18" customHeight="1" thickBot="1"/>
    <row r="26" spans="2:16" ht="15" thickBot="1">
      <c r="B26" s="185" t="s">
        <v>255</v>
      </c>
      <c r="K26" s="187"/>
    </row>
    <row r="27" spans="2:16" ht="15" thickBot="1">
      <c r="B27" s="177" t="s">
        <v>103</v>
      </c>
      <c r="D27" s="218">
        <f>D21-D7</f>
        <v>6000</v>
      </c>
      <c r="I27" s="308" t="s">
        <v>250</v>
      </c>
      <c r="J27" s="310"/>
    </row>
    <row r="28" spans="2:16">
      <c r="B28" s="179" t="s">
        <v>258</v>
      </c>
      <c r="D28" s="219">
        <f>D22-D8</f>
        <v>1692.1603940370005</v>
      </c>
      <c r="I28" s="177" t="s">
        <v>226</v>
      </c>
      <c r="J28" s="188" t="s">
        <v>251</v>
      </c>
    </row>
    <row r="29" spans="2:16">
      <c r="B29" s="179" t="s">
        <v>259</v>
      </c>
      <c r="D29" s="219">
        <f>D23-D9</f>
        <v>7332.6950408270004</v>
      </c>
      <c r="I29" s="179" t="s">
        <v>230</v>
      </c>
      <c r="J29" s="189" t="s">
        <v>251</v>
      </c>
    </row>
    <row r="30" spans="2:16" ht="15" thickBot="1">
      <c r="B30" s="183" t="s">
        <v>260</v>
      </c>
      <c r="D30" s="220">
        <f>D24-D10</f>
        <v>33.84320788074001</v>
      </c>
      <c r="I30" s="179" t="s">
        <v>234</v>
      </c>
      <c r="J30" s="189" t="s">
        <v>252</v>
      </c>
    </row>
    <row r="31" spans="2:16">
      <c r="I31" s="179" t="s">
        <v>238</v>
      </c>
      <c r="J31" s="189" t="s">
        <v>252</v>
      </c>
    </row>
    <row r="32" spans="2:16">
      <c r="I32" s="179" t="s">
        <v>242</v>
      </c>
      <c r="J32" s="189" t="s">
        <v>251</v>
      </c>
    </row>
    <row r="33" spans="6:10" ht="15" thickBot="1">
      <c r="I33" s="183" t="s">
        <v>246</v>
      </c>
      <c r="J33" s="190" t="s">
        <v>253</v>
      </c>
    </row>
    <row r="34" spans="6:10">
      <c r="F34" s="194"/>
      <c r="G34" s="194"/>
      <c r="I34" s="191" t="s">
        <v>254</v>
      </c>
    </row>
    <row r="35" spans="6:10">
      <c r="F35" s="195"/>
      <c r="G35" s="194"/>
      <c r="I35" s="192" t="s">
        <v>256</v>
      </c>
    </row>
    <row r="36" spans="6:10">
      <c r="F36" s="194"/>
      <c r="G36" s="196"/>
      <c r="I36" s="193" t="s">
        <v>257</v>
      </c>
    </row>
    <row r="37" spans="6:10">
      <c r="F37" s="194"/>
      <c r="G37" s="196"/>
    </row>
    <row r="38" spans="6:10">
      <c r="F38" s="194"/>
      <c r="G38" s="194"/>
    </row>
  </sheetData>
  <sheetProtection selectLockedCells="1"/>
  <mergeCells count="5">
    <mergeCell ref="I8:K8"/>
    <mergeCell ref="J9:K9"/>
    <mergeCell ref="I16:K16"/>
    <mergeCell ref="J17:K17"/>
    <mergeCell ref="I27:J27"/>
  </mergeCells>
  <conditionalFormatting sqref="F8">
    <cfRule type="cellIs" dxfId="37" priority="18" operator="lessThan">
      <formula>$D$8</formula>
    </cfRule>
    <cfRule type="cellIs" dxfId="36" priority="19" operator="greaterThan">
      <formula>$D$8</formula>
    </cfRule>
  </conditionalFormatting>
  <conditionalFormatting sqref="F16">
    <cfRule type="cellIs" dxfId="35" priority="16" operator="lessThan">
      <formula>$D$16</formula>
    </cfRule>
    <cfRule type="cellIs" dxfId="34" priority="17" operator="greaterThan">
      <formula>$D$16</formula>
    </cfRule>
  </conditionalFormatting>
  <conditionalFormatting sqref="G8">
    <cfRule type="cellIs" dxfId="33" priority="12" operator="lessThan">
      <formula>$D$8</formula>
    </cfRule>
    <cfRule type="cellIs" dxfId="32" priority="15" operator="greaterThan">
      <formula>$D$8</formula>
    </cfRule>
  </conditionalFormatting>
  <conditionalFormatting sqref="G16">
    <cfRule type="cellIs" dxfId="31" priority="11" operator="lessThan">
      <formula>$D$16</formula>
    </cfRule>
    <cfRule type="cellIs" dxfId="30" priority="14" operator="greaterThan">
      <formula>$D$16</formula>
    </cfRule>
  </conditionalFormatting>
  <conditionalFormatting sqref="G22">
    <cfRule type="cellIs" dxfId="29" priority="10" operator="lessThan">
      <formula>$D$22</formula>
    </cfRule>
    <cfRule type="cellIs" dxfId="28" priority="13" operator="greaterThan">
      <formula>$D$22</formula>
    </cfRule>
  </conditionalFormatting>
  <conditionalFormatting sqref="F22">
    <cfRule type="cellIs" dxfId="27" priority="1" operator="lessThan">
      <formula>$D$22</formula>
    </cfRule>
    <cfRule type="cellIs" dxfId="26" priority="2" operator="greaterThan">
      <formula>$D$22</formula>
    </cfRule>
    <cfRule type="cellIs" dxfId="25" priority="3" operator="lessThan">
      <formula>$D$22</formula>
    </cfRule>
    <cfRule type="cellIs" dxfId="24" priority="4" operator="greaterThan">
      <formula>$D$22</formula>
    </cfRule>
    <cfRule type="cellIs" dxfId="23" priority="5" operator="lessThan">
      <formula>$D$22</formula>
    </cfRule>
  </conditionalFormatting>
  <conditionalFormatting sqref="G36">
    <cfRule type="cellIs" dxfId="22" priority="20" operator="lessThan">
      <formula>#REF!</formula>
    </cfRule>
    <cfRule type="cellIs" dxfId="21" priority="21" operator="greaterThan">
      <formula>#REF!</formula>
    </cfRule>
  </conditionalFormatting>
  <conditionalFormatting sqref="G37">
    <cfRule type="cellIs" dxfId="20" priority="22" operator="lessThan">
      <formula>#REF!</formula>
    </cfRule>
    <cfRule type="cellIs" dxfId="19" priority="23" operator="greaterThan">
      <formula>#REF!</formula>
    </cfRule>
  </conditionalFormatting>
  <pageMargins left="0.7" right="0.7" top="0.75" bottom="0.75" header="0.3" footer="0.3"/>
  <pageSetup orientation="portrait"/>
  <ignoredErrors>
    <ignoredError sqref="D7:D8 D10:D11" unlockedFormula="1"/>
  </ignoredErrors>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38"/>
  <sheetViews>
    <sheetView showGridLines="0" tabSelected="1" topLeftCell="A4" zoomScale="87" zoomScaleNormal="87" zoomScalePageLayoutView="87" workbookViewId="0">
      <selection activeCell="F32" sqref="F32"/>
    </sheetView>
  </sheetViews>
  <sheetFormatPr baseColWidth="10" defaultColWidth="8.83203125" defaultRowHeight="14" x14ac:dyDescent="0"/>
  <cols>
    <col min="1" max="1" width="1.83203125" customWidth="1"/>
    <col min="2" max="2" width="41.5" bestFit="1" customWidth="1"/>
    <col min="3" max="3" width="1.5" customWidth="1"/>
    <col min="4" max="4" width="15.1640625" bestFit="1" customWidth="1"/>
    <col min="5" max="5" width="1.83203125" customWidth="1"/>
    <col min="6" max="6" width="18.33203125" bestFit="1" customWidth="1"/>
    <col min="7" max="7" width="18.6640625" customWidth="1"/>
    <col min="8" max="8" width="2.33203125" customWidth="1"/>
    <col min="9" max="9" width="26.6640625" customWidth="1"/>
    <col min="10" max="10" width="26" bestFit="1" customWidth="1"/>
    <col min="11" max="11" width="30.5" bestFit="1" customWidth="1"/>
    <col min="13" max="13" width="9.6640625" customWidth="1"/>
    <col min="14" max="16" width="9.1640625" hidden="1" customWidth="1"/>
    <col min="17" max="18" width="9.1640625" customWidth="1"/>
  </cols>
  <sheetData>
    <row r="3" spans="2:16" ht="40.5" customHeight="1"/>
    <row r="5" spans="2:16" ht="6.75" customHeight="1" thickBot="1">
      <c r="B5" s="16"/>
      <c r="C5" s="16"/>
      <c r="D5" s="16"/>
      <c r="N5" t="s">
        <v>199</v>
      </c>
      <c r="O5" t="s">
        <v>200</v>
      </c>
      <c r="P5" t="s">
        <v>201</v>
      </c>
    </row>
    <row r="6" spans="2:16" ht="15" thickBot="1">
      <c r="B6" s="185" t="s">
        <v>202</v>
      </c>
      <c r="C6" s="16"/>
      <c r="D6" s="16"/>
      <c r="N6">
        <v>1</v>
      </c>
      <c r="O6" s="91">
        <f>D8</f>
        <v>100</v>
      </c>
      <c r="P6">
        <f>D9</f>
        <v>4000</v>
      </c>
    </row>
    <row r="7" spans="2:16" ht="15" thickBot="1">
      <c r="B7" s="177" t="s">
        <v>203</v>
      </c>
      <c r="C7" s="16"/>
      <c r="D7" s="215">
        <f>'Client''s funnel analysis'!C4</f>
        <v>10000</v>
      </c>
      <c r="F7" s="178" t="s">
        <v>204</v>
      </c>
      <c r="G7" s="178" t="s">
        <v>205</v>
      </c>
      <c r="N7">
        <v>2</v>
      </c>
      <c r="O7" s="91">
        <f>IF($D$8&lt;6, $D$8*$K$28, IF($D$8&lt;21, $D$8*$K$29, IF($D$8&lt;50, $D$8*$K$30, IF($D$8&lt;100,$D$8*$K$31, IF($D$8&lt;500, $D$8*$K$32, IF($D$8&gt;499, $D$8*$K$33))))))</f>
        <v>112.47741363480026</v>
      </c>
      <c r="P7" s="91">
        <f>P6+O7</f>
        <v>4112.4774136348005</v>
      </c>
    </row>
    <row r="8" spans="2:16" ht="15" thickBot="1">
      <c r="B8" s="179" t="s">
        <v>206</v>
      </c>
      <c r="C8" s="16"/>
      <c r="D8" s="216">
        <f>'Client''s funnel analysis'!C5</f>
        <v>100</v>
      </c>
      <c r="F8" s="180">
        <f>D7*0.02</f>
        <v>200</v>
      </c>
      <c r="G8" s="180">
        <f>D7*0.05</f>
        <v>500</v>
      </c>
      <c r="I8" s="308" t="s">
        <v>207</v>
      </c>
      <c r="J8" s="309"/>
      <c r="K8" s="310"/>
      <c r="N8">
        <v>3</v>
      </c>
      <c r="O8" s="91">
        <f>IF($D$8&lt;6, O7*$K$28, IF($D$8&lt;21, O7*$K$29, IF($D$8&lt;50, O7*$K$30, IF($D$8&lt;100,O7*$K$31, IF($D$8&lt;500, O7*$K$32, IF($D$8&gt;499, O7*$K$33))))))</f>
        <v>126.51168577973951</v>
      </c>
      <c r="P8" s="91">
        <f>P7+O8</f>
        <v>4238.9890994145399</v>
      </c>
    </row>
    <row r="9" spans="2:16" ht="15" thickBot="1">
      <c r="B9" s="179" t="s">
        <v>208</v>
      </c>
      <c r="C9" s="16"/>
      <c r="D9" s="197">
        <v>4000</v>
      </c>
      <c r="F9" s="181"/>
      <c r="G9" s="181"/>
      <c r="I9" s="177"/>
      <c r="J9" s="308" t="s">
        <v>209</v>
      </c>
      <c r="K9" s="310"/>
      <c r="N9">
        <v>4</v>
      </c>
      <c r="O9" s="91">
        <f t="shared" ref="O9:O20" si="0">IF($D$8&lt;6, O8*$K$28, IF($D$8&lt;21, O8*$K$29, IF($D$8&lt;50, O8*$K$30, IF($D$8&lt;100,O8*$K$31, IF($D$8&lt;500, O8*$K$32, IF($D$8&gt;499, O8*$K$33))))))</f>
        <v>142.29707211083638</v>
      </c>
      <c r="P9" s="91">
        <f t="shared" ref="P9:P20" si="1">P8+O9</f>
        <v>4381.2861715253766</v>
      </c>
    </row>
    <row r="10" spans="2:16" ht="15" thickBot="1">
      <c r="B10" s="182" t="s">
        <v>210</v>
      </c>
      <c r="C10" s="16"/>
      <c r="D10" s="216">
        <f>'Client''s funnel analysis'!C6</f>
        <v>2</v>
      </c>
      <c r="F10" s="16"/>
      <c r="I10" s="183"/>
      <c r="J10" s="180" t="s">
        <v>211</v>
      </c>
      <c r="K10" s="180" t="s">
        <v>212</v>
      </c>
      <c r="N10">
        <v>5</v>
      </c>
      <c r="O10" s="91">
        <f t="shared" si="0"/>
        <v>160.05206638831544</v>
      </c>
      <c r="P10" s="91">
        <f t="shared" si="1"/>
        <v>4541.338237913692</v>
      </c>
    </row>
    <row r="11" spans="2:16">
      <c r="B11" s="182" t="s">
        <v>213</v>
      </c>
      <c r="C11" s="16"/>
      <c r="D11" s="216">
        <f>'Client''s funnel analysis'!D6</f>
        <v>4</v>
      </c>
      <c r="F11" s="16"/>
      <c r="I11" s="177" t="s">
        <v>214</v>
      </c>
      <c r="J11" s="177" t="s">
        <v>295</v>
      </c>
      <c r="K11" s="177" t="s">
        <v>296</v>
      </c>
      <c r="N11">
        <v>6</v>
      </c>
      <c r="O11" s="91">
        <f t="shared" si="0"/>
        <v>180.02242474263068</v>
      </c>
      <c r="P11" s="91">
        <f>P10+O11</f>
        <v>4721.3606626563223</v>
      </c>
    </row>
    <row r="12" spans="2:16" ht="15" thickBot="1">
      <c r="B12" s="183" t="s">
        <v>225</v>
      </c>
      <c r="C12" s="16"/>
      <c r="D12" s="217">
        <f>'Client''s funnel analysis'!C9</f>
        <v>0.02</v>
      </c>
      <c r="I12" s="179" t="s">
        <v>217</v>
      </c>
      <c r="J12" s="179" t="s">
        <v>284</v>
      </c>
      <c r="K12" s="179" t="s">
        <v>285</v>
      </c>
      <c r="N12">
        <v>7</v>
      </c>
      <c r="O12" s="91">
        <f t="shared" si="0"/>
        <v>202.48456731316571</v>
      </c>
      <c r="P12" s="91">
        <f t="shared" si="1"/>
        <v>4923.8452299694882</v>
      </c>
    </row>
    <row r="13" spans="2:16" ht="15" thickBot="1">
      <c r="E13" s="87"/>
      <c r="F13" s="87"/>
      <c r="I13" s="179" t="s">
        <v>219</v>
      </c>
      <c r="J13" s="179" t="s">
        <v>216</v>
      </c>
      <c r="K13" s="179" t="s">
        <v>286</v>
      </c>
      <c r="N13">
        <v>8</v>
      </c>
      <c r="O13" s="91">
        <f t="shared" si="0"/>
        <v>227.74940432346497</v>
      </c>
      <c r="P13" s="91">
        <f t="shared" si="1"/>
        <v>5151.5946342929528</v>
      </c>
    </row>
    <row r="14" spans="2:16" ht="15" thickBot="1">
      <c r="B14" s="185" t="s">
        <v>229</v>
      </c>
      <c r="C14" s="16"/>
      <c r="D14" s="16"/>
      <c r="I14" s="183" t="s">
        <v>221</v>
      </c>
      <c r="J14" s="183" t="s">
        <v>215</v>
      </c>
      <c r="K14" s="183" t="s">
        <v>287</v>
      </c>
      <c r="N14">
        <v>9</v>
      </c>
      <c r="O14" s="91">
        <f t="shared" si="0"/>
        <v>256.16663955169736</v>
      </c>
      <c r="P14" s="91">
        <f t="shared" si="1"/>
        <v>5407.7612738446505</v>
      </c>
    </row>
    <row r="15" spans="2:16" ht="15" thickBot="1">
      <c r="B15" s="177" t="s">
        <v>233</v>
      </c>
      <c r="C15" s="16"/>
      <c r="D15" s="218">
        <f>IF($D$7&lt;200, $D$7*6, IF($D$7&lt;500, $D$7*3.2, IF($D$7&lt;2000, $D$7*1.9, IF($D$7&gt;1999,$D$7*1.5))))</f>
        <v>15000</v>
      </c>
      <c r="F15" s="178" t="s">
        <v>204</v>
      </c>
      <c r="G15" s="178" t="s">
        <v>205</v>
      </c>
      <c r="N15">
        <v>10</v>
      </c>
      <c r="O15" s="91">
        <f t="shared" si="0"/>
        <v>288.1296107629305</v>
      </c>
      <c r="P15" s="91">
        <f t="shared" si="1"/>
        <v>5695.890884607581</v>
      </c>
    </row>
    <row r="16" spans="2:16" ht="15" thickBot="1">
      <c r="B16" s="179" t="s">
        <v>237</v>
      </c>
      <c r="C16" s="16"/>
      <c r="D16" s="219">
        <f>O11</f>
        <v>180.02242474263068</v>
      </c>
      <c r="F16" s="198">
        <f>D15*0.02</f>
        <v>300</v>
      </c>
      <c r="G16" s="180">
        <f>D15*0.05</f>
        <v>750</v>
      </c>
      <c r="I16" s="308" t="s">
        <v>224</v>
      </c>
      <c r="J16" s="309"/>
      <c r="K16" s="310"/>
      <c r="N16">
        <v>11</v>
      </c>
      <c r="O16" s="91">
        <f t="shared" si="0"/>
        <v>324.08073410216133</v>
      </c>
      <c r="P16" s="91">
        <f t="shared" si="1"/>
        <v>6019.971618709742</v>
      </c>
    </row>
    <row r="17" spans="2:16" ht="15" thickBot="1">
      <c r="B17" s="179" t="s">
        <v>241</v>
      </c>
      <c r="C17" s="16"/>
      <c r="D17" s="219">
        <f>P11</f>
        <v>4721.3606626563223</v>
      </c>
      <c r="F17" s="181"/>
      <c r="G17" s="181"/>
      <c r="I17" s="177"/>
      <c r="J17" s="308" t="s">
        <v>209</v>
      </c>
      <c r="K17" s="310"/>
      <c r="N17">
        <v>12</v>
      </c>
      <c r="O17" s="91">
        <f t="shared" si="0"/>
        <v>364.51762780678519</v>
      </c>
      <c r="P17" s="91">
        <f t="shared" si="1"/>
        <v>6384.4892465165267</v>
      </c>
    </row>
    <row r="18" spans="2:16" ht="15" thickBot="1">
      <c r="B18" s="183" t="s">
        <v>245</v>
      </c>
      <c r="C18" s="16"/>
      <c r="D18" s="220">
        <f>D16*D12</f>
        <v>3.6004484948526136</v>
      </c>
      <c r="I18" s="183"/>
      <c r="J18" s="180" t="s">
        <v>211</v>
      </c>
      <c r="K18" s="180" t="s">
        <v>212</v>
      </c>
      <c r="N18">
        <v>13</v>
      </c>
      <c r="O18" s="91">
        <f t="shared" si="0"/>
        <v>409.99999999999949</v>
      </c>
      <c r="P18" s="91">
        <f t="shared" si="1"/>
        <v>6794.4892465165258</v>
      </c>
    </row>
    <row r="19" spans="2:16" ht="15" thickBot="1">
      <c r="I19" s="177" t="s">
        <v>226</v>
      </c>
      <c r="J19" s="177" t="s">
        <v>288</v>
      </c>
      <c r="K19" s="177" t="s">
        <v>289</v>
      </c>
      <c r="N19">
        <v>14</v>
      </c>
      <c r="O19" s="91">
        <f t="shared" si="0"/>
        <v>461.15739590268049</v>
      </c>
      <c r="P19" s="91">
        <f t="shared" si="1"/>
        <v>7255.6466424192058</v>
      </c>
    </row>
    <row r="20" spans="2:16" ht="15" thickBot="1">
      <c r="B20" s="185" t="s">
        <v>249</v>
      </c>
      <c r="C20" s="16"/>
      <c r="D20" s="186"/>
      <c r="I20" s="179" t="s">
        <v>230</v>
      </c>
      <c r="J20" s="179" t="s">
        <v>290</v>
      </c>
      <c r="K20" s="179" t="s">
        <v>291</v>
      </c>
      <c r="N20">
        <v>15</v>
      </c>
      <c r="O20" s="91">
        <f t="shared" si="0"/>
        <v>518.69791169693133</v>
      </c>
      <c r="P20" s="91">
        <f t="shared" si="1"/>
        <v>7774.3445541161373</v>
      </c>
    </row>
    <row r="21" spans="2:16" ht="15" thickBot="1">
      <c r="B21" s="177" t="s">
        <v>233</v>
      </c>
      <c r="C21" s="16"/>
      <c r="D21" s="218">
        <f>IF($D$7&lt;200, $D$7*13.4, IF($D$7&lt;500, $D$7*6.2, IF($D$7&lt;2000, $D$7*2.9, IF($D$7&gt;1999,$D$7*2.1))))</f>
        <v>21000</v>
      </c>
      <c r="F21" s="178" t="s">
        <v>204</v>
      </c>
      <c r="G21" s="178" t="s">
        <v>205</v>
      </c>
      <c r="I21" s="179" t="s">
        <v>234</v>
      </c>
      <c r="J21" s="179" t="s">
        <v>235</v>
      </c>
      <c r="K21" s="179" t="s">
        <v>292</v>
      </c>
    </row>
    <row r="22" spans="2:16" ht="15" thickBot="1">
      <c r="B22" s="179" t="s">
        <v>237</v>
      </c>
      <c r="C22" s="16"/>
      <c r="D22" s="219">
        <f>O17</f>
        <v>364.51762780678519</v>
      </c>
      <c r="F22" s="198">
        <f>D21*0.02</f>
        <v>420</v>
      </c>
      <c r="G22" s="180">
        <f>D21*0.05</f>
        <v>1050</v>
      </c>
      <c r="I22" s="179" t="s">
        <v>238</v>
      </c>
      <c r="J22" s="179" t="s">
        <v>235</v>
      </c>
      <c r="K22" s="179" t="s">
        <v>292</v>
      </c>
    </row>
    <row r="23" spans="2:16">
      <c r="B23" s="179" t="s">
        <v>241</v>
      </c>
      <c r="C23" s="16"/>
      <c r="D23" s="219">
        <f>P17</f>
        <v>6384.4892465165267</v>
      </c>
      <c r="F23" s="181"/>
      <c r="G23" s="181"/>
      <c r="I23" s="179" t="s">
        <v>242</v>
      </c>
      <c r="J23" s="179" t="s">
        <v>293</v>
      </c>
      <c r="K23" s="179" t="s">
        <v>239</v>
      </c>
    </row>
    <row r="24" spans="2:16" ht="15" thickBot="1">
      <c r="B24" s="183" t="s">
        <v>245</v>
      </c>
      <c r="C24" s="16"/>
      <c r="D24" s="220">
        <f>D22*D12</f>
        <v>7.2903525561357041</v>
      </c>
      <c r="I24" s="183" t="s">
        <v>246</v>
      </c>
      <c r="J24" s="183" t="s">
        <v>294</v>
      </c>
      <c r="K24" s="184" t="s">
        <v>290</v>
      </c>
    </row>
    <row r="25" spans="2:16" ht="18" customHeight="1" thickBot="1"/>
    <row r="26" spans="2:16" ht="15" thickBot="1">
      <c r="B26" s="185" t="s">
        <v>255</v>
      </c>
      <c r="K26" s="187"/>
    </row>
    <row r="27" spans="2:16" ht="15" thickBot="1">
      <c r="B27" s="177" t="s">
        <v>103</v>
      </c>
      <c r="D27" s="218">
        <f>D21-D7</f>
        <v>11000</v>
      </c>
      <c r="I27" s="308" t="s">
        <v>250</v>
      </c>
      <c r="J27" s="310"/>
    </row>
    <row r="28" spans="2:16">
      <c r="B28" s="179" t="s">
        <v>258</v>
      </c>
      <c r="D28" s="219">
        <f>D22-D8</f>
        <v>264.51762780678519</v>
      </c>
      <c r="I28" s="177" t="s">
        <v>226</v>
      </c>
      <c r="J28" s="188" t="s">
        <v>251</v>
      </c>
      <c r="K28" s="270">
        <f>15.2^(1/12)</f>
        <v>1.2545470849825127</v>
      </c>
    </row>
    <row r="29" spans="2:16">
      <c r="B29" s="179" t="s">
        <v>259</v>
      </c>
      <c r="D29" s="219">
        <f>D23-D9</f>
        <v>2384.4892465165267</v>
      </c>
      <c r="I29" s="179" t="s">
        <v>230</v>
      </c>
      <c r="J29" s="189" t="s">
        <v>251</v>
      </c>
      <c r="K29" s="270">
        <f>7.5^(1/12)</f>
        <v>1.1828284774935729</v>
      </c>
    </row>
    <row r="30" spans="2:16" ht="15" thickBot="1">
      <c r="B30" s="183" t="s">
        <v>260</v>
      </c>
      <c r="D30" s="220">
        <f>D24-D10</f>
        <v>5.2903525561357041</v>
      </c>
      <c r="I30" s="179" t="s">
        <v>234</v>
      </c>
      <c r="J30" s="189" t="s">
        <v>252</v>
      </c>
      <c r="K30" s="270">
        <f>5.7^(1/12)</f>
        <v>1.1560844808538808</v>
      </c>
    </row>
    <row r="31" spans="2:16">
      <c r="I31" s="179" t="s">
        <v>238</v>
      </c>
      <c r="J31" s="189" t="s">
        <v>252</v>
      </c>
      <c r="K31" s="270">
        <f>5.7^(1/12)</f>
        <v>1.1560844808538808</v>
      </c>
    </row>
    <row r="32" spans="2:16">
      <c r="I32" s="179" t="s">
        <v>242</v>
      </c>
      <c r="J32" s="189" t="s">
        <v>251</v>
      </c>
      <c r="K32" s="270">
        <f>4.1^(1/12)</f>
        <v>1.1247741363480026</v>
      </c>
    </row>
    <row r="33" spans="6:11" ht="15" thickBot="1">
      <c r="I33" s="183" t="s">
        <v>246</v>
      </c>
      <c r="J33" s="190" t="s">
        <v>253</v>
      </c>
      <c r="K33" s="270">
        <f>2.8^(1/12)</f>
        <v>1.0895901518968287</v>
      </c>
    </row>
    <row r="34" spans="6:11">
      <c r="F34" s="194"/>
      <c r="G34" s="194"/>
      <c r="I34" s="191" t="s">
        <v>254</v>
      </c>
    </row>
    <row r="35" spans="6:11">
      <c r="F35" s="195"/>
      <c r="G35" s="194"/>
      <c r="I35" s="192" t="s">
        <v>256</v>
      </c>
    </row>
    <row r="36" spans="6:11">
      <c r="F36" s="194"/>
      <c r="G36" s="196"/>
      <c r="I36" s="193" t="s">
        <v>257</v>
      </c>
    </row>
    <row r="37" spans="6:11">
      <c r="F37" s="194"/>
      <c r="G37" s="196"/>
    </row>
    <row r="38" spans="6:11">
      <c r="F38" s="194"/>
      <c r="G38" s="194"/>
    </row>
  </sheetData>
  <sheetProtection selectLockedCells="1"/>
  <mergeCells count="5">
    <mergeCell ref="I8:K8"/>
    <mergeCell ref="J9:K9"/>
    <mergeCell ref="I16:K16"/>
    <mergeCell ref="J17:K17"/>
    <mergeCell ref="I27:J27"/>
  </mergeCells>
  <conditionalFormatting sqref="F8">
    <cfRule type="cellIs" dxfId="18" priority="14" operator="lessThan">
      <formula>$D$8</formula>
    </cfRule>
    <cfRule type="cellIs" dxfId="17" priority="15" operator="greaterThan">
      <formula>$D$8</formula>
    </cfRule>
  </conditionalFormatting>
  <conditionalFormatting sqref="F16">
    <cfRule type="cellIs" dxfId="16" priority="12" operator="lessThan">
      <formula>$D$16</formula>
    </cfRule>
    <cfRule type="cellIs" dxfId="15" priority="13" operator="greaterThan">
      <formula>$D$16</formula>
    </cfRule>
  </conditionalFormatting>
  <conditionalFormatting sqref="G8">
    <cfRule type="cellIs" dxfId="14" priority="8" operator="lessThan">
      <formula>$D$8</formula>
    </cfRule>
    <cfRule type="cellIs" dxfId="13" priority="11" operator="greaterThan">
      <formula>$D$8</formula>
    </cfRule>
  </conditionalFormatting>
  <conditionalFormatting sqref="G16">
    <cfRule type="cellIs" dxfId="12" priority="7" operator="lessThan">
      <formula>$D$16</formula>
    </cfRule>
    <cfRule type="cellIs" dxfId="11" priority="10" operator="greaterThan">
      <formula>$D$16</formula>
    </cfRule>
  </conditionalFormatting>
  <conditionalFormatting sqref="G22">
    <cfRule type="cellIs" dxfId="10" priority="6" operator="lessThan">
      <formula>$D$22</formula>
    </cfRule>
    <cfRule type="cellIs" dxfId="9" priority="9" operator="greaterThan">
      <formula>$D$22</formula>
    </cfRule>
  </conditionalFormatting>
  <conditionalFormatting sqref="F22">
    <cfRule type="cellIs" dxfId="8" priority="1" operator="lessThan">
      <formula>$D$22</formula>
    </cfRule>
    <cfRule type="cellIs" dxfId="7" priority="2" operator="greaterThan">
      <formula>$D$22</formula>
    </cfRule>
    <cfRule type="cellIs" dxfId="6" priority="3" operator="lessThan">
      <formula>$D$22</formula>
    </cfRule>
    <cfRule type="cellIs" dxfId="5" priority="4" operator="greaterThan">
      <formula>$D$22</formula>
    </cfRule>
    <cfRule type="cellIs" dxfId="4" priority="5" operator="lessThan">
      <formula>$D$22</formula>
    </cfRule>
  </conditionalFormatting>
  <conditionalFormatting sqref="G36">
    <cfRule type="cellIs" dxfId="3" priority="16" operator="lessThan">
      <formula>#REF!</formula>
    </cfRule>
    <cfRule type="cellIs" dxfId="2" priority="17" operator="greaterThan">
      <formula>#REF!</formula>
    </cfRule>
  </conditionalFormatting>
  <conditionalFormatting sqref="G37">
    <cfRule type="cellIs" dxfId="1" priority="18" operator="lessThan">
      <formula>#REF!</formula>
    </cfRule>
    <cfRule type="cellIs" dxfId="0" priority="19" operator="greaterThan">
      <formula>#REF!</formula>
    </cfRule>
  </conditionalFormatting>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F8" sqref="F8"/>
    </sheetView>
  </sheetViews>
  <sheetFormatPr baseColWidth="10" defaultColWidth="8.83203125" defaultRowHeight="14" outlineLevelRow="1" outlineLevelCol="1" x14ac:dyDescent="0"/>
  <cols>
    <col min="1" max="1" width="30.1640625" style="87" bestFit="1" customWidth="1"/>
    <col min="2" max="2" width="10.1640625" style="87" hidden="1" customWidth="1" outlineLevel="1"/>
    <col min="3" max="3" width="12.1640625" style="87" hidden="1" customWidth="1" outlineLevel="1"/>
    <col min="4" max="4" width="16.5" style="87" bestFit="1" customWidth="1" collapsed="1"/>
    <col min="5" max="5" width="10.5" style="87" hidden="1" customWidth="1" outlineLevel="1"/>
    <col min="6" max="6" width="16.5" style="87" bestFit="1" customWidth="1" collapsed="1"/>
    <col min="7" max="7" width="10.5" style="87" hidden="1" customWidth="1" outlineLevel="1"/>
    <col min="8" max="8" width="17.5" style="87" bestFit="1" customWidth="1" collapsed="1"/>
    <col min="9" max="9" width="10.5" style="87" hidden="1" customWidth="1" outlineLevel="1"/>
    <col min="10" max="10" width="8.83203125" style="87" collapsed="1"/>
    <col min="11" max="12" width="8.83203125" style="87"/>
    <col min="13" max="13" width="14.6640625" style="87" customWidth="1"/>
    <col min="14" max="14" width="16.5" style="87" customWidth="1"/>
    <col min="15" max="15" width="20" style="87" bestFit="1" customWidth="1"/>
    <col min="16" max="256" width="8.83203125" style="87"/>
    <col min="257" max="257" width="30.1640625" style="87" bestFit="1" customWidth="1"/>
    <col min="258" max="258" width="10.1640625" style="87" customWidth="1"/>
    <col min="259" max="259" width="12.1640625" style="87" customWidth="1"/>
    <col min="260" max="260" width="16.5" style="87" bestFit="1" customWidth="1"/>
    <col min="261" max="261" width="10.5" style="87" customWidth="1"/>
    <col min="262" max="262" width="16.5" style="87" bestFit="1" customWidth="1"/>
    <col min="263" max="263" width="10.5" style="87" customWidth="1"/>
    <col min="264" max="264" width="17.5" style="87" bestFit="1" customWidth="1"/>
    <col min="265" max="265" width="10.5" style="87" customWidth="1"/>
    <col min="266" max="512" width="8.83203125" style="87"/>
    <col min="513" max="513" width="30.1640625" style="87" bestFit="1" customWidth="1"/>
    <col min="514" max="514" width="10.1640625" style="87" customWidth="1"/>
    <col min="515" max="515" width="12.1640625" style="87" customWidth="1"/>
    <col min="516" max="516" width="16.5" style="87" bestFit="1" customWidth="1"/>
    <col min="517" max="517" width="10.5" style="87" customWidth="1"/>
    <col min="518" max="518" width="16.5" style="87" bestFit="1" customWidth="1"/>
    <col min="519" max="519" width="10.5" style="87" customWidth="1"/>
    <col min="520" max="520" width="17.5" style="87" bestFit="1" customWidth="1"/>
    <col min="521" max="521" width="10.5" style="87" customWidth="1"/>
    <col min="522" max="768" width="8.83203125" style="87"/>
    <col min="769" max="769" width="30.1640625" style="87" bestFit="1" customWidth="1"/>
    <col min="770" max="770" width="10.1640625" style="87" customWidth="1"/>
    <col min="771" max="771" width="12.1640625" style="87" customWidth="1"/>
    <col min="772" max="772" width="16.5" style="87" bestFit="1" customWidth="1"/>
    <col min="773" max="773" width="10.5" style="87" customWidth="1"/>
    <col min="774" max="774" width="16.5" style="87" bestFit="1" customWidth="1"/>
    <col min="775" max="775" width="10.5" style="87" customWidth="1"/>
    <col min="776" max="776" width="17.5" style="87" bestFit="1" customWidth="1"/>
    <col min="777" max="777" width="10.5" style="87" customWidth="1"/>
    <col min="778" max="1024" width="8.83203125" style="87"/>
    <col min="1025" max="1025" width="30.1640625" style="87" bestFit="1" customWidth="1"/>
    <col min="1026" max="1026" width="10.1640625" style="87" customWidth="1"/>
    <col min="1027" max="1027" width="12.1640625" style="87" customWidth="1"/>
    <col min="1028" max="1028" width="16.5" style="87" bestFit="1" customWidth="1"/>
    <col min="1029" max="1029" width="10.5" style="87" customWidth="1"/>
    <col min="1030" max="1030" width="16.5" style="87" bestFit="1" customWidth="1"/>
    <col min="1031" max="1031" width="10.5" style="87" customWidth="1"/>
    <col min="1032" max="1032" width="17.5" style="87" bestFit="1" customWidth="1"/>
    <col min="1033" max="1033" width="10.5" style="87" customWidth="1"/>
    <col min="1034" max="1280" width="8.83203125" style="87"/>
    <col min="1281" max="1281" width="30.1640625" style="87" bestFit="1" customWidth="1"/>
    <col min="1282" max="1282" width="10.1640625" style="87" customWidth="1"/>
    <col min="1283" max="1283" width="12.1640625" style="87" customWidth="1"/>
    <col min="1284" max="1284" width="16.5" style="87" bestFit="1" customWidth="1"/>
    <col min="1285" max="1285" width="10.5" style="87" customWidth="1"/>
    <col min="1286" max="1286" width="16.5" style="87" bestFit="1" customWidth="1"/>
    <col min="1287" max="1287" width="10.5" style="87" customWidth="1"/>
    <col min="1288" max="1288" width="17.5" style="87" bestFit="1" customWidth="1"/>
    <col min="1289" max="1289" width="10.5" style="87" customWidth="1"/>
    <col min="1290" max="1536" width="8.83203125" style="87"/>
    <col min="1537" max="1537" width="30.1640625" style="87" bestFit="1" customWidth="1"/>
    <col min="1538" max="1538" width="10.1640625" style="87" customWidth="1"/>
    <col min="1539" max="1539" width="12.1640625" style="87" customWidth="1"/>
    <col min="1540" max="1540" width="16.5" style="87" bestFit="1" customWidth="1"/>
    <col min="1541" max="1541" width="10.5" style="87" customWidth="1"/>
    <col min="1542" max="1542" width="16.5" style="87" bestFit="1" customWidth="1"/>
    <col min="1543" max="1543" width="10.5" style="87" customWidth="1"/>
    <col min="1544" max="1544" width="17.5" style="87" bestFit="1" customWidth="1"/>
    <col min="1545" max="1545" width="10.5" style="87" customWidth="1"/>
    <col min="1546" max="1792" width="8.83203125" style="87"/>
    <col min="1793" max="1793" width="30.1640625" style="87" bestFit="1" customWidth="1"/>
    <col min="1794" max="1794" width="10.1640625" style="87" customWidth="1"/>
    <col min="1795" max="1795" width="12.1640625" style="87" customWidth="1"/>
    <col min="1796" max="1796" width="16.5" style="87" bestFit="1" customWidth="1"/>
    <col min="1797" max="1797" width="10.5" style="87" customWidth="1"/>
    <col min="1798" max="1798" width="16.5" style="87" bestFit="1" customWidth="1"/>
    <col min="1799" max="1799" width="10.5" style="87" customWidth="1"/>
    <col min="1800" max="1800" width="17.5" style="87" bestFit="1" customWidth="1"/>
    <col min="1801" max="1801" width="10.5" style="87" customWidth="1"/>
    <col min="1802" max="2048" width="8.83203125" style="87"/>
    <col min="2049" max="2049" width="30.1640625" style="87" bestFit="1" customWidth="1"/>
    <col min="2050" max="2050" width="10.1640625" style="87" customWidth="1"/>
    <col min="2051" max="2051" width="12.1640625" style="87" customWidth="1"/>
    <col min="2052" max="2052" width="16.5" style="87" bestFit="1" customWidth="1"/>
    <col min="2053" max="2053" width="10.5" style="87" customWidth="1"/>
    <col min="2054" max="2054" width="16.5" style="87" bestFit="1" customWidth="1"/>
    <col min="2055" max="2055" width="10.5" style="87" customWidth="1"/>
    <col min="2056" max="2056" width="17.5" style="87" bestFit="1" customWidth="1"/>
    <col min="2057" max="2057" width="10.5" style="87" customWidth="1"/>
    <col min="2058" max="2304" width="8.83203125" style="87"/>
    <col min="2305" max="2305" width="30.1640625" style="87" bestFit="1" customWidth="1"/>
    <col min="2306" max="2306" width="10.1640625" style="87" customWidth="1"/>
    <col min="2307" max="2307" width="12.1640625" style="87" customWidth="1"/>
    <col min="2308" max="2308" width="16.5" style="87" bestFit="1" customWidth="1"/>
    <col min="2309" max="2309" width="10.5" style="87" customWidth="1"/>
    <col min="2310" max="2310" width="16.5" style="87" bestFit="1" customWidth="1"/>
    <col min="2311" max="2311" width="10.5" style="87" customWidth="1"/>
    <col min="2312" max="2312" width="17.5" style="87" bestFit="1" customWidth="1"/>
    <col min="2313" max="2313" width="10.5" style="87" customWidth="1"/>
    <col min="2314" max="2560" width="8.83203125" style="87"/>
    <col min="2561" max="2561" width="30.1640625" style="87" bestFit="1" customWidth="1"/>
    <col min="2562" max="2562" width="10.1640625" style="87" customWidth="1"/>
    <col min="2563" max="2563" width="12.1640625" style="87" customWidth="1"/>
    <col min="2564" max="2564" width="16.5" style="87" bestFit="1" customWidth="1"/>
    <col min="2565" max="2565" width="10.5" style="87" customWidth="1"/>
    <col min="2566" max="2566" width="16.5" style="87" bestFit="1" customWidth="1"/>
    <col min="2567" max="2567" width="10.5" style="87" customWidth="1"/>
    <col min="2568" max="2568" width="17.5" style="87" bestFit="1" customWidth="1"/>
    <col min="2569" max="2569" width="10.5" style="87" customWidth="1"/>
    <col min="2570" max="2816" width="8.83203125" style="87"/>
    <col min="2817" max="2817" width="30.1640625" style="87" bestFit="1" customWidth="1"/>
    <col min="2818" max="2818" width="10.1640625" style="87" customWidth="1"/>
    <col min="2819" max="2819" width="12.1640625" style="87" customWidth="1"/>
    <col min="2820" max="2820" width="16.5" style="87" bestFit="1" customWidth="1"/>
    <col min="2821" max="2821" width="10.5" style="87" customWidth="1"/>
    <col min="2822" max="2822" width="16.5" style="87" bestFit="1" customWidth="1"/>
    <col min="2823" max="2823" width="10.5" style="87" customWidth="1"/>
    <col min="2824" max="2824" width="17.5" style="87" bestFit="1" customWidth="1"/>
    <col min="2825" max="2825" width="10.5" style="87" customWidth="1"/>
    <col min="2826" max="3072" width="8.83203125" style="87"/>
    <col min="3073" max="3073" width="30.1640625" style="87" bestFit="1" customWidth="1"/>
    <col min="3074" max="3074" width="10.1640625" style="87" customWidth="1"/>
    <col min="3075" max="3075" width="12.1640625" style="87" customWidth="1"/>
    <col min="3076" max="3076" width="16.5" style="87" bestFit="1" customWidth="1"/>
    <col min="3077" max="3077" width="10.5" style="87" customWidth="1"/>
    <col min="3078" max="3078" width="16.5" style="87" bestFit="1" customWidth="1"/>
    <col min="3079" max="3079" width="10.5" style="87" customWidth="1"/>
    <col min="3080" max="3080" width="17.5" style="87" bestFit="1" customWidth="1"/>
    <col min="3081" max="3081" width="10.5" style="87" customWidth="1"/>
    <col min="3082" max="3328" width="8.83203125" style="87"/>
    <col min="3329" max="3329" width="30.1640625" style="87" bestFit="1" customWidth="1"/>
    <col min="3330" max="3330" width="10.1640625" style="87" customWidth="1"/>
    <col min="3331" max="3331" width="12.1640625" style="87" customWidth="1"/>
    <col min="3332" max="3332" width="16.5" style="87" bestFit="1" customWidth="1"/>
    <col min="3333" max="3333" width="10.5" style="87" customWidth="1"/>
    <col min="3334" max="3334" width="16.5" style="87" bestFit="1" customWidth="1"/>
    <col min="3335" max="3335" width="10.5" style="87" customWidth="1"/>
    <col min="3336" max="3336" width="17.5" style="87" bestFit="1" customWidth="1"/>
    <col min="3337" max="3337" width="10.5" style="87" customWidth="1"/>
    <col min="3338" max="3584" width="8.83203125" style="87"/>
    <col min="3585" max="3585" width="30.1640625" style="87" bestFit="1" customWidth="1"/>
    <col min="3586" max="3586" width="10.1640625" style="87" customWidth="1"/>
    <col min="3587" max="3587" width="12.1640625" style="87" customWidth="1"/>
    <col min="3588" max="3588" width="16.5" style="87" bestFit="1" customWidth="1"/>
    <col min="3589" max="3589" width="10.5" style="87" customWidth="1"/>
    <col min="3590" max="3590" width="16.5" style="87" bestFit="1" customWidth="1"/>
    <col min="3591" max="3591" width="10.5" style="87" customWidth="1"/>
    <col min="3592" max="3592" width="17.5" style="87" bestFit="1" customWidth="1"/>
    <col min="3593" max="3593" width="10.5" style="87" customWidth="1"/>
    <col min="3594" max="3840" width="8.83203125" style="87"/>
    <col min="3841" max="3841" width="30.1640625" style="87" bestFit="1" customWidth="1"/>
    <col min="3842" max="3842" width="10.1640625" style="87" customWidth="1"/>
    <col min="3843" max="3843" width="12.1640625" style="87" customWidth="1"/>
    <col min="3844" max="3844" width="16.5" style="87" bestFit="1" customWidth="1"/>
    <col min="3845" max="3845" width="10.5" style="87" customWidth="1"/>
    <col min="3846" max="3846" width="16.5" style="87" bestFit="1" customWidth="1"/>
    <col min="3847" max="3847" width="10.5" style="87" customWidth="1"/>
    <col min="3848" max="3848" width="17.5" style="87" bestFit="1" customWidth="1"/>
    <col min="3849" max="3849" width="10.5" style="87" customWidth="1"/>
    <col min="3850" max="4096" width="8.83203125" style="87"/>
    <col min="4097" max="4097" width="30.1640625" style="87" bestFit="1" customWidth="1"/>
    <col min="4098" max="4098" width="10.1640625" style="87" customWidth="1"/>
    <col min="4099" max="4099" width="12.1640625" style="87" customWidth="1"/>
    <col min="4100" max="4100" width="16.5" style="87" bestFit="1" customWidth="1"/>
    <col min="4101" max="4101" width="10.5" style="87" customWidth="1"/>
    <col min="4102" max="4102" width="16.5" style="87" bestFit="1" customWidth="1"/>
    <col min="4103" max="4103" width="10.5" style="87" customWidth="1"/>
    <col min="4104" max="4104" width="17.5" style="87" bestFit="1" customWidth="1"/>
    <col min="4105" max="4105" width="10.5" style="87" customWidth="1"/>
    <col min="4106" max="4352" width="8.83203125" style="87"/>
    <col min="4353" max="4353" width="30.1640625" style="87" bestFit="1" customWidth="1"/>
    <col min="4354" max="4354" width="10.1640625" style="87" customWidth="1"/>
    <col min="4355" max="4355" width="12.1640625" style="87" customWidth="1"/>
    <col min="4356" max="4356" width="16.5" style="87" bestFit="1" customWidth="1"/>
    <col min="4357" max="4357" width="10.5" style="87" customWidth="1"/>
    <col min="4358" max="4358" width="16.5" style="87" bestFit="1" customWidth="1"/>
    <col min="4359" max="4359" width="10.5" style="87" customWidth="1"/>
    <col min="4360" max="4360" width="17.5" style="87" bestFit="1" customWidth="1"/>
    <col min="4361" max="4361" width="10.5" style="87" customWidth="1"/>
    <col min="4362" max="4608" width="8.83203125" style="87"/>
    <col min="4609" max="4609" width="30.1640625" style="87" bestFit="1" customWidth="1"/>
    <col min="4610" max="4610" width="10.1640625" style="87" customWidth="1"/>
    <col min="4611" max="4611" width="12.1640625" style="87" customWidth="1"/>
    <col min="4612" max="4612" width="16.5" style="87" bestFit="1" customWidth="1"/>
    <col min="4613" max="4613" width="10.5" style="87" customWidth="1"/>
    <col min="4614" max="4614" width="16.5" style="87" bestFit="1" customWidth="1"/>
    <col min="4615" max="4615" width="10.5" style="87" customWidth="1"/>
    <col min="4616" max="4616" width="17.5" style="87" bestFit="1" customWidth="1"/>
    <col min="4617" max="4617" width="10.5" style="87" customWidth="1"/>
    <col min="4618" max="4864" width="8.83203125" style="87"/>
    <col min="4865" max="4865" width="30.1640625" style="87" bestFit="1" customWidth="1"/>
    <col min="4866" max="4866" width="10.1640625" style="87" customWidth="1"/>
    <col min="4867" max="4867" width="12.1640625" style="87" customWidth="1"/>
    <col min="4868" max="4868" width="16.5" style="87" bestFit="1" customWidth="1"/>
    <col min="4869" max="4869" width="10.5" style="87" customWidth="1"/>
    <col min="4870" max="4870" width="16.5" style="87" bestFit="1" customWidth="1"/>
    <col min="4871" max="4871" width="10.5" style="87" customWidth="1"/>
    <col min="4872" max="4872" width="17.5" style="87" bestFit="1" customWidth="1"/>
    <col min="4873" max="4873" width="10.5" style="87" customWidth="1"/>
    <col min="4874" max="5120" width="8.83203125" style="87"/>
    <col min="5121" max="5121" width="30.1640625" style="87" bestFit="1" customWidth="1"/>
    <col min="5122" max="5122" width="10.1640625" style="87" customWidth="1"/>
    <col min="5123" max="5123" width="12.1640625" style="87" customWidth="1"/>
    <col min="5124" max="5124" width="16.5" style="87" bestFit="1" customWidth="1"/>
    <col min="5125" max="5125" width="10.5" style="87" customWidth="1"/>
    <col min="5126" max="5126" width="16.5" style="87" bestFit="1" customWidth="1"/>
    <col min="5127" max="5127" width="10.5" style="87" customWidth="1"/>
    <col min="5128" max="5128" width="17.5" style="87" bestFit="1" customWidth="1"/>
    <col min="5129" max="5129" width="10.5" style="87" customWidth="1"/>
    <col min="5130" max="5376" width="8.83203125" style="87"/>
    <col min="5377" max="5377" width="30.1640625" style="87" bestFit="1" customWidth="1"/>
    <col min="5378" max="5378" width="10.1640625" style="87" customWidth="1"/>
    <col min="5379" max="5379" width="12.1640625" style="87" customWidth="1"/>
    <col min="5380" max="5380" width="16.5" style="87" bestFit="1" customWidth="1"/>
    <col min="5381" max="5381" width="10.5" style="87" customWidth="1"/>
    <col min="5382" max="5382" width="16.5" style="87" bestFit="1" customWidth="1"/>
    <col min="5383" max="5383" width="10.5" style="87" customWidth="1"/>
    <col min="5384" max="5384" width="17.5" style="87" bestFit="1" customWidth="1"/>
    <col min="5385" max="5385" width="10.5" style="87" customWidth="1"/>
    <col min="5386" max="5632" width="8.83203125" style="87"/>
    <col min="5633" max="5633" width="30.1640625" style="87" bestFit="1" customWidth="1"/>
    <col min="5634" max="5634" width="10.1640625" style="87" customWidth="1"/>
    <col min="5635" max="5635" width="12.1640625" style="87" customWidth="1"/>
    <col min="5636" max="5636" width="16.5" style="87" bestFit="1" customWidth="1"/>
    <col min="5637" max="5637" width="10.5" style="87" customWidth="1"/>
    <col min="5638" max="5638" width="16.5" style="87" bestFit="1" customWidth="1"/>
    <col min="5639" max="5639" width="10.5" style="87" customWidth="1"/>
    <col min="5640" max="5640" width="17.5" style="87" bestFit="1" customWidth="1"/>
    <col min="5641" max="5641" width="10.5" style="87" customWidth="1"/>
    <col min="5642" max="5888" width="8.83203125" style="87"/>
    <col min="5889" max="5889" width="30.1640625" style="87" bestFit="1" customWidth="1"/>
    <col min="5890" max="5890" width="10.1640625" style="87" customWidth="1"/>
    <col min="5891" max="5891" width="12.1640625" style="87" customWidth="1"/>
    <col min="5892" max="5892" width="16.5" style="87" bestFit="1" customWidth="1"/>
    <col min="5893" max="5893" width="10.5" style="87" customWidth="1"/>
    <col min="5894" max="5894" width="16.5" style="87" bestFit="1" customWidth="1"/>
    <col min="5895" max="5895" width="10.5" style="87" customWidth="1"/>
    <col min="5896" max="5896" width="17.5" style="87" bestFit="1" customWidth="1"/>
    <col min="5897" max="5897" width="10.5" style="87" customWidth="1"/>
    <col min="5898" max="6144" width="8.83203125" style="87"/>
    <col min="6145" max="6145" width="30.1640625" style="87" bestFit="1" customWidth="1"/>
    <col min="6146" max="6146" width="10.1640625" style="87" customWidth="1"/>
    <col min="6147" max="6147" width="12.1640625" style="87" customWidth="1"/>
    <col min="6148" max="6148" width="16.5" style="87" bestFit="1" customWidth="1"/>
    <col min="6149" max="6149" width="10.5" style="87" customWidth="1"/>
    <col min="6150" max="6150" width="16.5" style="87" bestFit="1" customWidth="1"/>
    <col min="6151" max="6151" width="10.5" style="87" customWidth="1"/>
    <col min="6152" max="6152" width="17.5" style="87" bestFit="1" customWidth="1"/>
    <col min="6153" max="6153" width="10.5" style="87" customWidth="1"/>
    <col min="6154" max="6400" width="8.83203125" style="87"/>
    <col min="6401" max="6401" width="30.1640625" style="87" bestFit="1" customWidth="1"/>
    <col min="6402" max="6402" width="10.1640625" style="87" customWidth="1"/>
    <col min="6403" max="6403" width="12.1640625" style="87" customWidth="1"/>
    <col min="6404" max="6404" width="16.5" style="87" bestFit="1" customWidth="1"/>
    <col min="6405" max="6405" width="10.5" style="87" customWidth="1"/>
    <col min="6406" max="6406" width="16.5" style="87" bestFit="1" customWidth="1"/>
    <col min="6407" max="6407" width="10.5" style="87" customWidth="1"/>
    <col min="6408" max="6408" width="17.5" style="87" bestFit="1" customWidth="1"/>
    <col min="6409" max="6409" width="10.5" style="87" customWidth="1"/>
    <col min="6410" max="6656" width="8.83203125" style="87"/>
    <col min="6657" max="6657" width="30.1640625" style="87" bestFit="1" customWidth="1"/>
    <col min="6658" max="6658" width="10.1640625" style="87" customWidth="1"/>
    <col min="6659" max="6659" width="12.1640625" style="87" customWidth="1"/>
    <col min="6660" max="6660" width="16.5" style="87" bestFit="1" customWidth="1"/>
    <col min="6661" max="6661" width="10.5" style="87" customWidth="1"/>
    <col min="6662" max="6662" width="16.5" style="87" bestFit="1" customWidth="1"/>
    <col min="6663" max="6663" width="10.5" style="87" customWidth="1"/>
    <col min="6664" max="6664" width="17.5" style="87" bestFit="1" customWidth="1"/>
    <col min="6665" max="6665" width="10.5" style="87" customWidth="1"/>
    <col min="6666" max="6912" width="8.83203125" style="87"/>
    <col min="6913" max="6913" width="30.1640625" style="87" bestFit="1" customWidth="1"/>
    <col min="6914" max="6914" width="10.1640625" style="87" customWidth="1"/>
    <col min="6915" max="6915" width="12.1640625" style="87" customWidth="1"/>
    <col min="6916" max="6916" width="16.5" style="87" bestFit="1" customWidth="1"/>
    <col min="6917" max="6917" width="10.5" style="87" customWidth="1"/>
    <col min="6918" max="6918" width="16.5" style="87" bestFit="1" customWidth="1"/>
    <col min="6919" max="6919" width="10.5" style="87" customWidth="1"/>
    <col min="6920" max="6920" width="17.5" style="87" bestFit="1" customWidth="1"/>
    <col min="6921" max="6921" width="10.5" style="87" customWidth="1"/>
    <col min="6922" max="7168" width="8.83203125" style="87"/>
    <col min="7169" max="7169" width="30.1640625" style="87" bestFit="1" customWidth="1"/>
    <col min="7170" max="7170" width="10.1640625" style="87" customWidth="1"/>
    <col min="7171" max="7171" width="12.1640625" style="87" customWidth="1"/>
    <col min="7172" max="7172" width="16.5" style="87" bestFit="1" customWidth="1"/>
    <col min="7173" max="7173" width="10.5" style="87" customWidth="1"/>
    <col min="7174" max="7174" width="16.5" style="87" bestFit="1" customWidth="1"/>
    <col min="7175" max="7175" width="10.5" style="87" customWidth="1"/>
    <col min="7176" max="7176" width="17.5" style="87" bestFit="1" customWidth="1"/>
    <col min="7177" max="7177" width="10.5" style="87" customWidth="1"/>
    <col min="7178" max="7424" width="8.83203125" style="87"/>
    <col min="7425" max="7425" width="30.1640625" style="87" bestFit="1" customWidth="1"/>
    <col min="7426" max="7426" width="10.1640625" style="87" customWidth="1"/>
    <col min="7427" max="7427" width="12.1640625" style="87" customWidth="1"/>
    <col min="7428" max="7428" width="16.5" style="87" bestFit="1" customWidth="1"/>
    <col min="7429" max="7429" width="10.5" style="87" customWidth="1"/>
    <col min="7430" max="7430" width="16.5" style="87" bestFit="1" customWidth="1"/>
    <col min="7431" max="7431" width="10.5" style="87" customWidth="1"/>
    <col min="7432" max="7432" width="17.5" style="87" bestFit="1" customWidth="1"/>
    <col min="7433" max="7433" width="10.5" style="87" customWidth="1"/>
    <col min="7434" max="7680" width="8.83203125" style="87"/>
    <col min="7681" max="7681" width="30.1640625" style="87" bestFit="1" customWidth="1"/>
    <col min="7682" max="7682" width="10.1640625" style="87" customWidth="1"/>
    <col min="7683" max="7683" width="12.1640625" style="87" customWidth="1"/>
    <col min="7684" max="7684" width="16.5" style="87" bestFit="1" customWidth="1"/>
    <col min="7685" max="7685" width="10.5" style="87" customWidth="1"/>
    <col min="7686" max="7686" width="16.5" style="87" bestFit="1" customWidth="1"/>
    <col min="7687" max="7687" width="10.5" style="87" customWidth="1"/>
    <col min="7688" max="7688" width="17.5" style="87" bestFit="1" customWidth="1"/>
    <col min="7689" max="7689" width="10.5" style="87" customWidth="1"/>
    <col min="7690" max="7936" width="8.83203125" style="87"/>
    <col min="7937" max="7937" width="30.1640625" style="87" bestFit="1" customWidth="1"/>
    <col min="7938" max="7938" width="10.1640625" style="87" customWidth="1"/>
    <col min="7939" max="7939" width="12.1640625" style="87" customWidth="1"/>
    <col min="7940" max="7940" width="16.5" style="87" bestFit="1" customWidth="1"/>
    <col min="7941" max="7941" width="10.5" style="87" customWidth="1"/>
    <col min="7942" max="7942" width="16.5" style="87" bestFit="1" customWidth="1"/>
    <col min="7943" max="7943" width="10.5" style="87" customWidth="1"/>
    <col min="7944" max="7944" width="17.5" style="87" bestFit="1" customWidth="1"/>
    <col min="7945" max="7945" width="10.5" style="87" customWidth="1"/>
    <col min="7946" max="8192" width="8.83203125" style="87"/>
    <col min="8193" max="8193" width="30.1640625" style="87" bestFit="1" customWidth="1"/>
    <col min="8194" max="8194" width="10.1640625" style="87" customWidth="1"/>
    <col min="8195" max="8195" width="12.1640625" style="87" customWidth="1"/>
    <col min="8196" max="8196" width="16.5" style="87" bestFit="1" customWidth="1"/>
    <col min="8197" max="8197" width="10.5" style="87" customWidth="1"/>
    <col min="8198" max="8198" width="16.5" style="87" bestFit="1" customWidth="1"/>
    <col min="8199" max="8199" width="10.5" style="87" customWidth="1"/>
    <col min="8200" max="8200" width="17.5" style="87" bestFit="1" customWidth="1"/>
    <col min="8201" max="8201" width="10.5" style="87" customWidth="1"/>
    <col min="8202" max="8448" width="8.83203125" style="87"/>
    <col min="8449" max="8449" width="30.1640625" style="87" bestFit="1" customWidth="1"/>
    <col min="8450" max="8450" width="10.1640625" style="87" customWidth="1"/>
    <col min="8451" max="8451" width="12.1640625" style="87" customWidth="1"/>
    <col min="8452" max="8452" width="16.5" style="87" bestFit="1" customWidth="1"/>
    <col min="8453" max="8453" width="10.5" style="87" customWidth="1"/>
    <col min="8454" max="8454" width="16.5" style="87" bestFit="1" customWidth="1"/>
    <col min="8455" max="8455" width="10.5" style="87" customWidth="1"/>
    <col min="8456" max="8456" width="17.5" style="87" bestFit="1" customWidth="1"/>
    <col min="8457" max="8457" width="10.5" style="87" customWidth="1"/>
    <col min="8458" max="8704" width="8.83203125" style="87"/>
    <col min="8705" max="8705" width="30.1640625" style="87" bestFit="1" customWidth="1"/>
    <col min="8706" max="8706" width="10.1640625" style="87" customWidth="1"/>
    <col min="8707" max="8707" width="12.1640625" style="87" customWidth="1"/>
    <col min="8708" max="8708" width="16.5" style="87" bestFit="1" customWidth="1"/>
    <col min="8709" max="8709" width="10.5" style="87" customWidth="1"/>
    <col min="8710" max="8710" width="16.5" style="87" bestFit="1" customWidth="1"/>
    <col min="8711" max="8711" width="10.5" style="87" customWidth="1"/>
    <col min="8712" max="8712" width="17.5" style="87" bestFit="1" customWidth="1"/>
    <col min="8713" max="8713" width="10.5" style="87" customWidth="1"/>
    <col min="8714" max="8960" width="8.83203125" style="87"/>
    <col min="8961" max="8961" width="30.1640625" style="87" bestFit="1" customWidth="1"/>
    <col min="8962" max="8962" width="10.1640625" style="87" customWidth="1"/>
    <col min="8963" max="8963" width="12.1640625" style="87" customWidth="1"/>
    <col min="8964" max="8964" width="16.5" style="87" bestFit="1" customWidth="1"/>
    <col min="8965" max="8965" width="10.5" style="87" customWidth="1"/>
    <col min="8966" max="8966" width="16.5" style="87" bestFit="1" customWidth="1"/>
    <col min="8967" max="8967" width="10.5" style="87" customWidth="1"/>
    <col min="8968" max="8968" width="17.5" style="87" bestFit="1" customWidth="1"/>
    <col min="8969" max="8969" width="10.5" style="87" customWidth="1"/>
    <col min="8970" max="9216" width="8.83203125" style="87"/>
    <col min="9217" max="9217" width="30.1640625" style="87" bestFit="1" customWidth="1"/>
    <col min="9218" max="9218" width="10.1640625" style="87" customWidth="1"/>
    <col min="9219" max="9219" width="12.1640625" style="87" customWidth="1"/>
    <col min="9220" max="9220" width="16.5" style="87" bestFit="1" customWidth="1"/>
    <col min="9221" max="9221" width="10.5" style="87" customWidth="1"/>
    <col min="9222" max="9222" width="16.5" style="87" bestFit="1" customWidth="1"/>
    <col min="9223" max="9223" width="10.5" style="87" customWidth="1"/>
    <col min="9224" max="9224" width="17.5" style="87" bestFit="1" customWidth="1"/>
    <col min="9225" max="9225" width="10.5" style="87" customWidth="1"/>
    <col min="9226" max="9472" width="8.83203125" style="87"/>
    <col min="9473" max="9473" width="30.1640625" style="87" bestFit="1" customWidth="1"/>
    <col min="9474" max="9474" width="10.1640625" style="87" customWidth="1"/>
    <col min="9475" max="9475" width="12.1640625" style="87" customWidth="1"/>
    <col min="9476" max="9476" width="16.5" style="87" bestFit="1" customWidth="1"/>
    <col min="9477" max="9477" width="10.5" style="87" customWidth="1"/>
    <col min="9478" max="9478" width="16.5" style="87" bestFit="1" customWidth="1"/>
    <col min="9479" max="9479" width="10.5" style="87" customWidth="1"/>
    <col min="9480" max="9480" width="17.5" style="87" bestFit="1" customWidth="1"/>
    <col min="9481" max="9481" width="10.5" style="87" customWidth="1"/>
    <col min="9482" max="9728" width="8.83203125" style="87"/>
    <col min="9729" max="9729" width="30.1640625" style="87" bestFit="1" customWidth="1"/>
    <col min="9730" max="9730" width="10.1640625" style="87" customWidth="1"/>
    <col min="9731" max="9731" width="12.1640625" style="87" customWidth="1"/>
    <col min="9732" max="9732" width="16.5" style="87" bestFit="1" customWidth="1"/>
    <col min="9733" max="9733" width="10.5" style="87" customWidth="1"/>
    <col min="9734" max="9734" width="16.5" style="87" bestFit="1" customWidth="1"/>
    <col min="9735" max="9735" width="10.5" style="87" customWidth="1"/>
    <col min="9736" max="9736" width="17.5" style="87" bestFit="1" customWidth="1"/>
    <col min="9737" max="9737" width="10.5" style="87" customWidth="1"/>
    <col min="9738" max="9984" width="8.83203125" style="87"/>
    <col min="9985" max="9985" width="30.1640625" style="87" bestFit="1" customWidth="1"/>
    <col min="9986" max="9986" width="10.1640625" style="87" customWidth="1"/>
    <col min="9987" max="9987" width="12.1640625" style="87" customWidth="1"/>
    <col min="9988" max="9988" width="16.5" style="87" bestFit="1" customWidth="1"/>
    <col min="9989" max="9989" width="10.5" style="87" customWidth="1"/>
    <col min="9990" max="9990" width="16.5" style="87" bestFit="1" customWidth="1"/>
    <col min="9991" max="9991" width="10.5" style="87" customWidth="1"/>
    <col min="9992" max="9992" width="17.5" style="87" bestFit="1" customWidth="1"/>
    <col min="9993" max="9993" width="10.5" style="87" customWidth="1"/>
    <col min="9994" max="10240" width="8.83203125" style="87"/>
    <col min="10241" max="10241" width="30.1640625" style="87" bestFit="1" customWidth="1"/>
    <col min="10242" max="10242" width="10.1640625" style="87" customWidth="1"/>
    <col min="10243" max="10243" width="12.1640625" style="87" customWidth="1"/>
    <col min="10244" max="10244" width="16.5" style="87" bestFit="1" customWidth="1"/>
    <col min="10245" max="10245" width="10.5" style="87" customWidth="1"/>
    <col min="10246" max="10246" width="16.5" style="87" bestFit="1" customWidth="1"/>
    <col min="10247" max="10247" width="10.5" style="87" customWidth="1"/>
    <col min="10248" max="10248" width="17.5" style="87" bestFit="1" customWidth="1"/>
    <col min="10249" max="10249" width="10.5" style="87" customWidth="1"/>
    <col min="10250" max="10496" width="8.83203125" style="87"/>
    <col min="10497" max="10497" width="30.1640625" style="87" bestFit="1" customWidth="1"/>
    <col min="10498" max="10498" width="10.1640625" style="87" customWidth="1"/>
    <col min="10499" max="10499" width="12.1640625" style="87" customWidth="1"/>
    <col min="10500" max="10500" width="16.5" style="87" bestFit="1" customWidth="1"/>
    <col min="10501" max="10501" width="10.5" style="87" customWidth="1"/>
    <col min="10502" max="10502" width="16.5" style="87" bestFit="1" customWidth="1"/>
    <col min="10503" max="10503" width="10.5" style="87" customWidth="1"/>
    <col min="10504" max="10504" width="17.5" style="87" bestFit="1" customWidth="1"/>
    <col min="10505" max="10505" width="10.5" style="87" customWidth="1"/>
    <col min="10506" max="10752" width="8.83203125" style="87"/>
    <col min="10753" max="10753" width="30.1640625" style="87" bestFit="1" customWidth="1"/>
    <col min="10754" max="10754" width="10.1640625" style="87" customWidth="1"/>
    <col min="10755" max="10755" width="12.1640625" style="87" customWidth="1"/>
    <col min="10756" max="10756" width="16.5" style="87" bestFit="1" customWidth="1"/>
    <col min="10757" max="10757" width="10.5" style="87" customWidth="1"/>
    <col min="10758" max="10758" width="16.5" style="87" bestFit="1" customWidth="1"/>
    <col min="10759" max="10759" width="10.5" style="87" customWidth="1"/>
    <col min="10760" max="10760" width="17.5" style="87" bestFit="1" customWidth="1"/>
    <col min="10761" max="10761" width="10.5" style="87" customWidth="1"/>
    <col min="10762" max="11008" width="8.83203125" style="87"/>
    <col min="11009" max="11009" width="30.1640625" style="87" bestFit="1" customWidth="1"/>
    <col min="11010" max="11010" width="10.1640625" style="87" customWidth="1"/>
    <col min="11011" max="11011" width="12.1640625" style="87" customWidth="1"/>
    <col min="11012" max="11012" width="16.5" style="87" bestFit="1" customWidth="1"/>
    <col min="11013" max="11013" width="10.5" style="87" customWidth="1"/>
    <col min="11014" max="11014" width="16.5" style="87" bestFit="1" customWidth="1"/>
    <col min="11015" max="11015" width="10.5" style="87" customWidth="1"/>
    <col min="11016" max="11016" width="17.5" style="87" bestFit="1" customWidth="1"/>
    <col min="11017" max="11017" width="10.5" style="87" customWidth="1"/>
    <col min="11018" max="11264" width="8.83203125" style="87"/>
    <col min="11265" max="11265" width="30.1640625" style="87" bestFit="1" customWidth="1"/>
    <col min="11266" max="11266" width="10.1640625" style="87" customWidth="1"/>
    <col min="11267" max="11267" width="12.1640625" style="87" customWidth="1"/>
    <col min="11268" max="11268" width="16.5" style="87" bestFit="1" customWidth="1"/>
    <col min="11269" max="11269" width="10.5" style="87" customWidth="1"/>
    <col min="11270" max="11270" width="16.5" style="87" bestFit="1" customWidth="1"/>
    <col min="11271" max="11271" width="10.5" style="87" customWidth="1"/>
    <col min="11272" max="11272" width="17.5" style="87" bestFit="1" customWidth="1"/>
    <col min="11273" max="11273" width="10.5" style="87" customWidth="1"/>
    <col min="11274" max="11520" width="8.83203125" style="87"/>
    <col min="11521" max="11521" width="30.1640625" style="87" bestFit="1" customWidth="1"/>
    <col min="11522" max="11522" width="10.1640625" style="87" customWidth="1"/>
    <col min="11523" max="11523" width="12.1640625" style="87" customWidth="1"/>
    <col min="11524" max="11524" width="16.5" style="87" bestFit="1" customWidth="1"/>
    <col min="11525" max="11525" width="10.5" style="87" customWidth="1"/>
    <col min="11526" max="11526" width="16.5" style="87" bestFit="1" customWidth="1"/>
    <col min="11527" max="11527" width="10.5" style="87" customWidth="1"/>
    <col min="11528" max="11528" width="17.5" style="87" bestFit="1" customWidth="1"/>
    <col min="11529" max="11529" width="10.5" style="87" customWidth="1"/>
    <col min="11530" max="11776" width="8.83203125" style="87"/>
    <col min="11777" max="11777" width="30.1640625" style="87" bestFit="1" customWidth="1"/>
    <col min="11778" max="11778" width="10.1640625" style="87" customWidth="1"/>
    <col min="11779" max="11779" width="12.1640625" style="87" customWidth="1"/>
    <col min="11780" max="11780" width="16.5" style="87" bestFit="1" customWidth="1"/>
    <col min="11781" max="11781" width="10.5" style="87" customWidth="1"/>
    <col min="11782" max="11782" width="16.5" style="87" bestFit="1" customWidth="1"/>
    <col min="11783" max="11783" width="10.5" style="87" customWidth="1"/>
    <col min="11784" max="11784" width="17.5" style="87" bestFit="1" customWidth="1"/>
    <col min="11785" max="11785" width="10.5" style="87" customWidth="1"/>
    <col min="11786" max="12032" width="8.83203125" style="87"/>
    <col min="12033" max="12033" width="30.1640625" style="87" bestFit="1" customWidth="1"/>
    <col min="12034" max="12034" width="10.1640625" style="87" customWidth="1"/>
    <col min="12035" max="12035" width="12.1640625" style="87" customWidth="1"/>
    <col min="12036" max="12036" width="16.5" style="87" bestFit="1" customWidth="1"/>
    <col min="12037" max="12037" width="10.5" style="87" customWidth="1"/>
    <col min="12038" max="12038" width="16.5" style="87" bestFit="1" customWidth="1"/>
    <col min="12039" max="12039" width="10.5" style="87" customWidth="1"/>
    <col min="12040" max="12040" width="17.5" style="87" bestFit="1" customWidth="1"/>
    <col min="12041" max="12041" width="10.5" style="87" customWidth="1"/>
    <col min="12042" max="12288" width="8.83203125" style="87"/>
    <col min="12289" max="12289" width="30.1640625" style="87" bestFit="1" customWidth="1"/>
    <col min="12290" max="12290" width="10.1640625" style="87" customWidth="1"/>
    <col min="12291" max="12291" width="12.1640625" style="87" customWidth="1"/>
    <col min="12292" max="12292" width="16.5" style="87" bestFit="1" customWidth="1"/>
    <col min="12293" max="12293" width="10.5" style="87" customWidth="1"/>
    <col min="12294" max="12294" width="16.5" style="87" bestFit="1" customWidth="1"/>
    <col min="12295" max="12295" width="10.5" style="87" customWidth="1"/>
    <col min="12296" max="12296" width="17.5" style="87" bestFit="1" customWidth="1"/>
    <col min="12297" max="12297" width="10.5" style="87" customWidth="1"/>
    <col min="12298" max="12544" width="8.83203125" style="87"/>
    <col min="12545" max="12545" width="30.1640625" style="87" bestFit="1" customWidth="1"/>
    <col min="12546" max="12546" width="10.1640625" style="87" customWidth="1"/>
    <col min="12547" max="12547" width="12.1640625" style="87" customWidth="1"/>
    <col min="12548" max="12548" width="16.5" style="87" bestFit="1" customWidth="1"/>
    <col min="12549" max="12549" width="10.5" style="87" customWidth="1"/>
    <col min="12550" max="12550" width="16.5" style="87" bestFit="1" customWidth="1"/>
    <col min="12551" max="12551" width="10.5" style="87" customWidth="1"/>
    <col min="12552" max="12552" width="17.5" style="87" bestFit="1" customWidth="1"/>
    <col min="12553" max="12553" width="10.5" style="87" customWidth="1"/>
    <col min="12554" max="12800" width="8.83203125" style="87"/>
    <col min="12801" max="12801" width="30.1640625" style="87" bestFit="1" customWidth="1"/>
    <col min="12802" max="12802" width="10.1640625" style="87" customWidth="1"/>
    <col min="12803" max="12803" width="12.1640625" style="87" customWidth="1"/>
    <col min="12804" max="12804" width="16.5" style="87" bestFit="1" customWidth="1"/>
    <col min="12805" max="12805" width="10.5" style="87" customWidth="1"/>
    <col min="12806" max="12806" width="16.5" style="87" bestFit="1" customWidth="1"/>
    <col min="12807" max="12807" width="10.5" style="87" customWidth="1"/>
    <col min="12808" max="12808" width="17.5" style="87" bestFit="1" customWidth="1"/>
    <col min="12809" max="12809" width="10.5" style="87" customWidth="1"/>
    <col min="12810" max="13056" width="8.83203125" style="87"/>
    <col min="13057" max="13057" width="30.1640625" style="87" bestFit="1" customWidth="1"/>
    <col min="13058" max="13058" width="10.1640625" style="87" customWidth="1"/>
    <col min="13059" max="13059" width="12.1640625" style="87" customWidth="1"/>
    <col min="13060" max="13060" width="16.5" style="87" bestFit="1" customWidth="1"/>
    <col min="13061" max="13061" width="10.5" style="87" customWidth="1"/>
    <col min="13062" max="13062" width="16.5" style="87" bestFit="1" customWidth="1"/>
    <col min="13063" max="13063" width="10.5" style="87" customWidth="1"/>
    <col min="13064" max="13064" width="17.5" style="87" bestFit="1" customWidth="1"/>
    <col min="13065" max="13065" width="10.5" style="87" customWidth="1"/>
    <col min="13066" max="13312" width="8.83203125" style="87"/>
    <col min="13313" max="13313" width="30.1640625" style="87" bestFit="1" customWidth="1"/>
    <col min="13314" max="13314" width="10.1640625" style="87" customWidth="1"/>
    <col min="13315" max="13315" width="12.1640625" style="87" customWidth="1"/>
    <col min="13316" max="13316" width="16.5" style="87" bestFit="1" customWidth="1"/>
    <col min="13317" max="13317" width="10.5" style="87" customWidth="1"/>
    <col min="13318" max="13318" width="16.5" style="87" bestFit="1" customWidth="1"/>
    <col min="13319" max="13319" width="10.5" style="87" customWidth="1"/>
    <col min="13320" max="13320" width="17.5" style="87" bestFit="1" customWidth="1"/>
    <col min="13321" max="13321" width="10.5" style="87" customWidth="1"/>
    <col min="13322" max="13568" width="8.83203125" style="87"/>
    <col min="13569" max="13569" width="30.1640625" style="87" bestFit="1" customWidth="1"/>
    <col min="13570" max="13570" width="10.1640625" style="87" customWidth="1"/>
    <col min="13571" max="13571" width="12.1640625" style="87" customWidth="1"/>
    <col min="13572" max="13572" width="16.5" style="87" bestFit="1" customWidth="1"/>
    <col min="13573" max="13573" width="10.5" style="87" customWidth="1"/>
    <col min="13574" max="13574" width="16.5" style="87" bestFit="1" customWidth="1"/>
    <col min="13575" max="13575" width="10.5" style="87" customWidth="1"/>
    <col min="13576" max="13576" width="17.5" style="87" bestFit="1" customWidth="1"/>
    <col min="13577" max="13577" width="10.5" style="87" customWidth="1"/>
    <col min="13578" max="13824" width="8.83203125" style="87"/>
    <col min="13825" max="13825" width="30.1640625" style="87" bestFit="1" customWidth="1"/>
    <col min="13826" max="13826" width="10.1640625" style="87" customWidth="1"/>
    <col min="13827" max="13827" width="12.1640625" style="87" customWidth="1"/>
    <col min="13828" max="13828" width="16.5" style="87" bestFit="1" customWidth="1"/>
    <col min="13829" max="13829" width="10.5" style="87" customWidth="1"/>
    <col min="13830" max="13830" width="16.5" style="87" bestFit="1" customWidth="1"/>
    <col min="13831" max="13831" width="10.5" style="87" customWidth="1"/>
    <col min="13832" max="13832" width="17.5" style="87" bestFit="1" customWidth="1"/>
    <col min="13833" max="13833" width="10.5" style="87" customWidth="1"/>
    <col min="13834" max="14080" width="8.83203125" style="87"/>
    <col min="14081" max="14081" width="30.1640625" style="87" bestFit="1" customWidth="1"/>
    <col min="14082" max="14082" width="10.1640625" style="87" customWidth="1"/>
    <col min="14083" max="14083" width="12.1640625" style="87" customWidth="1"/>
    <col min="14084" max="14084" width="16.5" style="87" bestFit="1" customWidth="1"/>
    <col min="14085" max="14085" width="10.5" style="87" customWidth="1"/>
    <col min="14086" max="14086" width="16.5" style="87" bestFit="1" customWidth="1"/>
    <col min="14087" max="14087" width="10.5" style="87" customWidth="1"/>
    <col min="14088" max="14088" width="17.5" style="87" bestFit="1" customWidth="1"/>
    <col min="14089" max="14089" width="10.5" style="87" customWidth="1"/>
    <col min="14090" max="14336" width="8.83203125" style="87"/>
    <col min="14337" max="14337" width="30.1640625" style="87" bestFit="1" customWidth="1"/>
    <col min="14338" max="14338" width="10.1640625" style="87" customWidth="1"/>
    <col min="14339" max="14339" width="12.1640625" style="87" customWidth="1"/>
    <col min="14340" max="14340" width="16.5" style="87" bestFit="1" customWidth="1"/>
    <col min="14341" max="14341" width="10.5" style="87" customWidth="1"/>
    <col min="14342" max="14342" width="16.5" style="87" bestFit="1" customWidth="1"/>
    <col min="14343" max="14343" width="10.5" style="87" customWidth="1"/>
    <col min="14344" max="14344" width="17.5" style="87" bestFit="1" customWidth="1"/>
    <col min="14345" max="14345" width="10.5" style="87" customWidth="1"/>
    <col min="14346" max="14592" width="8.83203125" style="87"/>
    <col min="14593" max="14593" width="30.1640625" style="87" bestFit="1" customWidth="1"/>
    <col min="14594" max="14594" width="10.1640625" style="87" customWidth="1"/>
    <col min="14595" max="14595" width="12.1640625" style="87" customWidth="1"/>
    <col min="14596" max="14596" width="16.5" style="87" bestFit="1" customWidth="1"/>
    <col min="14597" max="14597" width="10.5" style="87" customWidth="1"/>
    <col min="14598" max="14598" width="16.5" style="87" bestFit="1" customWidth="1"/>
    <col min="14599" max="14599" width="10.5" style="87" customWidth="1"/>
    <col min="14600" max="14600" width="17.5" style="87" bestFit="1" customWidth="1"/>
    <col min="14601" max="14601" width="10.5" style="87" customWidth="1"/>
    <col min="14602" max="14848" width="8.83203125" style="87"/>
    <col min="14849" max="14849" width="30.1640625" style="87" bestFit="1" customWidth="1"/>
    <col min="14850" max="14850" width="10.1640625" style="87" customWidth="1"/>
    <col min="14851" max="14851" width="12.1640625" style="87" customWidth="1"/>
    <col min="14852" max="14852" width="16.5" style="87" bestFit="1" customWidth="1"/>
    <col min="14853" max="14853" width="10.5" style="87" customWidth="1"/>
    <col min="14854" max="14854" width="16.5" style="87" bestFit="1" customWidth="1"/>
    <col min="14855" max="14855" width="10.5" style="87" customWidth="1"/>
    <col min="14856" max="14856" width="17.5" style="87" bestFit="1" customWidth="1"/>
    <col min="14857" max="14857" width="10.5" style="87" customWidth="1"/>
    <col min="14858" max="15104" width="8.83203125" style="87"/>
    <col min="15105" max="15105" width="30.1640625" style="87" bestFit="1" customWidth="1"/>
    <col min="15106" max="15106" width="10.1640625" style="87" customWidth="1"/>
    <col min="15107" max="15107" width="12.1640625" style="87" customWidth="1"/>
    <col min="15108" max="15108" width="16.5" style="87" bestFit="1" customWidth="1"/>
    <col min="15109" max="15109" width="10.5" style="87" customWidth="1"/>
    <col min="15110" max="15110" width="16.5" style="87" bestFit="1" customWidth="1"/>
    <col min="15111" max="15111" width="10.5" style="87" customWidth="1"/>
    <col min="15112" max="15112" width="17.5" style="87" bestFit="1" customWidth="1"/>
    <col min="15113" max="15113" width="10.5" style="87" customWidth="1"/>
    <col min="15114" max="15360" width="8.83203125" style="87"/>
    <col min="15361" max="15361" width="30.1640625" style="87" bestFit="1" customWidth="1"/>
    <col min="15362" max="15362" width="10.1640625" style="87" customWidth="1"/>
    <col min="15363" max="15363" width="12.1640625" style="87" customWidth="1"/>
    <col min="15364" max="15364" width="16.5" style="87" bestFit="1" customWidth="1"/>
    <col min="15365" max="15365" width="10.5" style="87" customWidth="1"/>
    <col min="15366" max="15366" width="16.5" style="87" bestFit="1" customWidth="1"/>
    <col min="15367" max="15367" width="10.5" style="87" customWidth="1"/>
    <col min="15368" max="15368" width="17.5" style="87" bestFit="1" customWidth="1"/>
    <col min="15369" max="15369" width="10.5" style="87" customWidth="1"/>
    <col min="15370" max="15616" width="8.83203125" style="87"/>
    <col min="15617" max="15617" width="30.1640625" style="87" bestFit="1" customWidth="1"/>
    <col min="15618" max="15618" width="10.1640625" style="87" customWidth="1"/>
    <col min="15619" max="15619" width="12.1640625" style="87" customWidth="1"/>
    <col min="15620" max="15620" width="16.5" style="87" bestFit="1" customWidth="1"/>
    <col min="15621" max="15621" width="10.5" style="87" customWidth="1"/>
    <col min="15622" max="15622" width="16.5" style="87" bestFit="1" customWidth="1"/>
    <col min="15623" max="15623" width="10.5" style="87" customWidth="1"/>
    <col min="15624" max="15624" width="17.5" style="87" bestFit="1" customWidth="1"/>
    <col min="15625" max="15625" width="10.5" style="87" customWidth="1"/>
    <col min="15626" max="15872" width="8.83203125" style="87"/>
    <col min="15873" max="15873" width="30.1640625" style="87" bestFit="1" customWidth="1"/>
    <col min="15874" max="15874" width="10.1640625" style="87" customWidth="1"/>
    <col min="15875" max="15875" width="12.1640625" style="87" customWidth="1"/>
    <col min="15876" max="15876" width="16.5" style="87" bestFit="1" customWidth="1"/>
    <col min="15877" max="15877" width="10.5" style="87" customWidth="1"/>
    <col min="15878" max="15878" width="16.5" style="87" bestFit="1" customWidth="1"/>
    <col min="15879" max="15879" width="10.5" style="87" customWidth="1"/>
    <col min="15880" max="15880" width="17.5" style="87" bestFit="1" customWidth="1"/>
    <col min="15881" max="15881" width="10.5" style="87" customWidth="1"/>
    <col min="15882" max="16128" width="8.83203125" style="87"/>
    <col min="16129" max="16129" width="30.1640625" style="87" bestFit="1" customWidth="1"/>
    <col min="16130" max="16130" width="10.1640625" style="87" customWidth="1"/>
    <col min="16131" max="16131" width="12.1640625" style="87" customWidth="1"/>
    <col min="16132" max="16132" width="16.5" style="87" bestFit="1" customWidth="1"/>
    <col min="16133" max="16133" width="10.5" style="87" customWidth="1"/>
    <col min="16134" max="16134" width="16.5" style="87" bestFit="1" customWidth="1"/>
    <col min="16135" max="16135" width="10.5" style="87" customWidth="1"/>
    <col min="16136" max="16136" width="17.5" style="87" bestFit="1" customWidth="1"/>
    <col min="16137" max="16137" width="10.5" style="87" customWidth="1"/>
    <col min="16138" max="16384" width="8.83203125" style="87"/>
  </cols>
  <sheetData>
    <row r="1" spans="1:9" customFormat="1">
      <c r="A1" s="307" t="s">
        <v>102</v>
      </c>
      <c r="B1" s="307"/>
      <c r="C1" s="307"/>
      <c r="D1" s="307"/>
      <c r="E1" s="86"/>
      <c r="F1" s="95">
        <v>12</v>
      </c>
      <c r="G1" s="86"/>
      <c r="H1" s="86"/>
      <c r="I1" s="87"/>
    </row>
    <row r="2" spans="1:9" customFormat="1">
      <c r="B2" s="98"/>
      <c r="C2" s="98"/>
      <c r="D2" s="88" t="s">
        <v>103</v>
      </c>
      <c r="E2" s="99"/>
      <c r="F2" s="88" t="s">
        <v>104</v>
      </c>
      <c r="G2" s="99"/>
      <c r="H2" s="88" t="s">
        <v>105</v>
      </c>
    </row>
    <row r="3" spans="1:9" customFormat="1">
      <c r="A3" s="89" t="s">
        <v>106</v>
      </c>
      <c r="B3" s="98"/>
      <c r="C3" s="98"/>
      <c r="D3" s="104">
        <f>'Client''s funnel analysis'!C4</f>
        <v>10000</v>
      </c>
      <c r="E3" s="98"/>
      <c r="F3" s="104">
        <f>'Client''s funnel analysis'!C5</f>
        <v>100</v>
      </c>
      <c r="G3" s="98"/>
      <c r="H3" s="104">
        <f>'Client''s funnel analysis'!C6</f>
        <v>2</v>
      </c>
    </row>
    <row r="4" spans="1:9" customFormat="1">
      <c r="A4" s="89" t="s">
        <v>107</v>
      </c>
      <c r="B4" s="98"/>
      <c r="C4" s="98"/>
      <c r="D4" s="104">
        <f>'Client''s funnel analysis'!E4</f>
        <v>4000</v>
      </c>
      <c r="E4" s="98"/>
      <c r="F4" s="104">
        <f>'Client''s funnel analysis'!E5</f>
        <v>80</v>
      </c>
      <c r="G4" s="98"/>
      <c r="H4" s="104">
        <f>'Client''s funnel analysis'!E6</f>
        <v>4</v>
      </c>
    </row>
    <row r="5" spans="1:9" customFormat="1">
      <c r="A5" s="89" t="s">
        <v>108</v>
      </c>
      <c r="B5" s="98"/>
      <c r="C5" s="98"/>
      <c r="D5" s="91">
        <f>(D4-D3)/$F$1</f>
        <v>-500</v>
      </c>
      <c r="E5" s="98"/>
      <c r="F5" s="91">
        <f>(F4-F3)/$F$1</f>
        <v>-1.6666666666666667</v>
      </c>
      <c r="G5" s="98"/>
      <c r="H5" s="90">
        <f>(H4-H3)/$F$1</f>
        <v>0.16666666666666666</v>
      </c>
    </row>
    <row r="6" spans="1:9" customFormat="1">
      <c r="A6" s="89" t="s">
        <v>109</v>
      </c>
      <c r="B6" s="98"/>
      <c r="C6" s="98"/>
      <c r="D6" s="92">
        <f>D5/(D3+D5)</f>
        <v>-5.2631578947368418E-2</v>
      </c>
      <c r="E6" s="98"/>
      <c r="F6" s="92">
        <f>F5/(F5+F3)</f>
        <v>-1.6949152542372881E-2</v>
      </c>
      <c r="G6" s="98"/>
      <c r="H6" s="92">
        <f>H5/(H5+H3)</f>
        <v>7.6923076923076927E-2</v>
      </c>
    </row>
    <row r="7" spans="1:9" customFormat="1">
      <c r="A7" s="89" t="s">
        <v>110</v>
      </c>
      <c r="B7" s="98"/>
      <c r="C7" s="98"/>
      <c r="D7" s="92">
        <f>D4/D3-1</f>
        <v>-0.6</v>
      </c>
      <c r="E7" s="98"/>
      <c r="F7" s="92">
        <f>F4/F3-1</f>
        <v>-0.19999999999999996</v>
      </c>
      <c r="G7" s="98"/>
      <c r="H7" s="92">
        <f>H4/H3-1</f>
        <v>1</v>
      </c>
    </row>
    <row r="8" spans="1:9" customFormat="1">
      <c r="A8" s="89"/>
      <c r="B8" s="98"/>
      <c r="C8" s="98"/>
      <c r="D8" s="92"/>
      <c r="E8" s="98"/>
      <c r="F8" s="92"/>
      <c r="G8" s="98"/>
      <c r="H8" s="92"/>
    </row>
    <row r="9" spans="1:9" customFormat="1">
      <c r="A9" s="89"/>
      <c r="B9" s="98"/>
      <c r="C9" s="98"/>
      <c r="E9" s="98"/>
      <c r="G9" s="98"/>
      <c r="H9" s="146"/>
    </row>
    <row r="10" spans="1:9" customFormat="1">
      <c r="A10" s="311" t="s">
        <v>111</v>
      </c>
      <c r="B10" s="311"/>
      <c r="C10" s="311"/>
      <c r="D10" s="311"/>
      <c r="E10" s="312" t="str">
        <f>IF(D6+F6+H6&gt;100%,"FASTEST",IF(D6+F6+H6&gt;50%,"FASTER","FAST"))</f>
        <v>FAST</v>
      </c>
      <c r="F10" s="312"/>
      <c r="G10" s="312"/>
      <c r="H10" s="312"/>
      <c r="I10" s="312"/>
    </row>
    <row r="11" spans="1:9" customFormat="1">
      <c r="B11" s="98"/>
      <c r="C11" s="98"/>
      <c r="D11" s="313" t="s">
        <v>112</v>
      </c>
      <c r="E11" s="313"/>
      <c r="F11" s="314" t="s">
        <v>113</v>
      </c>
      <c r="G11" s="314"/>
      <c r="H11" s="315" t="s">
        <v>114</v>
      </c>
      <c r="I11" s="315"/>
    </row>
    <row r="12" spans="1:9" customFormat="1">
      <c r="A12" s="89"/>
      <c r="B12" s="96" t="s">
        <v>115</v>
      </c>
      <c r="C12" s="96" t="s">
        <v>116</v>
      </c>
      <c r="D12" s="93" t="s">
        <v>117</v>
      </c>
      <c r="E12" s="96" t="s">
        <v>118</v>
      </c>
      <c r="F12" s="93" t="s">
        <v>117</v>
      </c>
      <c r="G12" s="96" t="s">
        <v>118</v>
      </c>
      <c r="H12" s="93" t="s">
        <v>117</v>
      </c>
      <c r="I12" s="96" t="s">
        <v>118</v>
      </c>
    </row>
    <row r="13" spans="1:9" customFormat="1">
      <c r="A13" s="89" t="s">
        <v>119</v>
      </c>
      <c r="B13" s="97" t="s">
        <v>120</v>
      </c>
      <c r="C13" s="97" t="s">
        <v>121</v>
      </c>
      <c r="D13" s="94" t="s">
        <v>122</v>
      </c>
      <c r="E13" s="97" t="s">
        <v>123</v>
      </c>
      <c r="F13" s="94" t="s">
        <v>122</v>
      </c>
      <c r="G13" s="97" t="s">
        <v>123</v>
      </c>
      <c r="H13" s="94" t="s">
        <v>122</v>
      </c>
      <c r="I13" s="97" t="s">
        <v>123</v>
      </c>
    </row>
    <row r="14" spans="1:9" customFormat="1">
      <c r="A14" s="85" t="s">
        <v>124</v>
      </c>
      <c r="B14" s="98"/>
      <c r="C14" s="98"/>
      <c r="E14" s="98"/>
      <c r="G14" s="98"/>
      <c r="I14" s="98"/>
    </row>
    <row r="15" spans="1:9" customFormat="1">
      <c r="A15" s="113" t="s">
        <v>135</v>
      </c>
      <c r="B15" s="107">
        <v>0.5</v>
      </c>
      <c r="C15" s="107">
        <v>100</v>
      </c>
      <c r="D15" s="108">
        <v>10</v>
      </c>
      <c r="E15" s="109">
        <f>B15*C15*D15</f>
        <v>500</v>
      </c>
      <c r="F15" s="108">
        <v>20</v>
      </c>
      <c r="G15" s="109">
        <f>B15*C15*F15</f>
        <v>1000</v>
      </c>
      <c r="H15" s="108">
        <v>30</v>
      </c>
      <c r="I15" s="110">
        <f>B15*C15*H15</f>
        <v>1500</v>
      </c>
    </row>
    <row r="16" spans="1:9" customFormat="1">
      <c r="A16" s="113" t="s">
        <v>136</v>
      </c>
      <c r="B16" s="107">
        <v>1</v>
      </c>
      <c r="C16" s="107">
        <v>75</v>
      </c>
      <c r="D16" s="108">
        <v>3</v>
      </c>
      <c r="E16" s="109">
        <f>B16*C16*D16</f>
        <v>225</v>
      </c>
      <c r="F16" s="108">
        <v>6</v>
      </c>
      <c r="G16" s="109">
        <f>B16*C16*F16</f>
        <v>450</v>
      </c>
      <c r="H16" s="108">
        <v>9</v>
      </c>
      <c r="I16" s="110">
        <f>B16*C16*H16</f>
        <v>675</v>
      </c>
    </row>
    <row r="17" spans="1:10" customFormat="1">
      <c r="A17" s="113" t="s">
        <v>137</v>
      </c>
      <c r="B17" s="114">
        <v>0.2</v>
      </c>
      <c r="C17" s="107">
        <v>25</v>
      </c>
      <c r="D17" s="108">
        <v>25</v>
      </c>
      <c r="E17" s="109">
        <f>B17*C17*D17</f>
        <v>125</v>
      </c>
      <c r="F17" s="108">
        <v>50</v>
      </c>
      <c r="G17" s="109">
        <f>B17*C17*F17</f>
        <v>250</v>
      </c>
      <c r="H17" s="108">
        <v>75</v>
      </c>
      <c r="I17" s="110">
        <f>B17*C17*H17</f>
        <v>375</v>
      </c>
    </row>
    <row r="18" spans="1:10" customFormat="1">
      <c r="A18" s="85" t="s">
        <v>125</v>
      </c>
      <c r="B18" s="107"/>
      <c r="C18" s="107"/>
      <c r="D18" s="108"/>
      <c r="E18" s="109"/>
      <c r="F18" s="108"/>
      <c r="G18" s="109"/>
      <c r="H18" s="108"/>
      <c r="I18" s="110"/>
    </row>
    <row r="19" spans="1:10" customFormat="1">
      <c r="A19" s="113" t="s">
        <v>138</v>
      </c>
      <c r="B19" s="107">
        <v>3</v>
      </c>
      <c r="C19" s="107">
        <v>100</v>
      </c>
      <c r="D19" s="108">
        <v>1</v>
      </c>
      <c r="E19" s="109">
        <f>B19*C19*D19</f>
        <v>300</v>
      </c>
      <c r="F19" s="108">
        <v>2</v>
      </c>
      <c r="G19" s="109">
        <f>B19*C19*F19</f>
        <v>600</v>
      </c>
      <c r="H19" s="108">
        <v>3</v>
      </c>
      <c r="I19" s="110">
        <f>B19*C19*H19</f>
        <v>900</v>
      </c>
    </row>
    <row r="20" spans="1:10" customFormat="1">
      <c r="A20" s="113" t="s">
        <v>139</v>
      </c>
      <c r="B20" s="107">
        <v>2</v>
      </c>
      <c r="C20" s="107">
        <v>50</v>
      </c>
      <c r="D20" s="108">
        <v>2</v>
      </c>
      <c r="E20" s="109">
        <f>B20*C20*D20</f>
        <v>200</v>
      </c>
      <c r="F20" s="108">
        <v>3</v>
      </c>
      <c r="G20" s="109">
        <f>B20*C20*F20</f>
        <v>300</v>
      </c>
      <c r="H20" s="108">
        <v>4</v>
      </c>
      <c r="I20" s="110">
        <f>B20*C20*H20</f>
        <v>400</v>
      </c>
    </row>
    <row r="21" spans="1:10" customFormat="1">
      <c r="A21" s="113" t="s">
        <v>140</v>
      </c>
      <c r="B21" s="114">
        <v>0.3</v>
      </c>
      <c r="C21" s="107">
        <v>25</v>
      </c>
      <c r="D21" s="108">
        <v>2</v>
      </c>
      <c r="E21" s="109">
        <f>B21*C21*D21</f>
        <v>15</v>
      </c>
      <c r="F21" s="108">
        <v>6</v>
      </c>
      <c r="G21" s="109">
        <f>B21*C21*F21</f>
        <v>45</v>
      </c>
      <c r="H21" s="108">
        <v>12</v>
      </c>
      <c r="I21" s="110">
        <f>B21*C21*H21</f>
        <v>90</v>
      </c>
    </row>
    <row r="22" spans="1:10" customFormat="1">
      <c r="A22" s="85" t="s">
        <v>126</v>
      </c>
      <c r="B22" s="107"/>
      <c r="C22" s="107"/>
      <c r="D22" s="108"/>
      <c r="E22" s="109"/>
      <c r="F22" s="108"/>
      <c r="G22" s="109"/>
      <c r="H22" s="108"/>
      <c r="I22" s="110"/>
    </row>
    <row r="23" spans="1:10" customFormat="1">
      <c r="A23" s="113" t="s">
        <v>141</v>
      </c>
      <c r="B23" s="107">
        <v>3</v>
      </c>
      <c r="C23" s="107">
        <v>75</v>
      </c>
      <c r="D23" s="108">
        <v>0.25</v>
      </c>
      <c r="E23" s="109">
        <f>B23*C23*D23</f>
        <v>56.25</v>
      </c>
      <c r="F23" s="108">
        <v>0.5</v>
      </c>
      <c r="G23" s="109">
        <f>B23*C23*F23</f>
        <v>112.5</v>
      </c>
      <c r="H23" s="108">
        <v>1</v>
      </c>
      <c r="I23" s="110">
        <f>B23*C23*H23</f>
        <v>225</v>
      </c>
    </row>
    <row r="24" spans="1:10" customFormat="1">
      <c r="A24" s="113" t="s">
        <v>142</v>
      </c>
      <c r="B24" s="107">
        <v>1</v>
      </c>
      <c r="C24" s="107">
        <v>50</v>
      </c>
      <c r="D24" s="108">
        <v>0</v>
      </c>
      <c r="E24" s="109">
        <f>B24*C24*D24</f>
        <v>0</v>
      </c>
      <c r="F24" s="108">
        <v>1</v>
      </c>
      <c r="G24" s="109">
        <f>B24*C24*F24</f>
        <v>50</v>
      </c>
      <c r="H24" s="108">
        <v>2</v>
      </c>
      <c r="I24" s="110">
        <f>B24*C24*H24</f>
        <v>100</v>
      </c>
    </row>
    <row r="25" spans="1:10" customFormat="1">
      <c r="A25" s="113" t="s">
        <v>143</v>
      </c>
      <c r="B25" s="107">
        <v>2</v>
      </c>
      <c r="C25" s="107">
        <v>75</v>
      </c>
      <c r="D25" s="108">
        <v>1</v>
      </c>
      <c r="E25" s="109">
        <f>B25*C25*D25</f>
        <v>150</v>
      </c>
      <c r="F25" s="108">
        <v>1</v>
      </c>
      <c r="G25" s="109">
        <f>B25*C25*F25</f>
        <v>150</v>
      </c>
      <c r="H25" s="108">
        <v>2</v>
      </c>
      <c r="I25" s="110">
        <f>B25*C25*H25</f>
        <v>300</v>
      </c>
    </row>
    <row r="26" spans="1:10" customFormat="1">
      <c r="A26" t="s">
        <v>127</v>
      </c>
      <c r="B26" s="107"/>
      <c r="C26" s="107"/>
      <c r="D26" s="111">
        <v>300</v>
      </c>
      <c r="E26" s="107">
        <v>400</v>
      </c>
      <c r="F26" s="111">
        <v>700</v>
      </c>
      <c r="G26" s="107">
        <v>1000</v>
      </c>
      <c r="H26" s="111">
        <v>1000</v>
      </c>
      <c r="I26" s="107">
        <v>1500</v>
      </c>
    </row>
    <row r="27" spans="1:10" customFormat="1" ht="22.5" customHeight="1">
      <c r="A27" t="s">
        <v>128</v>
      </c>
      <c r="B27" s="107">
        <v>1</v>
      </c>
      <c r="C27" s="107">
        <v>100</v>
      </c>
      <c r="D27" s="108">
        <v>4</v>
      </c>
      <c r="E27" s="109">
        <f>B27*C27*D27</f>
        <v>400</v>
      </c>
      <c r="F27" s="108">
        <v>8</v>
      </c>
      <c r="G27" s="109">
        <f>B27*C27*F27</f>
        <v>800</v>
      </c>
      <c r="H27" s="108">
        <v>12</v>
      </c>
      <c r="I27" s="110">
        <f>B27*C27*H27</f>
        <v>1200</v>
      </c>
    </row>
    <row r="28" spans="1:10" ht="18" customHeight="1">
      <c r="A28" s="98" t="s">
        <v>129</v>
      </c>
      <c r="B28" s="110"/>
      <c r="C28" s="110"/>
      <c r="D28" s="110"/>
      <c r="E28" s="110">
        <f>SUM(E15:E27)*'Plan &amp; Cost -original'!$B$34</f>
        <v>237.125</v>
      </c>
      <c r="F28" s="110"/>
      <c r="G28" s="110">
        <f>SUM(G15:G27)*'Plan &amp; Cost -original'!$B$34</f>
        <v>475.75</v>
      </c>
      <c r="H28" s="110"/>
      <c r="I28" s="110">
        <f>SUM(I15:I27)*'Plan &amp; Cost -original'!$B$34</f>
        <v>726.5</v>
      </c>
    </row>
    <row r="29" spans="1:10">
      <c r="A29" s="99" t="s">
        <v>118</v>
      </c>
      <c r="B29" s="110"/>
      <c r="C29" s="110"/>
      <c r="D29" s="110"/>
      <c r="E29" s="110">
        <f>SUM(E15:E28)</f>
        <v>2608.375</v>
      </c>
      <c r="F29" s="110"/>
      <c r="G29" s="110">
        <f>SUM(G15:G28)</f>
        <v>5233.25</v>
      </c>
      <c r="H29" s="110"/>
      <c r="I29" s="110">
        <f>SUM(I15:I28)</f>
        <v>7991.5</v>
      </c>
    </row>
    <row r="30" spans="1:10" hidden="1" outlineLevel="1">
      <c r="A30" s="99" t="s">
        <v>130</v>
      </c>
      <c r="B30" s="110"/>
      <c r="C30" s="110"/>
      <c r="D30" s="110"/>
      <c r="E30" s="110">
        <f>E29*'Plan &amp; Cost -original'!$B$33</f>
        <v>521.67500000000007</v>
      </c>
      <c r="F30" s="110"/>
      <c r="G30" s="110">
        <f>G29*'Plan &amp; Cost -original'!$B$33</f>
        <v>1046.6500000000001</v>
      </c>
      <c r="H30" s="110"/>
      <c r="I30" s="110">
        <f>I29*'Plan &amp; Cost -original'!$B$33</f>
        <v>1598.3000000000002</v>
      </c>
    </row>
    <row r="31" spans="1:10" customFormat="1" hidden="1" outlineLevel="1">
      <c r="A31" s="99" t="s">
        <v>131</v>
      </c>
      <c r="B31" s="98"/>
      <c r="C31" s="98"/>
      <c r="D31" s="105"/>
      <c r="E31" s="100">
        <f>SUM(E29:E30)</f>
        <v>3130.05</v>
      </c>
      <c r="F31" s="106"/>
      <c r="G31" s="100">
        <f>SUM(G29:G30)</f>
        <v>6279.9</v>
      </c>
      <c r="H31" s="106"/>
      <c r="I31" s="100">
        <f>SUM(I29:I30)</f>
        <v>9589.7999999999993</v>
      </c>
      <c r="J31" s="87" t="s">
        <v>134</v>
      </c>
    </row>
    <row r="32" spans="1:10" hidden="1" outlineLevel="1"/>
    <row r="33" spans="1:9" hidden="1" outlineLevel="1">
      <c r="A33" s="102" t="s">
        <v>132</v>
      </c>
      <c r="B33" s="103">
        <v>0.2</v>
      </c>
      <c r="C33" s="98"/>
      <c r="D33" s="98"/>
      <c r="E33" s="98"/>
      <c r="F33" s="98"/>
      <c r="G33" s="98"/>
      <c r="H33" s="98"/>
      <c r="I33" s="98"/>
    </row>
    <row r="34" spans="1:9" hidden="1" outlineLevel="1">
      <c r="A34" s="102" t="s">
        <v>133</v>
      </c>
      <c r="B34" s="103">
        <v>0.1</v>
      </c>
      <c r="C34" s="98"/>
      <c r="D34" s="98"/>
      <c r="E34" s="98"/>
      <c r="F34" s="98"/>
      <c r="G34" s="98"/>
      <c r="H34" s="98"/>
      <c r="I34" s="98"/>
    </row>
    <row r="35" spans="1:9" collapsed="1"/>
  </sheetData>
  <mergeCells count="6">
    <mergeCell ref="A1:D1"/>
    <mergeCell ref="A10:D10"/>
    <mergeCell ref="E10:I10"/>
    <mergeCell ref="D11:E11"/>
    <mergeCell ref="F11:G11"/>
    <mergeCell ref="H11:I11"/>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Agency finances (Grader)</vt:lpstr>
      <vt:lpstr>Client's funnel analysis</vt:lpstr>
      <vt:lpstr>Value analysis</vt:lpstr>
      <vt:lpstr>Inbound Marketing Goals</vt:lpstr>
      <vt:lpstr>Pricing</vt:lpstr>
      <vt:lpstr>Plan</vt:lpstr>
      <vt:lpstr>Timeline of results (old)</vt:lpstr>
      <vt:lpstr>Timeline of results</vt:lpstr>
      <vt:lpstr>Plan &amp; Cost -original</vt:lpstr>
    </vt:vector>
  </TitlesOfParts>
  <Company>Hubspot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Arjun Moorthy</dc:creator>
  <cp:lastModifiedBy>Al Biedrzycki</cp:lastModifiedBy>
  <dcterms:created xsi:type="dcterms:W3CDTF">2013-08-16T01:32:04Z</dcterms:created>
  <dcterms:modified xsi:type="dcterms:W3CDTF">2014-04-15T13:30:06Z</dcterms:modified>
</cp:coreProperties>
</file>