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20" windowHeight="7320" tabRatio="707" activeTab="0"/>
  </bookViews>
  <sheets>
    <sheet name="Back" sheetId="1" r:id="rId1"/>
    <sheet name="Cash Budget" sheetId="2" r:id="rId2"/>
    <sheet name="Balance Sheet" sheetId="3" r:id="rId3"/>
    <sheet name="Income Statement" sheetId="4" r:id="rId4"/>
    <sheet name="Ratio Analysis" sheetId="5" r:id="rId5"/>
    <sheet name="Statement of Cash Flows" sheetId="6" r:id="rId6"/>
    <sheet name="Sources and Uses" sheetId="7" r:id="rId7"/>
    <sheet name="History1" sheetId="8" r:id="rId8"/>
    <sheet name="History2" sheetId="9" r:id="rId9"/>
    <sheet name="Leverage" sheetId="10" r:id="rId10"/>
    <sheet name="Du Pont" sheetId="11" r:id="rId11"/>
  </sheets>
  <definedNames/>
  <calcPr fullCalcOnLoad="1"/>
</workbook>
</file>

<file path=xl/sharedStrings.xml><?xml version="1.0" encoding="utf-8"?>
<sst xmlns="http://schemas.openxmlformats.org/spreadsheetml/2006/main" count="759" uniqueCount="314">
  <si>
    <t>Cash Budget</t>
  </si>
  <si>
    <t>Sales</t>
  </si>
  <si>
    <t>Cash sales</t>
  </si>
  <si>
    <t>Bank credit card sales</t>
  </si>
  <si>
    <t>Outstanding receivables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</si>
  <si>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</si>
  <si>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</si>
  <si>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</si>
  <si>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</si>
  <si>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</si>
  <si>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</si>
  <si>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</si>
  <si>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</si>
  <si>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</si>
  <si>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</si>
  <si>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</si>
  <si>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</si>
  <si>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Totals</t>
  </si>
  <si>
    <t>Collected in one month</t>
  </si>
  <si>
    <t>Collected in two months</t>
  </si>
  <si>
    <t>Collected in three months</t>
  </si>
  <si>
    <t>Uncollected store credit</t>
  </si>
  <si>
    <t>Interest on securities</t>
  </si>
  <si>
    <t>Total cash inflows</t>
  </si>
  <si>
    <t>Ending inventory</t>
  </si>
  <si>
    <t>Inventory purchases</t>
  </si>
  <si>
    <t>Accounts payable</t>
  </si>
  <si>
    <t>Payment for inventory</t>
  </si>
  <si>
    <t>Sales commissions</t>
  </si>
  <si>
    <t>Salary expense</t>
  </si>
  <si>
    <t xml:space="preserve">Maintenance &amp; other </t>
  </si>
  <si>
    <t>Lease payments</t>
  </si>
  <si>
    <t>Advertising expense</t>
  </si>
  <si>
    <t>Purchase of fixed assets</t>
  </si>
  <si>
    <t>Tax payments</t>
  </si>
  <si>
    <t xml:space="preserve">Interest on short-term credit line </t>
  </si>
  <si>
    <t>Dividend payments</t>
  </si>
  <si>
    <t>Total cash outflows</t>
  </si>
  <si>
    <t>Net cash flow</t>
  </si>
  <si>
    <t>Plus beginning cash balance</t>
  </si>
  <si>
    <t>Unadjusted cash balance</t>
  </si>
  <si>
    <t>Less minimum cash balance</t>
  </si>
  <si>
    <t>Variance from minimum balance</t>
  </si>
  <si>
    <t>Short-term securities</t>
  </si>
  <si>
    <t>Short-term bank loan</t>
  </si>
  <si>
    <t>Cash balance, end of month</t>
  </si>
  <si>
    <t xml:space="preserve"> =========</t>
  </si>
  <si>
    <t>------------------</t>
  </si>
  <si>
    <t>=========</t>
  </si>
  <si>
    <t>-----------------</t>
  </si>
  <si>
    <t>----------------</t>
  </si>
  <si>
    <t>Percent of</t>
  </si>
  <si>
    <t>Income Statement</t>
  </si>
  <si>
    <t>-------------------------------------------------</t>
  </si>
  <si>
    <t>--------------------</t>
  </si>
  <si>
    <t>Cost of goods sold</t>
  </si>
  <si>
    <t>Gross profit</t>
  </si>
  <si>
    <t>Administrative Expenses</t>
  </si>
  <si>
    <t>Lease expense</t>
  </si>
  <si>
    <t>Depreciation expense</t>
  </si>
  <si>
    <t>Maintenance &amp; other expense</t>
  </si>
  <si>
    <t>Total administrative expense</t>
  </si>
  <si>
    <t>EBIT</t>
  </si>
  <si>
    <t>Interest expense</t>
  </si>
  <si>
    <t>Interest income</t>
  </si>
  <si>
    <t>Profit before-tax</t>
  </si>
  <si>
    <t>Income tax     tax rate 26 %</t>
  </si>
  <si>
    <t>Net income</t>
  </si>
  <si>
    <t>==========</t>
  </si>
  <si>
    <t>Dividends</t>
  </si>
  <si>
    <t>Net to retained earnings</t>
  </si>
  <si>
    <t>Dividend per share</t>
  </si>
  <si>
    <t>Earnings per share</t>
  </si>
  <si>
    <t>Balance Sheet</t>
  </si>
  <si>
    <t>Dec. 31</t>
  </si>
  <si>
    <t>Assets</t>
  </si>
  <si>
    <t>Cash</t>
  </si>
  <si>
    <t>Accounts receivable</t>
  </si>
  <si>
    <t>Inventory</t>
  </si>
  <si>
    <t>Total current assets</t>
  </si>
  <si>
    <t>Accumulated depreciation</t>
  </si>
  <si>
    <t>Net fixed assets</t>
  </si>
  <si>
    <t>Total assets</t>
  </si>
  <si>
    <t>Liabilities and Equity Capital</t>
  </si>
  <si>
    <t>Notes payable, short-term loan</t>
  </si>
  <si>
    <t>Current portion of long-term debt</t>
  </si>
  <si>
    <t>Accrued expenses</t>
  </si>
  <si>
    <t>Total</t>
  </si>
  <si>
    <t>Total current liabilities</t>
  </si>
  <si>
    <t>Long-term debt</t>
  </si>
  <si>
    <t>Equity capital</t>
  </si>
  <si>
    <t>Common stock, total par value</t>
  </si>
  <si>
    <t>Capital surplus</t>
  </si>
  <si>
    <t>Retained earnings</t>
  </si>
  <si>
    <t>Total equity capital</t>
  </si>
  <si>
    <t>Total liabilities and equity capital</t>
  </si>
  <si>
    <t>------------------------------------------------------</t>
  </si>
  <si>
    <t>Ratio Analysis</t>
  </si>
  <si>
    <t>---------------------------------------------------</t>
  </si>
  <si>
    <t>---------------------</t>
  </si>
  <si>
    <t>Current ratio</t>
  </si>
  <si>
    <t>Quick ratio</t>
  </si>
  <si>
    <t>Sales / accounts receivable</t>
  </si>
  <si>
    <t>COGS percent of sales</t>
  </si>
  <si>
    <t>COGS / inventory</t>
  </si>
  <si>
    <t>COGS / accounts payable</t>
  </si>
  <si>
    <t>Sales / net working capital</t>
  </si>
  <si>
    <t>EBIT / interest expense</t>
  </si>
  <si>
    <t>Fixed assets / net worth</t>
  </si>
  <si>
    <t>Total debt / net worth</t>
  </si>
  <si>
    <t>Sales / net fixed assets</t>
  </si>
  <si>
    <t>Sales / total assets</t>
  </si>
  <si>
    <t>Depreciation expense / sales</t>
  </si>
  <si>
    <t>Salaries / sales</t>
  </si>
  <si>
    <t xml:space="preserve"> </t>
  </si>
  <si>
    <t xml:space="preserve">Feb </t>
  </si>
  <si>
    <t>-------------------</t>
  </si>
  <si>
    <t>Charge sales</t>
  </si>
  <si>
    <t>Bank card terminal fee</t>
  </si>
  <si>
    <t>Bank card fee on sales</t>
  </si>
  <si>
    <t>Bad debt, bank credit cards</t>
  </si>
  <si>
    <t>Net sales</t>
  </si>
  <si>
    <t>Bad debt, charge accounts</t>
  </si>
  <si>
    <t>Bank card terminal fees</t>
  </si>
  <si>
    <t>Rate of return on total assets</t>
  </si>
  <si>
    <t>Rate of return on equity capital</t>
  </si>
  <si>
    <t>Current assets</t>
  </si>
  <si>
    <t>Current liabilities</t>
  </si>
  <si>
    <t>Quick (acid test) ratio</t>
  </si>
  <si>
    <t xml:space="preserve">Sales </t>
  </si>
  <si>
    <t>Cost of goods sold as % of sales</t>
  </si>
  <si>
    <t>COGS</t>
  </si>
  <si>
    <t>Cost of goods sold / inventory</t>
  </si>
  <si>
    <t xml:space="preserve">       </t>
  </si>
  <si>
    <t>Net working capital</t>
  </si>
  <si>
    <t xml:space="preserve">EBIT </t>
  </si>
  <si>
    <t xml:space="preserve">Fixed assets </t>
  </si>
  <si>
    <t>Net worth</t>
  </si>
  <si>
    <t xml:space="preserve">Total debt </t>
  </si>
  <si>
    <t>Net income after-tax</t>
  </si>
  <si>
    <t>Depreciation expense % of sales</t>
  </si>
  <si>
    <t xml:space="preserve">Depreciation expense </t>
  </si>
  <si>
    <t>Salary expense % of sales</t>
  </si>
  <si>
    <t>Net profit as percent of sales</t>
  </si>
  <si>
    <t>Net profit after-tax</t>
  </si>
  <si>
    <t>Gross fixed assets</t>
  </si>
  <si>
    <t>Statement of Cash Flows</t>
  </si>
  <si>
    <t>Operating activities</t>
  </si>
  <si>
    <t>Net after-tax profit</t>
  </si>
  <si>
    <t xml:space="preserve">Adjustments to reconcile profit with </t>
  </si>
  <si>
    <t>non-cash items</t>
  </si>
  <si>
    <t xml:space="preserve">    </t>
  </si>
  <si>
    <t>Changes in assets and liabilities</t>
  </si>
  <si>
    <t>Net cash provided (used) by operating activities</t>
  </si>
  <si>
    <t>Investing activities</t>
  </si>
  <si>
    <t>Capital expenditures on new fixed asset</t>
  </si>
  <si>
    <t>Net cash provided (used) by investing activities</t>
  </si>
  <si>
    <t>Financing activities</t>
  </si>
  <si>
    <t>Issue of common stock</t>
  </si>
  <si>
    <t>Change in short-term debt, line-of-credit</t>
  </si>
  <si>
    <t>Proceeds from new term loan</t>
  </si>
  <si>
    <t>Principal payments on long-term debt</t>
  </si>
  <si>
    <t>Dividends paid</t>
  </si>
  <si>
    <t>Net cash provided (used) by financing activities</t>
  </si>
  <si>
    <t>Net increase (decrease) in cash and short-term securities</t>
  </si>
  <si>
    <t>Cash and short-term securities, beginning of year</t>
  </si>
  <si>
    <t xml:space="preserve"> end of year</t>
  </si>
  <si>
    <t>Cash and short-term securities, end of year</t>
  </si>
  <si>
    <t>Note: Rounding causes small differences in sums</t>
  </si>
  <si>
    <t>Sources</t>
  </si>
  <si>
    <t>Uses</t>
  </si>
  <si>
    <t>Growth rate in sales for the forecast year</t>
  </si>
  <si>
    <t>Growth rate in sales for the following year</t>
  </si>
  <si>
    <t>Total sales in previous year</t>
  </si>
  <si>
    <t xml:space="preserve">May </t>
  </si>
  <si>
    <t>Cash sales as percent of sales</t>
  </si>
  <si>
    <t>Bank card sales as percent of sales</t>
  </si>
  <si>
    <t>Charge sales as percent of sales</t>
  </si>
  <si>
    <t>Collection schedule for charge sales</t>
  </si>
  <si>
    <t>Non-collectable end of three months</t>
  </si>
  <si>
    <t>Collected one month following sales</t>
  </si>
  <si>
    <t>Collected two months following sales</t>
  </si>
  <si>
    <t>Collected three months following sales</t>
  </si>
  <si>
    <t>Total =</t>
  </si>
  <si>
    <t>Cost of goods sold as percent of sales</t>
  </si>
  <si>
    <t>Forecast year</t>
  </si>
  <si>
    <t>Following year</t>
  </si>
  <si>
    <t>Sales commissions as percent of sales</t>
  </si>
  <si>
    <t>Maintenance &amp; Other expense</t>
  </si>
  <si>
    <t>Total expense for the forecast year</t>
  </si>
  <si>
    <t>Amount paid out in cash</t>
  </si>
  <si>
    <t>Amount added or (subtracted) to (from) accrued expense</t>
  </si>
  <si>
    <t>Bank card terminal fee per $100,000 sales, forecast year</t>
  </si>
  <si>
    <t>Bank card fee as percent of sales</t>
  </si>
  <si>
    <t>Credit losses on bank card sales</t>
  </si>
  <si>
    <t>Dividend per share paid in forecast year</t>
  </si>
  <si>
    <t>Retained earnings, end of previous year</t>
  </si>
  <si>
    <t>paid in equal quarterly amounts each equal to</t>
  </si>
  <si>
    <t>Short-term borrowing on line of credit</t>
  </si>
  <si>
    <t>Short-term investing in money market securities</t>
  </si>
  <si>
    <t>Long-term borrowing on term loan</t>
  </si>
  <si>
    <t>Percent of fixed asset cost paid by term loan</t>
  </si>
  <si>
    <t>Long-term debt at end of previous year</t>
  </si>
  <si>
    <t xml:space="preserve">Jan </t>
  </si>
  <si>
    <t>Payment</t>
  </si>
  <si>
    <t>Interest</t>
  </si>
  <si>
    <t>Principal</t>
  </si>
  <si>
    <t>Balance</t>
  </si>
  <si>
    <t>Cost of new fixed asset, purchase price paid on January 1, forecast year</t>
  </si>
  <si>
    <t>Funds from long-term loan</t>
  </si>
  <si>
    <t>Term, number of years</t>
  </si>
  <si>
    <t>Fixed assets and depreciation expense</t>
  </si>
  <si>
    <t>Dec 31,</t>
  </si>
  <si>
    <t>Asset purchased</t>
  </si>
  <si>
    <t xml:space="preserve">Jan 1, </t>
  </si>
  <si>
    <t>Depreciation expense as % of gross fixed assets</t>
  </si>
  <si>
    <t>Depreciation expense for forecast year</t>
  </si>
  <si>
    <t>Accumulated depreciation      Dec 31,</t>
  </si>
  <si>
    <t>Change in cash and securities</t>
  </si>
  <si>
    <t>Total principal to be repaid = P</t>
  </si>
  <si>
    <t>Number of months to repay = N</t>
  </si>
  <si>
    <t>Interest rate, annual = R</t>
  </si>
  <si>
    <t>Annuity factor = PVIFA = (1 - (!/(! + r)^N))/r</t>
  </si>
  <si>
    <t>Interest rate per month = (! + R)^(1/12) -1 = r</t>
  </si>
  <si>
    <t>Payment per month = P / PVIFA</t>
  </si>
  <si>
    <t>Peer Group</t>
  </si>
  <si>
    <t>Tax on income statement</t>
  </si>
  <si>
    <t>Average</t>
  </si>
  <si>
    <t>`</t>
  </si>
  <si>
    <t xml:space="preserve">        Principal paid in</t>
  </si>
  <si>
    <t xml:space="preserve">         Principal to be paid in</t>
  </si>
  <si>
    <t xml:space="preserve">        Term loan interest paid in</t>
  </si>
  <si>
    <t xml:space="preserve">      Exhibit 1</t>
  </si>
  <si>
    <t>Principal on previous term loan</t>
  </si>
  <si>
    <t>Principal on new term loan</t>
  </si>
  <si>
    <t>Interest on previous term loan</t>
  </si>
  <si>
    <t>Interest on new term loan</t>
  </si>
  <si>
    <t>Repayment schedule for new term loan</t>
  </si>
  <si>
    <t>New long-term</t>
  </si>
  <si>
    <t>debt</t>
  </si>
  <si>
    <t>Previous</t>
  </si>
  <si>
    <t>long-term loan</t>
  </si>
  <si>
    <t>Total long-term debt</t>
  </si>
  <si>
    <t>Management consultant</t>
  </si>
  <si>
    <t>Repayment schedule for previous term loan</t>
  </si>
  <si>
    <t xml:space="preserve">      Exhibit 2</t>
  </si>
  <si>
    <t>Exhibit 3</t>
  </si>
  <si>
    <t xml:space="preserve">               Exhibit 4</t>
  </si>
  <si>
    <t>Interest rates</t>
  </si>
  <si>
    <t>Par value of new stock issued</t>
  </si>
  <si>
    <t>shares at</t>
  </si>
  <si>
    <t>par value</t>
  </si>
  <si>
    <t>Capital surplus, previous year</t>
  </si>
  <si>
    <t>New issue stock price</t>
  </si>
  <si>
    <t>plus</t>
  </si>
  <si>
    <t>Funds from new stock issue</t>
  </si>
  <si>
    <t>Make equal in 4 steps</t>
  </si>
  <si>
    <t>New long-term debt added</t>
  </si>
  <si>
    <t>Previous long-term debt, non-current portion -- refinanced</t>
  </si>
  <si>
    <t>Current portion of previous long-term debt  --  refinanced</t>
  </si>
  <si>
    <t>Term of total long-term debt, in years</t>
  </si>
  <si>
    <t>Statement of Sources and Uses of Funds</t>
  </si>
  <si>
    <t xml:space="preserve">Short-term sources and uses </t>
  </si>
  <si>
    <t>Notes payable, short-term</t>
  </si>
  <si>
    <t>Current portion, long-term debt</t>
  </si>
  <si>
    <t>Net short-term sources less uses</t>
  </si>
  <si>
    <t>Long-term sources and uses</t>
  </si>
  <si>
    <t>Gross building and equipment</t>
  </si>
  <si>
    <t>Long-term debt, long-term portion</t>
  </si>
  <si>
    <t>Par value of common stock</t>
  </si>
  <si>
    <t>Net long-term sources less uses</t>
  </si>
  <si>
    <t>Degrees of Operating and Financial Leverage</t>
  </si>
  <si>
    <t>DOL = (Sales - Variable Operating Costs) / (Sales - Total Operating Costs)</t>
  </si>
  <si>
    <t>Variable costs</t>
  </si>
  <si>
    <t>Bad debt expense</t>
  </si>
  <si>
    <t>Total variable costs</t>
  </si>
  <si>
    <t>Operating costs</t>
  </si>
  <si>
    <t>Admin. Expenses</t>
  </si>
  <si>
    <t>Total operating costs</t>
  </si>
  <si>
    <t>Sales - Variable Costs</t>
  </si>
  <si>
    <t>Sales - Total Costs</t>
  </si>
  <si>
    <t>Degree of Operating Leverage</t>
  </si>
  <si>
    <t>Degree of Financial Leverage</t>
  </si>
  <si>
    <t>Degree of Combined Leverage</t>
  </si>
  <si>
    <t>DuPont Ratio Analysis</t>
  </si>
  <si>
    <t>ROA - Net Profit Margin  x  Total Asset Turnover</t>
  </si>
  <si>
    <t>Net profit</t>
  </si>
  <si>
    <t>Net profit margin</t>
  </si>
  <si>
    <t>Asset turnover</t>
  </si>
  <si>
    <t>ROA = net profit/total assets</t>
  </si>
  <si>
    <t>ROA</t>
  </si>
  <si>
    <t xml:space="preserve">        = profit margin x asset turnover</t>
  </si>
  <si>
    <t>Total assets/equity</t>
  </si>
  <si>
    <t>ROE = TA/equity x profit/TA</t>
  </si>
  <si>
    <t>ROE</t>
  </si>
  <si>
    <t>---------------</t>
  </si>
  <si>
    <t>Par value of common stock, 200,000 shares at $1.00 par value</t>
  </si>
  <si>
    <t xml:space="preserve">  </t>
  </si>
  <si>
    <t>Depreciation</t>
  </si>
  <si>
    <t>Amortization</t>
  </si>
  <si>
    <t>Tax</t>
  </si>
  <si>
    <t>Long-term debt to total fixed assets</t>
  </si>
  <si>
    <t>Growth in gross fixdd assets</t>
  </si>
  <si>
    <t>Growth in long-term debt</t>
  </si>
  <si>
    <t>Total capital surplus</t>
  </si>
  <si>
    <t xml:space="preserve">( EBIT + Deprec  -  Dividend) / (amortization + interest + tax) </t>
  </si>
  <si>
    <t>Coverage</t>
  </si>
  <si>
    <t>Employee services and recreation</t>
  </si>
  <si>
    <t>Employee training &amp; services</t>
  </si>
  <si>
    <t>Empluyee services &amp; training</t>
  </si>
  <si>
    <t xml:space="preserve">Input vlues in </t>
  </si>
  <si>
    <t>shaded cells</t>
  </si>
  <si>
    <t>T &amp; M Energy Inc.</t>
  </si>
  <si>
    <t>Previous term loan payments for 2017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</si>
</sst>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_(* #,##0.0_);_(* \(#,##0.0\);_(* &quot;-&quot;?_);_(@_)"/>
    <numFmt numFmtId="167" formatCode="0.0000000%"/>
    <numFmt numFmtId="168" formatCode="0.00000%"/>
    <numFmt numFmtId="169" formatCode="0.000"/>
    <numFmt numFmtId="170" formatCode="#,##0.0_);\(#,##0.0\)"/>
    <numFmt numFmtId="171" formatCode="0_);\(0\)"/>
    <numFmt numFmtId="172" formatCode="#,##0.000_);\(#,##0.000\)"/>
    <numFmt numFmtId="173" formatCode="0.00000_);\(0.00000\)"/>
    <numFmt numFmtId="174" formatCode="0.0000000_);\(0.0000000\)"/>
    <numFmt numFmtId="175" formatCode="0.000000"/>
    <numFmt numFmtId="176" formatCode="0.000%"/>
    <numFmt numFmtId="177" formatCode="&quot;$&quot;#,##0"/>
    <numFmt numFmtId="178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8"/>
      <name val="Times New Roman"/>
      <family val="1"/>
    </font>
    <font>
      <b/>
      <sz val="16"/>
      <name val="Arial"/>
      <family val="0"/>
    </font>
    <font>
      <b/>
      <sz val="14.25"/>
      <name val="Arial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1" fontId="0" fillId="0" borderId="0" xfId="16">
      <alignment/>
      <protection/>
    </xf>
    <xf numFmtId="37" fontId="0" fillId="0" borderId="0" xfId="16" applyNumberFormat="1">
      <alignment/>
      <protection/>
    </xf>
    <xf numFmtId="0" fontId="0" fillId="0" borderId="0" xfId="0" applyAlignment="1" quotePrefix="1">
      <alignment horizontal="center"/>
    </xf>
    <xf numFmtId="37" fontId="0" fillId="0" borderId="0" xfId="16" applyNumberFormat="1" applyFont="1">
      <alignment/>
      <protection/>
    </xf>
    <xf numFmtId="3" fontId="0" fillId="0" borderId="0" xfId="16" applyNumberFormat="1">
      <alignment/>
      <protection/>
    </xf>
    <xf numFmtId="3" fontId="0" fillId="0" borderId="0" xfId="16" applyNumberFormat="1" applyFont="1" quotePrefix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 applyAlignment="1" quotePrefix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/>
    </xf>
    <xf numFmtId="10" fontId="0" fillId="0" borderId="0" xfId="0" applyNumberFormat="1" applyAlignment="1" quotePrefix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 quotePrefix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 quotePrefix="1">
      <alignment/>
    </xf>
    <xf numFmtId="2" fontId="0" fillId="0" borderId="0" xfId="0" applyNumberFormat="1" applyAlignment="1">
      <alignment/>
    </xf>
    <xf numFmtId="37" fontId="6" fillId="0" borderId="0" xfId="16" applyNumberFormat="1" applyFont="1">
      <alignment/>
      <protection/>
    </xf>
    <xf numFmtId="37" fontId="0" fillId="0" borderId="0" xfId="16" applyNumberFormat="1" applyFont="1" quotePrefix="1">
      <alignment/>
      <protection/>
    </xf>
    <xf numFmtId="37" fontId="0" fillId="0" borderId="0" xfId="0" applyNumberFormat="1" applyAlignment="1">
      <alignment/>
    </xf>
    <xf numFmtId="2" fontId="0" fillId="0" borderId="0" xfId="0" applyNumberForma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Alignment="1" quotePrefix="1">
      <alignment/>
    </xf>
    <xf numFmtId="0" fontId="5" fillId="0" borderId="0" xfId="0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9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4" fillId="0" borderId="0" xfId="0" applyNumberFormat="1" applyFont="1" applyAlignment="1" quotePrefix="1">
      <alignment/>
    </xf>
    <xf numFmtId="37" fontId="0" fillId="0" borderId="0" xfId="0" applyNumberFormat="1" applyAlignment="1">
      <alignment horizontal="right" vertical="justify"/>
    </xf>
    <xf numFmtId="1" fontId="4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0" fontId="4" fillId="2" borderId="0" xfId="0" applyNumberFormat="1" applyFont="1" applyFill="1" applyAlignment="1">
      <alignment/>
    </xf>
    <xf numFmtId="42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41" fontId="4" fillId="2" borderId="0" xfId="0" applyNumberFormat="1" applyFont="1" applyFill="1" applyAlignment="1">
      <alignment/>
    </xf>
    <xf numFmtId="44" fontId="4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2" fontId="3" fillId="3" borderId="0" xfId="0" applyNumberFormat="1" applyFont="1" applyFill="1" applyAlignment="1">
      <alignment/>
    </xf>
    <xf numFmtId="39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Net Cash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67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Budget'!$F$66:$Q$66</c:f>
              <c:strCache/>
            </c:strRef>
          </c:cat>
          <c:val>
            <c:numRef>
              <c:f>'Cash Budget'!$F$67:$Q$67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098473"/>
        <c:axId val="63886258"/>
      </c:bar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86258"/>
        <c:crossesAt val="0"/>
        <c:auto val="1"/>
        <c:lblOffset val="100"/>
        <c:noMultiLvlLbl val="0"/>
      </c:catAx>
      <c:valAx>
        <c:axId val="63886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98473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Short-term Debt and Short-term Securities          </a:t>
            </a:r>
          </a:p>
        </c:rich>
      </c:tx>
      <c:layout>
        <c:manualLayout>
          <c:xMode val="factor"/>
          <c:yMode val="factor"/>
          <c:x val="0.06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7"/>
          <c:w val="0.964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v>Short-term Debt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Budget'!$F$62:$Q$62</c:f>
              <c:strCache/>
            </c:strRef>
          </c:cat>
          <c:val>
            <c:numRef>
              <c:f>'Cash Budget'!$F$63:$Q$63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Short-term Securities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Budget'!$F$62:$Q$62</c:f>
              <c:strCache/>
            </c:strRef>
          </c:cat>
          <c:val>
            <c:numRef>
              <c:f>'Cash Budget'!$F$64:$Q$64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105411"/>
        <c:axId val="7404380"/>
      </c:bar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04380"/>
        <c:crosses val="autoZero"/>
        <c:auto val="1"/>
        <c:lblOffset val="100"/>
        <c:noMultiLvlLbl val="0"/>
      </c:catAx>
      <c:valAx>
        <c:axId val="7404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0541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70</xdr:row>
      <xdr:rowOff>0</xdr:rowOff>
    </xdr:from>
    <xdr:to>
      <xdr:col>12</xdr:col>
      <xdr:colOff>657225</xdr:colOff>
      <xdr:row>97</xdr:row>
      <xdr:rowOff>0</xdr:rowOff>
    </xdr:to>
    <xdr:graphicFrame>
      <xdr:nvGraphicFramePr>
        <xdr:cNvPr id="1" name="Chart 48"/>
        <xdr:cNvGraphicFramePr/>
      </xdr:nvGraphicFramePr>
      <xdr:xfrm>
        <a:off x="4276725" y="11334750"/>
        <a:ext cx="60864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70</xdr:row>
      <xdr:rowOff>9525</xdr:rowOff>
    </xdr:from>
    <xdr:to>
      <xdr:col>21</xdr:col>
      <xdr:colOff>581025</xdr:colOff>
      <xdr:row>96</xdr:row>
      <xdr:rowOff>57150</xdr:rowOff>
    </xdr:to>
    <xdr:graphicFrame>
      <xdr:nvGraphicFramePr>
        <xdr:cNvPr id="2" name="Chart 49"/>
        <xdr:cNvGraphicFramePr/>
      </xdr:nvGraphicFramePr>
      <xdr:xfrm>
        <a:off x="11696700" y="11344275"/>
        <a:ext cx="54483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2"/>
  <sheetViews>
    <sheetView tabSelected="1" workbookViewId="0" topLeftCell="A1">
      <selection activeCell="A1" sqref="A1"/>
    </sheetView>
  </sheetViews>
  <sheetFormatPr defaultColWidth="9.140625" defaultRowHeight="12.75"/>
  <cols>
    <col min="2" max="2" width="8.7109375" style="0" customWidth="1"/>
    <col min="3" max="3" width="16.7109375" style="0" customWidth="1"/>
    <col min="4" max="5" width="14.7109375" style="0" customWidth="1"/>
    <col min="6" max="6" width="15.7109375" style="0" customWidth="1"/>
    <col min="7" max="7" width="8.7109375" style="0" customWidth="1"/>
    <col min="8" max="8" width="14.7109375" style="0" customWidth="1"/>
    <col min="9" max="9" width="15.7109375" style="0" customWidth="1"/>
    <col min="10" max="10" width="2.7109375" style="0" customWidth="1"/>
    <col min="11" max="11" width="30.7109375" style="0" customWidth="1"/>
    <col min="12" max="13" width="12.7109375" style="0" customWidth="1"/>
  </cols>
  <sheetData>
    <row r="2" spans="2:13" ht="15.75">
      <c r="B2" s="44" t="s">
        <v>312</v>
      </c>
      <c r="C2" s="44"/>
      <c r="E2" s="44">
        <v>2018</v>
      </c>
      <c r="I2" s="1" t="s">
        <v>310</v>
      </c>
      <c r="M2" s="63"/>
    </row>
    <row r="3" spans="9:13" ht="12.75">
      <c r="I3" s="1" t="s">
        <v>311</v>
      </c>
      <c r="M3" s="63"/>
    </row>
    <row r="4" spans="6:13" ht="12.75">
      <c r="F4" s="17" t="s">
        <v>226</v>
      </c>
      <c r="H4" s="64" t="e">
        <f>'Income Statement'!D34</f>
        <v>#DIV/0!</v>
      </c>
      <c r="K4" s="17"/>
      <c r="L4" s="64"/>
      <c r="M4" s="63"/>
    </row>
    <row r="5" spans="6:13" ht="12.75">
      <c r="F5" s="17" t="s">
        <v>256</v>
      </c>
      <c r="H5" s="80"/>
      <c r="K5" s="17"/>
      <c r="L5" s="64"/>
      <c r="M5" s="63"/>
    </row>
    <row r="6" spans="1:14" ht="15">
      <c r="A6" s="45"/>
      <c r="B6" s="45" t="s">
        <v>171</v>
      </c>
      <c r="C6" s="45"/>
      <c r="D6" s="45"/>
      <c r="E6" s="45"/>
      <c r="F6" s="45"/>
      <c r="G6" s="45"/>
      <c r="H6" s="45"/>
      <c r="I6" s="72"/>
      <c r="J6" s="45"/>
      <c r="K6" s="17"/>
      <c r="L6" s="43"/>
      <c r="M6" s="17"/>
      <c r="N6" s="45"/>
    </row>
    <row r="7" spans="1:14" ht="15">
      <c r="A7" s="45"/>
      <c r="B7" s="45" t="s">
        <v>172</v>
      </c>
      <c r="C7" s="45"/>
      <c r="D7" s="45"/>
      <c r="E7" s="45"/>
      <c r="F7" s="45"/>
      <c r="G7" s="45"/>
      <c r="H7" s="45"/>
      <c r="I7" s="72"/>
      <c r="J7" s="45"/>
      <c r="K7" s="45"/>
      <c r="L7" s="45"/>
      <c r="M7" s="9"/>
      <c r="N7" s="45"/>
    </row>
    <row r="8" spans="1:14" ht="15">
      <c r="A8" s="45"/>
      <c r="B8" s="45" t="s">
        <v>173</v>
      </c>
      <c r="C8" s="45"/>
      <c r="D8" s="45"/>
      <c r="E8" s="45"/>
      <c r="F8" s="69">
        <f>'Income Statement'!$F$7</f>
        <v>12884437.769130904</v>
      </c>
      <c r="G8" s="45"/>
      <c r="H8" s="45"/>
      <c r="J8" s="45"/>
      <c r="K8" s="45"/>
      <c r="L8" s="9"/>
      <c r="M8" s="9"/>
      <c r="N8" s="45"/>
    </row>
    <row r="9" spans="1:14" ht="15">
      <c r="A9" s="45"/>
      <c r="I9" s="45"/>
      <c r="J9" s="45"/>
      <c r="K9" s="45"/>
      <c r="L9" s="62"/>
      <c r="M9" s="62"/>
      <c r="N9" s="45"/>
    </row>
    <row r="10" spans="1:14" ht="15">
      <c r="A10" s="45"/>
      <c r="I10" s="45"/>
      <c r="J10" s="45"/>
      <c r="K10" s="17"/>
      <c r="L10" s="60"/>
      <c r="M10" s="60"/>
      <c r="N10" s="45"/>
    </row>
    <row r="11" spans="1:14" ht="15">
      <c r="A11" s="45"/>
      <c r="B11" s="45" t="s">
        <v>175</v>
      </c>
      <c r="C11" s="45"/>
      <c r="D11" s="45"/>
      <c r="E11" s="45"/>
      <c r="F11" s="45"/>
      <c r="G11" s="45"/>
      <c r="H11" s="45"/>
      <c r="I11" s="72"/>
      <c r="J11" s="45"/>
      <c r="K11" s="17"/>
      <c r="L11" s="60"/>
      <c r="M11" s="60"/>
      <c r="N11" s="45"/>
    </row>
    <row r="12" spans="1:14" ht="15">
      <c r="A12" s="45"/>
      <c r="B12" s="45" t="s">
        <v>176</v>
      </c>
      <c r="C12" s="45"/>
      <c r="D12" s="45"/>
      <c r="E12" s="45"/>
      <c r="F12" s="45"/>
      <c r="G12" s="45"/>
      <c r="H12" s="45"/>
      <c r="I12" s="72"/>
      <c r="J12" s="45"/>
      <c r="K12" s="17"/>
      <c r="L12" s="60"/>
      <c r="M12" s="60"/>
      <c r="N12" s="45"/>
    </row>
    <row r="13" spans="1:14" ht="15">
      <c r="A13" s="45"/>
      <c r="B13" s="45" t="s">
        <v>177</v>
      </c>
      <c r="C13" s="45"/>
      <c r="D13" s="45"/>
      <c r="E13" s="45"/>
      <c r="F13" s="45"/>
      <c r="G13" s="45"/>
      <c r="H13" s="45"/>
      <c r="I13" s="72"/>
      <c r="J13" s="45"/>
      <c r="K13" s="17"/>
      <c r="L13" s="61"/>
      <c r="M13" s="61"/>
      <c r="N13" s="45"/>
    </row>
    <row r="14" spans="1:14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17"/>
      <c r="L14" s="60"/>
      <c r="M14" s="60"/>
      <c r="N14" s="45"/>
    </row>
    <row r="15" spans="1:14" ht="15">
      <c r="A15" s="45"/>
      <c r="B15" s="45" t="s">
        <v>178</v>
      </c>
      <c r="C15" s="45"/>
      <c r="D15" s="45"/>
      <c r="E15" s="45"/>
      <c r="F15" s="45"/>
      <c r="G15" s="45"/>
      <c r="H15" s="45"/>
      <c r="I15" s="45"/>
      <c r="J15" s="45"/>
      <c r="K15" s="17"/>
      <c r="L15" s="60"/>
      <c r="M15" s="60"/>
      <c r="N15" s="45"/>
    </row>
    <row r="16" spans="1:14" ht="15">
      <c r="A16" s="45"/>
      <c r="B16" s="45"/>
      <c r="C16" s="45" t="s">
        <v>180</v>
      </c>
      <c r="D16" s="45"/>
      <c r="E16" s="45"/>
      <c r="F16" s="45"/>
      <c r="G16" s="45"/>
      <c r="H16" s="45"/>
      <c r="I16" s="72"/>
      <c r="J16" s="45"/>
      <c r="K16" s="17"/>
      <c r="L16" s="60"/>
      <c r="M16" s="60"/>
      <c r="N16" s="45"/>
    </row>
    <row r="17" spans="1:14" ht="15">
      <c r="A17" s="45"/>
      <c r="B17" s="45"/>
      <c r="C17" s="45" t="s">
        <v>181</v>
      </c>
      <c r="D17" s="45"/>
      <c r="E17" s="45"/>
      <c r="F17" s="45"/>
      <c r="G17" s="45"/>
      <c r="H17" s="45"/>
      <c r="I17" s="72"/>
      <c r="J17" s="45"/>
      <c r="K17" s="17"/>
      <c r="L17" s="60"/>
      <c r="M17" s="60"/>
      <c r="N17" s="45"/>
    </row>
    <row r="18" spans="1:14" ht="15">
      <c r="A18" s="45"/>
      <c r="B18" s="45"/>
      <c r="C18" s="45" t="s">
        <v>182</v>
      </c>
      <c r="D18" s="45"/>
      <c r="E18" s="45"/>
      <c r="F18" s="45"/>
      <c r="G18" s="45"/>
      <c r="H18" s="45"/>
      <c r="I18" s="72"/>
      <c r="J18" s="45"/>
      <c r="K18" s="17"/>
      <c r="L18" s="60"/>
      <c r="M18" s="60"/>
      <c r="N18" s="45"/>
    </row>
    <row r="19" spans="1:14" ht="15">
      <c r="A19" s="45"/>
      <c r="B19" s="45"/>
      <c r="C19" s="45" t="s">
        <v>179</v>
      </c>
      <c r="D19" s="45"/>
      <c r="E19" s="45"/>
      <c r="F19" s="45"/>
      <c r="G19" s="45"/>
      <c r="H19" s="45"/>
      <c r="I19" s="72"/>
      <c r="J19" s="45"/>
      <c r="K19" s="17"/>
      <c r="L19" s="60"/>
      <c r="M19" s="60"/>
      <c r="N19" s="45"/>
    </row>
    <row r="20" spans="1:14" ht="15">
      <c r="A20" s="45"/>
      <c r="B20" s="45"/>
      <c r="C20" s="45"/>
      <c r="D20" s="45"/>
      <c r="E20" s="45"/>
      <c r="F20" s="45"/>
      <c r="G20" s="45"/>
      <c r="H20" s="45"/>
      <c r="I20" s="62" t="s">
        <v>54</v>
      </c>
      <c r="J20" s="45"/>
      <c r="K20" s="17"/>
      <c r="L20" s="61"/>
      <c r="M20" s="61"/>
      <c r="N20" s="45"/>
    </row>
    <row r="21" spans="1:14" ht="15">
      <c r="A21" s="45"/>
      <c r="B21" s="45"/>
      <c r="C21" s="45"/>
      <c r="D21" s="45"/>
      <c r="E21" s="45"/>
      <c r="F21" s="45"/>
      <c r="G21" s="45"/>
      <c r="H21" s="49" t="s">
        <v>183</v>
      </c>
      <c r="I21" s="46">
        <f>SUM(I16:I19)</f>
        <v>0</v>
      </c>
      <c r="J21" s="45"/>
      <c r="K21" s="17"/>
      <c r="L21" s="61"/>
      <c r="M21" s="61"/>
      <c r="N21" s="45"/>
    </row>
    <row r="22" spans="1:14" ht="15">
      <c r="A22" s="45"/>
      <c r="B22" s="45" t="s">
        <v>184</v>
      </c>
      <c r="C22" s="45"/>
      <c r="D22" s="45"/>
      <c r="E22" s="45"/>
      <c r="F22" s="45"/>
      <c r="G22" s="45"/>
      <c r="H22" s="45"/>
      <c r="I22" s="45"/>
      <c r="J22" s="45"/>
      <c r="K22" s="17"/>
      <c r="L22" s="60"/>
      <c r="M22" s="60"/>
      <c r="N22" s="45"/>
    </row>
    <row r="23" spans="1:14" ht="15">
      <c r="A23" s="45"/>
      <c r="B23" s="45"/>
      <c r="C23" s="45" t="s">
        <v>185</v>
      </c>
      <c r="D23" s="45"/>
      <c r="E23" s="45"/>
      <c r="F23" s="45"/>
      <c r="G23" s="45"/>
      <c r="H23" s="45"/>
      <c r="I23" s="72"/>
      <c r="J23" s="45"/>
      <c r="K23" s="17"/>
      <c r="L23" s="60"/>
      <c r="M23" s="60"/>
      <c r="N23" s="45"/>
    </row>
    <row r="24" spans="1:14" ht="15">
      <c r="A24" s="45"/>
      <c r="B24" s="45"/>
      <c r="C24" s="45" t="s">
        <v>186</v>
      </c>
      <c r="D24" s="45"/>
      <c r="E24" s="45"/>
      <c r="F24" s="45"/>
      <c r="G24" s="45"/>
      <c r="H24" s="45"/>
      <c r="I24" s="72"/>
      <c r="J24" s="45"/>
      <c r="K24" s="17"/>
      <c r="L24" s="61"/>
      <c r="M24" s="61"/>
      <c r="N24" s="45"/>
    </row>
    <row r="25" spans="1:14" ht="15">
      <c r="A25" s="45"/>
      <c r="B25" s="45"/>
      <c r="C25" s="45"/>
      <c r="D25" s="45"/>
      <c r="E25" s="45"/>
      <c r="F25" s="45"/>
      <c r="G25" s="45"/>
      <c r="H25" s="45"/>
      <c r="I25" s="46"/>
      <c r="J25" s="45"/>
      <c r="K25" s="17"/>
      <c r="L25" s="61"/>
      <c r="M25" s="61"/>
      <c r="N25" s="45"/>
    </row>
    <row r="26" spans="1:14" ht="15">
      <c r="A26" s="45"/>
      <c r="B26" s="45" t="s">
        <v>187</v>
      </c>
      <c r="C26" s="45"/>
      <c r="D26" s="45"/>
      <c r="E26" s="45"/>
      <c r="F26" s="45"/>
      <c r="G26" s="45"/>
      <c r="H26" s="45"/>
      <c r="I26" s="72"/>
      <c r="J26" s="45"/>
      <c r="K26" s="17"/>
      <c r="L26" s="61"/>
      <c r="M26" s="61"/>
      <c r="N26" s="45"/>
    </row>
    <row r="27" spans="1:14" ht="15">
      <c r="A27" s="45"/>
      <c r="B27" s="45"/>
      <c r="C27" s="45"/>
      <c r="D27" s="45"/>
      <c r="E27" s="45"/>
      <c r="F27" s="45"/>
      <c r="G27" s="45"/>
      <c r="H27" s="45"/>
      <c r="I27" s="46"/>
      <c r="J27" s="45"/>
      <c r="K27" s="45"/>
      <c r="L27" s="45"/>
      <c r="M27" s="45"/>
      <c r="N27" s="45"/>
    </row>
    <row r="28" spans="1:14" ht="15">
      <c r="A28" s="45"/>
      <c r="B28" s="45" t="s">
        <v>29</v>
      </c>
      <c r="C28" s="45"/>
      <c r="D28" s="45"/>
      <c r="E28" s="45"/>
      <c r="F28" s="45"/>
      <c r="G28" s="45"/>
      <c r="H28" s="45"/>
      <c r="I28" s="73"/>
      <c r="J28" s="45"/>
      <c r="K28" s="45"/>
      <c r="L28" s="45"/>
      <c r="M28" s="45"/>
      <c r="N28" s="45"/>
    </row>
    <row r="29" spans="1:14" ht="15">
      <c r="A29" s="45"/>
      <c r="B29" s="45" t="s">
        <v>32</v>
      </c>
      <c r="C29" s="45"/>
      <c r="D29" s="45"/>
      <c r="E29" s="45"/>
      <c r="F29" s="45"/>
      <c r="G29" s="45"/>
      <c r="H29" s="45"/>
      <c r="I29" s="74"/>
      <c r="J29" s="45"/>
      <c r="K29" s="45"/>
      <c r="L29" s="45"/>
      <c r="M29" s="45"/>
      <c r="N29" s="45"/>
    </row>
    <row r="30" spans="1:14" ht="15">
      <c r="A30" s="45"/>
      <c r="B30" s="45" t="s">
        <v>58</v>
      </c>
      <c r="C30" s="45"/>
      <c r="D30" s="45"/>
      <c r="E30" s="45"/>
      <c r="F30" s="45"/>
      <c r="G30" s="45"/>
      <c r="H30" s="45"/>
      <c r="I30" s="74"/>
      <c r="J30" s="45"/>
      <c r="K30" s="45"/>
      <c r="L30" s="45"/>
      <c r="M30" s="45"/>
      <c r="N30" s="45"/>
    </row>
    <row r="31" spans="1:14" ht="15">
      <c r="A31" s="45"/>
      <c r="B31" s="45" t="s">
        <v>309</v>
      </c>
      <c r="C31" s="45"/>
      <c r="D31" s="45"/>
      <c r="E31" s="45"/>
      <c r="F31" s="45"/>
      <c r="G31" s="45"/>
      <c r="H31" s="45"/>
      <c r="I31" s="74"/>
      <c r="J31" s="45"/>
      <c r="K31" s="45"/>
      <c r="L31" s="45"/>
      <c r="M31" s="45"/>
      <c r="N31" s="45"/>
    </row>
    <row r="32" spans="1:14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5">
      <c r="A33" s="45"/>
      <c r="B33" s="45" t="s">
        <v>188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5">
      <c r="A34" s="45"/>
      <c r="B34" s="45"/>
      <c r="C34" s="45" t="s">
        <v>189</v>
      </c>
      <c r="D34" s="45"/>
      <c r="E34" s="45"/>
      <c r="F34" s="45"/>
      <c r="G34" s="45"/>
      <c r="H34" s="45"/>
      <c r="I34" s="73"/>
      <c r="J34" s="45"/>
      <c r="K34" s="45"/>
      <c r="L34" s="45"/>
      <c r="M34" s="45"/>
      <c r="N34" s="45"/>
    </row>
    <row r="35" spans="1:14" ht="15">
      <c r="A35" s="45"/>
      <c r="B35" s="45"/>
      <c r="C35" s="45" t="s">
        <v>190</v>
      </c>
      <c r="D35" s="45"/>
      <c r="E35" s="45"/>
      <c r="F35" s="45"/>
      <c r="G35" s="45"/>
      <c r="H35" s="45"/>
      <c r="I35" s="75"/>
      <c r="J35" s="45"/>
      <c r="K35" s="45"/>
      <c r="L35" s="45"/>
      <c r="M35" s="45"/>
      <c r="N35" s="45"/>
    </row>
    <row r="36" spans="1:14" ht="15">
      <c r="A36" s="45"/>
      <c r="B36" s="45"/>
      <c r="C36" s="45" t="s">
        <v>191</v>
      </c>
      <c r="D36" s="45"/>
      <c r="E36" s="45"/>
      <c r="F36" s="45"/>
      <c r="G36" s="45"/>
      <c r="H36" s="52">
        <f>(-1)*(I35-I34)</f>
        <v>0</v>
      </c>
      <c r="J36" s="45"/>
      <c r="K36" s="45"/>
      <c r="L36" s="45"/>
      <c r="M36" s="45"/>
      <c r="N36" s="45"/>
    </row>
    <row r="37" spans="1:14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5">
      <c r="A38" s="45"/>
      <c r="B38" s="45" t="s">
        <v>192</v>
      </c>
      <c r="C38" s="45"/>
      <c r="D38" s="45"/>
      <c r="E38" s="45"/>
      <c r="F38" s="45"/>
      <c r="G38" s="45"/>
      <c r="H38" s="45"/>
      <c r="I38" s="76"/>
      <c r="J38" s="45"/>
      <c r="K38" s="45"/>
      <c r="L38" s="45"/>
      <c r="M38" s="45"/>
      <c r="N38" s="45"/>
    </row>
    <row r="39" spans="1:14" ht="15">
      <c r="A39" s="45"/>
      <c r="B39" s="45" t="s">
        <v>193</v>
      </c>
      <c r="C39" s="45"/>
      <c r="D39" s="45"/>
      <c r="E39" s="45"/>
      <c r="F39" s="45"/>
      <c r="G39" s="45"/>
      <c r="H39" s="45"/>
      <c r="I39" s="72"/>
      <c r="J39" s="45"/>
      <c r="K39" s="45"/>
      <c r="L39" s="45"/>
      <c r="M39" s="45"/>
      <c r="N39" s="45"/>
    </row>
    <row r="40" spans="1:14" ht="15">
      <c r="A40" s="45"/>
      <c r="B40" s="45" t="s">
        <v>194</v>
      </c>
      <c r="C40" s="45"/>
      <c r="D40" s="45"/>
      <c r="E40" s="45"/>
      <c r="F40" s="45"/>
      <c r="G40" s="45"/>
      <c r="H40" s="45"/>
      <c r="I40" s="72"/>
      <c r="J40" s="45"/>
      <c r="K40" s="45"/>
      <c r="L40" s="45"/>
      <c r="M40" s="45"/>
      <c r="N40" s="45"/>
    </row>
    <row r="41" spans="1:14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5">
      <c r="A42" s="45"/>
      <c r="B42" s="45" t="s">
        <v>296</v>
      </c>
      <c r="C42" s="45"/>
      <c r="D42" s="45"/>
      <c r="E42" s="45"/>
      <c r="F42" s="45"/>
      <c r="G42" s="45"/>
      <c r="H42" s="45"/>
      <c r="I42" s="52">
        <f>'Balance Sheet'!$F$35</f>
        <v>200000</v>
      </c>
      <c r="J42" s="45"/>
      <c r="K42" s="45"/>
      <c r="L42" s="45"/>
      <c r="M42" s="45"/>
      <c r="N42" s="45"/>
    </row>
    <row r="43" spans="1:14" ht="15">
      <c r="A43" s="45"/>
      <c r="B43" s="45" t="s">
        <v>249</v>
      </c>
      <c r="C43" s="45"/>
      <c r="D43" s="45"/>
      <c r="E43" s="77"/>
      <c r="F43" s="45" t="s">
        <v>250</v>
      </c>
      <c r="G43" s="78"/>
      <c r="H43" s="45" t="s">
        <v>251</v>
      </c>
      <c r="I43" s="52">
        <f>E43*G43</f>
        <v>0</v>
      </c>
      <c r="J43" s="45"/>
      <c r="K43" s="45"/>
      <c r="L43" s="45"/>
      <c r="M43" s="45"/>
      <c r="N43" s="45"/>
    </row>
    <row r="44" spans="1:14" ht="15">
      <c r="A44" s="45"/>
      <c r="B44" s="45" t="s">
        <v>195</v>
      </c>
      <c r="C44" s="45"/>
      <c r="D44" s="45"/>
      <c r="E44" s="45"/>
      <c r="F44" s="45"/>
      <c r="G44" s="45"/>
      <c r="H44" s="45"/>
      <c r="I44" s="76"/>
      <c r="J44" s="45"/>
      <c r="K44" s="45"/>
      <c r="L44" s="45"/>
      <c r="M44" s="45"/>
      <c r="N44" s="45"/>
    </row>
    <row r="45" spans="1:14" ht="15">
      <c r="A45" s="45"/>
      <c r="B45" s="45"/>
      <c r="C45" s="45" t="s">
        <v>197</v>
      </c>
      <c r="D45" s="45"/>
      <c r="E45" s="45"/>
      <c r="F45" s="45"/>
      <c r="G45" s="45"/>
      <c r="H45" s="45"/>
      <c r="I45" s="52">
        <f>(I42+I43)*I44/4</f>
        <v>0</v>
      </c>
      <c r="J45" s="45"/>
      <c r="K45" s="45"/>
      <c r="L45" s="45"/>
      <c r="M45" s="45"/>
      <c r="N45" s="45"/>
    </row>
    <row r="46" spans="1:14" ht="15">
      <c r="A46" s="45"/>
      <c r="B46" s="45" t="s">
        <v>252</v>
      </c>
      <c r="C46" s="45"/>
      <c r="D46" s="45"/>
      <c r="E46" s="45"/>
      <c r="F46" s="45"/>
      <c r="G46" s="45"/>
      <c r="H46" s="45"/>
      <c r="I46" s="52">
        <f>'Balance Sheet'!$F$36</f>
        <v>850000</v>
      </c>
      <c r="J46" s="45"/>
      <c r="K46" s="45"/>
      <c r="L46" s="45"/>
      <c r="M46" s="45"/>
      <c r="N46" s="45"/>
    </row>
    <row r="47" spans="1:14" ht="15">
      <c r="A47" s="45"/>
      <c r="B47" s="45" t="s">
        <v>253</v>
      </c>
      <c r="C47" s="45"/>
      <c r="D47" s="45"/>
      <c r="E47" s="45"/>
      <c r="F47" s="45"/>
      <c r="G47" s="78"/>
      <c r="H47" s="45"/>
      <c r="I47" s="52"/>
      <c r="J47" s="45"/>
      <c r="K47" s="45"/>
      <c r="L47" s="45"/>
      <c r="M47" s="45"/>
      <c r="N47" s="45"/>
    </row>
    <row r="48" spans="1:14" ht="15">
      <c r="A48" s="45"/>
      <c r="B48" s="45" t="s">
        <v>304</v>
      </c>
      <c r="C48" s="45"/>
      <c r="D48" s="52">
        <f>I46</f>
        <v>850000</v>
      </c>
      <c r="E48" s="71" t="s">
        <v>254</v>
      </c>
      <c r="F48" s="52">
        <f>(E43*G47)-I43</f>
        <v>0</v>
      </c>
      <c r="G48" s="70"/>
      <c r="H48" s="45"/>
      <c r="I48" s="52">
        <f>D48+F48</f>
        <v>850000</v>
      </c>
      <c r="J48" s="45"/>
      <c r="K48" s="45"/>
      <c r="L48" s="45"/>
      <c r="M48" s="45"/>
      <c r="N48" s="45"/>
    </row>
    <row r="49" spans="1:14" ht="15">
      <c r="A49" s="45"/>
      <c r="B49" s="45" t="s">
        <v>196</v>
      </c>
      <c r="C49" s="45"/>
      <c r="D49" s="45"/>
      <c r="E49" s="45"/>
      <c r="F49" s="45"/>
      <c r="G49" s="45"/>
      <c r="H49" s="45"/>
      <c r="I49" s="52">
        <f>'Balance Sheet'!$F$37</f>
        <v>875236.6210942938</v>
      </c>
      <c r="J49" s="45"/>
      <c r="K49" s="45"/>
      <c r="L49" s="45"/>
      <c r="M49" s="45"/>
      <c r="N49" s="45"/>
    </row>
    <row r="50" spans="1:14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5">
      <c r="A51" s="45"/>
      <c r="B51" s="45" t="s">
        <v>248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5">
      <c r="A52" s="45"/>
      <c r="B52" s="45"/>
      <c r="C52" s="45" t="s">
        <v>198</v>
      </c>
      <c r="D52" s="45"/>
      <c r="E52" s="45"/>
      <c r="F52" s="45"/>
      <c r="G52" s="45"/>
      <c r="H52" s="45"/>
      <c r="I52" s="72"/>
      <c r="J52" s="45"/>
      <c r="K52" s="45"/>
      <c r="L52" s="45"/>
      <c r="M52" s="45"/>
      <c r="N52" s="45"/>
    </row>
    <row r="53" spans="1:14" ht="15">
      <c r="A53" s="45"/>
      <c r="B53" s="45"/>
      <c r="C53" s="45" t="s">
        <v>199</v>
      </c>
      <c r="D53" s="45"/>
      <c r="E53" s="45"/>
      <c r="F53" s="45"/>
      <c r="G53" s="45"/>
      <c r="H53" s="45"/>
      <c r="I53" s="72"/>
      <c r="J53" s="45"/>
      <c r="K53" s="45"/>
      <c r="L53" s="45"/>
      <c r="M53" s="45"/>
      <c r="N53" s="45"/>
    </row>
    <row r="54" spans="1:14" ht="15">
      <c r="A54" s="45"/>
      <c r="B54" s="45"/>
      <c r="C54" s="45" t="s">
        <v>200</v>
      </c>
      <c r="D54" s="45"/>
      <c r="E54" s="45"/>
      <c r="F54" s="45"/>
      <c r="G54" s="45"/>
      <c r="H54" s="45"/>
      <c r="I54" s="72"/>
      <c r="J54" s="45"/>
      <c r="K54" s="45"/>
      <c r="L54" s="45"/>
      <c r="M54" s="45"/>
      <c r="N54" s="45"/>
    </row>
    <row r="55" spans="1:14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5">
      <c r="A56" s="45"/>
      <c r="B56" s="45" t="s">
        <v>208</v>
      </c>
      <c r="C56" s="45"/>
      <c r="D56" s="45"/>
      <c r="E56" s="45"/>
      <c r="F56" s="45"/>
      <c r="G56" s="45"/>
      <c r="H56" s="45"/>
      <c r="I56" s="73"/>
      <c r="J56" s="45"/>
      <c r="K56" s="45"/>
      <c r="L56" s="45"/>
      <c r="M56" s="45"/>
      <c r="N56" s="45"/>
    </row>
    <row r="57" spans="1:14" ht="15">
      <c r="A57" s="45"/>
      <c r="B57" s="45" t="s">
        <v>201</v>
      </c>
      <c r="C57" s="45"/>
      <c r="D57" s="45"/>
      <c r="E57" s="45"/>
      <c r="F57" s="45"/>
      <c r="G57" s="45"/>
      <c r="H57" s="45"/>
      <c r="I57" s="72"/>
      <c r="J57" s="45"/>
      <c r="K57" s="45"/>
      <c r="L57" s="45"/>
      <c r="M57" s="45"/>
      <c r="N57" s="45"/>
    </row>
    <row r="58" spans="1:14" ht="15">
      <c r="A58" s="45"/>
      <c r="B58" s="45" t="s">
        <v>202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5">
      <c r="A59" s="45"/>
      <c r="B59" s="45"/>
      <c r="C59" s="45" t="s">
        <v>259</v>
      </c>
      <c r="D59" s="45"/>
      <c r="E59" s="45"/>
      <c r="F59" s="45"/>
      <c r="G59" s="45"/>
      <c r="H59" s="45"/>
      <c r="I59" s="52">
        <f>'Balance Sheet'!$F$26</f>
        <v>278115.3992263047</v>
      </c>
      <c r="J59" s="45"/>
      <c r="K59" s="45"/>
      <c r="L59" s="45"/>
      <c r="M59" s="45"/>
      <c r="N59" s="45"/>
    </row>
    <row r="60" spans="1:14" ht="15">
      <c r="A60" s="45"/>
      <c r="B60" s="45"/>
      <c r="C60" s="45" t="s">
        <v>258</v>
      </c>
      <c r="D60" s="45"/>
      <c r="E60" s="45"/>
      <c r="F60" s="45"/>
      <c r="G60" s="45"/>
      <c r="H60" s="45"/>
      <c r="I60" s="52">
        <f>'Balance Sheet'!$F$32</f>
        <v>4742537.567468059</v>
      </c>
      <c r="J60" s="45"/>
      <c r="K60" s="45"/>
      <c r="L60" s="45"/>
      <c r="M60" s="45"/>
      <c r="N60" s="45"/>
    </row>
    <row r="61" spans="1:14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5">
      <c r="A62" s="45"/>
      <c r="B62" s="45"/>
      <c r="C62" s="45" t="s">
        <v>257</v>
      </c>
      <c r="D62" s="45"/>
      <c r="E62" s="45"/>
      <c r="F62" s="45"/>
      <c r="G62" s="45"/>
      <c r="H62" s="45"/>
      <c r="I62" s="52">
        <f>I56*I57</f>
        <v>0</v>
      </c>
      <c r="J62" s="45"/>
      <c r="K62" s="45"/>
      <c r="L62" s="45"/>
      <c r="M62" s="45"/>
      <c r="N62" s="45"/>
    </row>
    <row r="63" spans="1:14" ht="15">
      <c r="A63" s="45"/>
      <c r="B63" s="45" t="s">
        <v>242</v>
      </c>
      <c r="C63" s="45"/>
      <c r="D63" s="45"/>
      <c r="E63" s="45"/>
      <c r="F63" s="45"/>
      <c r="G63" s="45"/>
      <c r="H63" s="45"/>
      <c r="I63" s="52">
        <f>SUM(I59:I62)</f>
        <v>5020652.966694364</v>
      </c>
      <c r="J63" s="45"/>
      <c r="K63" s="45"/>
      <c r="L63" s="45"/>
      <c r="M63" s="45"/>
      <c r="N63" s="45"/>
    </row>
    <row r="64" spans="1:14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5">
      <c r="A65" s="45"/>
      <c r="B65" s="45" t="s">
        <v>260</v>
      </c>
      <c r="C65" s="45"/>
      <c r="D65" s="45"/>
      <c r="E65" s="45"/>
      <c r="F65" s="45"/>
      <c r="G65" s="45"/>
      <c r="H65" s="45"/>
      <c r="I65" s="79"/>
      <c r="J65" s="45"/>
      <c r="K65" s="45"/>
      <c r="L65" s="45"/>
      <c r="M65" s="45"/>
      <c r="N65" s="45"/>
    </row>
    <row r="66" spans="1:14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22.5">
      <c r="A68" s="45"/>
      <c r="B68" s="45"/>
      <c r="C68" s="45"/>
      <c r="D68" s="54" t="s">
        <v>232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5.75">
      <c r="A70" s="45"/>
      <c r="B70" s="44" t="s">
        <v>237</v>
      </c>
      <c r="C70" s="44"/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5">
      <c r="A71" s="45"/>
      <c r="B71" s="45" t="s">
        <v>219</v>
      </c>
      <c r="C71" s="45"/>
      <c r="E71" s="45"/>
      <c r="F71" s="52">
        <f>I63</f>
        <v>5020652.966694364</v>
      </c>
      <c r="G71" s="45"/>
      <c r="I71" s="45"/>
      <c r="J71" s="45"/>
      <c r="K71" s="45"/>
      <c r="L71" s="45"/>
      <c r="M71" s="45"/>
      <c r="N71" s="45"/>
    </row>
    <row r="72" spans="1:14" ht="15">
      <c r="A72" s="45"/>
      <c r="B72" s="45" t="s">
        <v>210</v>
      </c>
      <c r="C72" s="45"/>
      <c r="E72" s="45"/>
      <c r="F72" s="45">
        <f>I65</f>
        <v>0</v>
      </c>
      <c r="G72" s="45"/>
      <c r="I72" s="45"/>
      <c r="J72" s="45"/>
      <c r="K72" s="45"/>
      <c r="L72" s="45"/>
      <c r="M72" s="45"/>
      <c r="N72" s="45"/>
    </row>
    <row r="73" spans="1:14" ht="15">
      <c r="A73" s="45"/>
      <c r="B73" s="45" t="s">
        <v>221</v>
      </c>
      <c r="C73" s="45"/>
      <c r="E73" s="45"/>
      <c r="F73" s="46">
        <f>I54</f>
        <v>0</v>
      </c>
      <c r="G73" s="45"/>
      <c r="I73" s="45"/>
      <c r="J73" s="45"/>
      <c r="K73" s="45"/>
      <c r="L73" s="45"/>
      <c r="M73" s="45"/>
      <c r="N73" s="45"/>
    </row>
    <row r="74" spans="1:14" ht="15">
      <c r="A74" s="45"/>
      <c r="B74" s="45" t="s">
        <v>220</v>
      </c>
      <c r="C74" s="45"/>
      <c r="E74" s="45"/>
      <c r="F74" s="45">
        <f>I65*12</f>
        <v>0</v>
      </c>
      <c r="G74" s="45"/>
      <c r="I74" s="45"/>
      <c r="J74" s="45"/>
      <c r="K74" s="45"/>
      <c r="L74" s="45"/>
      <c r="M74" s="45"/>
      <c r="N74" s="45"/>
    </row>
    <row r="75" spans="1:14" ht="15">
      <c r="A75" s="45"/>
      <c r="B75" s="45" t="s">
        <v>223</v>
      </c>
      <c r="C75" s="45"/>
      <c r="E75" s="45"/>
      <c r="F75" s="45">
        <f>(1+F73)^(1/12)-1</f>
        <v>0</v>
      </c>
      <c r="G75" s="45"/>
      <c r="I75" s="45"/>
      <c r="J75" s="45"/>
      <c r="K75" s="45"/>
      <c r="L75" s="45"/>
      <c r="M75" s="45"/>
      <c r="N75" s="45"/>
    </row>
    <row r="76" spans="1:14" ht="15">
      <c r="A76" s="45"/>
      <c r="B76" s="45" t="s">
        <v>222</v>
      </c>
      <c r="C76" s="45"/>
      <c r="E76" s="45"/>
      <c r="F76" s="45" t="e">
        <f>(1-(1/(1+F75)^F74))/F75</f>
        <v>#DIV/0!</v>
      </c>
      <c r="G76" s="45"/>
      <c r="I76" s="45"/>
      <c r="J76" s="45"/>
      <c r="K76" s="45"/>
      <c r="L76" s="45"/>
      <c r="M76" s="45"/>
      <c r="N76" s="45"/>
    </row>
    <row r="77" spans="1:14" ht="15">
      <c r="A77" s="45"/>
      <c r="B77" s="45" t="s">
        <v>224</v>
      </c>
      <c r="C77" s="45"/>
      <c r="E77" s="45"/>
      <c r="F77" s="51" t="e">
        <f>F71/F76</f>
        <v>#DIV/0!</v>
      </c>
      <c r="G77" s="45"/>
      <c r="I77" s="45"/>
      <c r="J77" s="45"/>
      <c r="K77" s="45"/>
      <c r="L77" s="45"/>
      <c r="M77" s="45"/>
      <c r="N77" s="45"/>
    </row>
    <row r="78" spans="1:14" ht="15">
      <c r="A78" s="45"/>
      <c r="B78" s="45"/>
      <c r="C78" s="45"/>
      <c r="D78" s="45"/>
      <c r="E78" s="45"/>
      <c r="F78" s="45"/>
      <c r="G78" s="45"/>
      <c r="H78" s="51"/>
      <c r="I78" s="45"/>
      <c r="J78" s="45"/>
      <c r="K78" s="45"/>
      <c r="L78" s="45"/>
      <c r="M78" s="45"/>
      <c r="N78" s="45"/>
    </row>
    <row r="79" spans="1:14" ht="15.75">
      <c r="A79" s="45"/>
      <c r="B79" s="45"/>
      <c r="C79" s="53" t="s">
        <v>204</v>
      </c>
      <c r="D79" s="53" t="s">
        <v>205</v>
      </c>
      <c r="E79" s="53" t="s">
        <v>206</v>
      </c>
      <c r="F79" s="53" t="s">
        <v>207</v>
      </c>
      <c r="G79" s="45"/>
      <c r="H79" s="45"/>
      <c r="I79" s="45"/>
      <c r="J79" s="45"/>
      <c r="K79" s="45"/>
      <c r="L79" s="45"/>
      <c r="M79" s="45"/>
      <c r="N79" s="45"/>
    </row>
    <row r="80" spans="1:14" ht="15">
      <c r="A80" s="45"/>
      <c r="B80" s="45"/>
      <c r="C80" s="45"/>
      <c r="D80" s="45"/>
      <c r="E80" s="45"/>
      <c r="F80" s="50">
        <f>F71</f>
        <v>5020652.966694364</v>
      </c>
      <c r="G80" s="45"/>
      <c r="H80" s="45"/>
      <c r="I80" s="45"/>
      <c r="J80" s="45"/>
      <c r="K80" s="45"/>
      <c r="L80" s="45"/>
      <c r="M80" s="45"/>
      <c r="N80" s="45"/>
    </row>
    <row r="81" spans="1:14" ht="15">
      <c r="A81" s="68">
        <f>E$2</f>
        <v>2018</v>
      </c>
      <c r="B81" s="49" t="s">
        <v>203</v>
      </c>
      <c r="C81" s="50" t="e">
        <f aca="true" t="shared" si="0" ref="C81:C92">F$77</f>
        <v>#DIV/0!</v>
      </c>
      <c r="D81" s="50">
        <f aca="true" t="shared" si="1" ref="D81:D92">F80*F$75</f>
        <v>0</v>
      </c>
      <c r="E81" s="50" t="e">
        <f>C81-D81</f>
        <v>#DIV/0!</v>
      </c>
      <c r="F81" s="50" t="e">
        <f>F80-E81</f>
        <v>#DIV/0!</v>
      </c>
      <c r="G81" s="45"/>
      <c r="H81" s="45"/>
      <c r="I81" s="45"/>
      <c r="J81" s="45"/>
      <c r="K81" s="45"/>
      <c r="L81" s="45"/>
      <c r="M81" s="45"/>
      <c r="N81" s="45"/>
    </row>
    <row r="82" spans="1:14" ht="15">
      <c r="A82" s="68">
        <f aca="true" t="shared" si="2" ref="A82:A92">E$2</f>
        <v>2018</v>
      </c>
      <c r="B82" s="49" t="s">
        <v>9</v>
      </c>
      <c r="C82" s="50" t="e">
        <f t="shared" si="0"/>
        <v>#DIV/0!</v>
      </c>
      <c r="D82" s="50" t="e">
        <f t="shared" si="1"/>
        <v>#DIV/0!</v>
      </c>
      <c r="E82" s="50" t="e">
        <f aca="true" t="shared" si="3" ref="E82:E104">C82-D82</f>
        <v>#DIV/0!</v>
      </c>
      <c r="F82" s="50" t="e">
        <f aca="true" t="shared" si="4" ref="F82:F105">F81-E82</f>
        <v>#DIV/0!</v>
      </c>
      <c r="G82" s="45"/>
      <c r="H82" s="45"/>
      <c r="I82" s="45"/>
      <c r="J82" s="45"/>
      <c r="K82" s="45"/>
      <c r="L82" s="45"/>
      <c r="M82" s="45"/>
      <c r="N82" s="45"/>
    </row>
    <row r="83" spans="1:14" ht="15">
      <c r="A83" s="68">
        <f t="shared" si="2"/>
        <v>2018</v>
      </c>
      <c r="B83" s="49" t="s">
        <v>10</v>
      </c>
      <c r="C83" s="50" t="e">
        <f t="shared" si="0"/>
        <v>#DIV/0!</v>
      </c>
      <c r="D83" s="50" t="e">
        <f t="shared" si="1"/>
        <v>#DIV/0!</v>
      </c>
      <c r="E83" s="50" t="e">
        <f t="shared" si="3"/>
        <v>#DIV/0!</v>
      </c>
      <c r="F83" s="50" t="e">
        <f t="shared" si="4"/>
        <v>#DIV/0!</v>
      </c>
      <c r="G83" s="45"/>
      <c r="H83" s="45"/>
      <c r="I83" s="45"/>
      <c r="J83" s="45"/>
      <c r="K83" s="45"/>
      <c r="L83" s="45"/>
      <c r="M83" s="45"/>
      <c r="N83" s="45"/>
    </row>
    <row r="84" spans="1:14" ht="15">
      <c r="A84" s="68">
        <f t="shared" si="2"/>
        <v>2018</v>
      </c>
      <c r="B84" s="49" t="s">
        <v>11</v>
      </c>
      <c r="C84" s="50" t="e">
        <f t="shared" si="0"/>
        <v>#DIV/0!</v>
      </c>
      <c r="D84" s="50" t="e">
        <f t="shared" si="1"/>
        <v>#DIV/0!</v>
      </c>
      <c r="E84" s="50" t="e">
        <f t="shared" si="3"/>
        <v>#DIV/0!</v>
      </c>
      <c r="F84" s="50" t="e">
        <f t="shared" si="4"/>
        <v>#DIV/0!</v>
      </c>
      <c r="G84" s="45"/>
      <c r="H84" s="45"/>
      <c r="I84" s="45"/>
      <c r="J84" s="45"/>
      <c r="K84" s="45"/>
      <c r="L84" s="45"/>
      <c r="M84" s="45"/>
      <c r="N84" s="45"/>
    </row>
    <row r="85" spans="1:14" ht="15">
      <c r="A85" s="68">
        <f t="shared" si="2"/>
        <v>2018</v>
      </c>
      <c r="B85" s="49" t="s">
        <v>12</v>
      </c>
      <c r="C85" s="50" t="e">
        <f t="shared" si="0"/>
        <v>#DIV/0!</v>
      </c>
      <c r="D85" s="50" t="e">
        <f t="shared" si="1"/>
        <v>#DIV/0!</v>
      </c>
      <c r="E85" s="50" t="e">
        <f t="shared" si="3"/>
        <v>#DIV/0!</v>
      </c>
      <c r="F85" s="50" t="e">
        <f t="shared" si="4"/>
        <v>#DIV/0!</v>
      </c>
      <c r="G85" s="45"/>
      <c r="H85" s="45"/>
      <c r="I85" s="45"/>
      <c r="J85" s="45"/>
      <c r="K85" s="45"/>
      <c r="L85" s="45"/>
      <c r="M85" s="45"/>
      <c r="N85" s="45"/>
    </row>
    <row r="86" spans="1:14" ht="15">
      <c r="A86" s="68">
        <f t="shared" si="2"/>
        <v>2018</v>
      </c>
      <c r="B86" s="49" t="s">
        <v>13</v>
      </c>
      <c r="C86" s="50" t="e">
        <f t="shared" si="0"/>
        <v>#DIV/0!</v>
      </c>
      <c r="D86" s="50" t="e">
        <f t="shared" si="1"/>
        <v>#DIV/0!</v>
      </c>
      <c r="E86" s="50" t="e">
        <f t="shared" si="3"/>
        <v>#DIV/0!</v>
      </c>
      <c r="F86" s="50" t="e">
        <f t="shared" si="4"/>
        <v>#DIV/0!</v>
      </c>
      <c r="G86" s="45"/>
      <c r="H86" s="45"/>
      <c r="I86" s="45"/>
      <c r="J86" s="45"/>
      <c r="K86" s="45"/>
      <c r="L86" s="45"/>
      <c r="M86" s="45"/>
      <c r="N86" s="45"/>
    </row>
    <row r="87" spans="1:14" ht="15">
      <c r="A87" s="68">
        <f t="shared" si="2"/>
        <v>2018</v>
      </c>
      <c r="B87" s="49" t="s">
        <v>14</v>
      </c>
      <c r="C87" s="50" t="e">
        <f t="shared" si="0"/>
        <v>#DIV/0!</v>
      </c>
      <c r="D87" s="50" t="e">
        <f t="shared" si="1"/>
        <v>#DIV/0!</v>
      </c>
      <c r="E87" s="50" t="e">
        <f t="shared" si="3"/>
        <v>#DIV/0!</v>
      </c>
      <c r="F87" s="50" t="e">
        <f t="shared" si="4"/>
        <v>#DIV/0!</v>
      </c>
      <c r="G87" s="45"/>
      <c r="H87" s="45"/>
      <c r="I87" s="45"/>
      <c r="J87" s="45"/>
      <c r="K87" s="45"/>
      <c r="L87" s="45"/>
      <c r="M87" s="45"/>
      <c r="N87" s="45"/>
    </row>
    <row r="88" spans="1:14" ht="15">
      <c r="A88" s="68">
        <f t="shared" si="2"/>
        <v>2018</v>
      </c>
      <c r="B88" s="49" t="s">
        <v>15</v>
      </c>
      <c r="C88" s="50" t="e">
        <f t="shared" si="0"/>
        <v>#DIV/0!</v>
      </c>
      <c r="D88" s="50" t="e">
        <f t="shared" si="1"/>
        <v>#DIV/0!</v>
      </c>
      <c r="E88" s="50" t="e">
        <f t="shared" si="3"/>
        <v>#DIV/0!</v>
      </c>
      <c r="F88" s="50" t="e">
        <f t="shared" si="4"/>
        <v>#DIV/0!</v>
      </c>
      <c r="G88" s="45"/>
      <c r="H88" s="45"/>
      <c r="I88" s="45"/>
      <c r="J88" s="45"/>
      <c r="K88" s="45"/>
      <c r="L88" s="45"/>
      <c r="M88" s="45"/>
      <c r="N88" s="45"/>
    </row>
    <row r="89" spans="1:14" ht="15">
      <c r="A89" s="68">
        <f t="shared" si="2"/>
        <v>2018</v>
      </c>
      <c r="B89" s="49" t="s">
        <v>16</v>
      </c>
      <c r="C89" s="50" t="e">
        <f t="shared" si="0"/>
        <v>#DIV/0!</v>
      </c>
      <c r="D89" s="50" t="e">
        <f t="shared" si="1"/>
        <v>#DIV/0!</v>
      </c>
      <c r="E89" s="50" t="e">
        <f t="shared" si="3"/>
        <v>#DIV/0!</v>
      </c>
      <c r="F89" s="50" t="e">
        <f t="shared" si="4"/>
        <v>#DIV/0!</v>
      </c>
      <c r="G89" s="45"/>
      <c r="H89" s="45"/>
      <c r="I89" s="45"/>
      <c r="J89" s="45"/>
      <c r="K89" s="45"/>
      <c r="L89" s="45"/>
      <c r="M89" s="45"/>
      <c r="N89" s="45"/>
    </row>
    <row r="90" spans="1:14" ht="15">
      <c r="A90" s="68">
        <f t="shared" si="2"/>
        <v>2018</v>
      </c>
      <c r="B90" s="49" t="s">
        <v>5</v>
      </c>
      <c r="C90" s="50" t="e">
        <f t="shared" si="0"/>
        <v>#DIV/0!</v>
      </c>
      <c r="D90" s="50" t="e">
        <f t="shared" si="1"/>
        <v>#DIV/0!</v>
      </c>
      <c r="E90" s="50" t="e">
        <f t="shared" si="3"/>
        <v>#DIV/0!</v>
      </c>
      <c r="F90" s="50" t="e">
        <f t="shared" si="4"/>
        <v>#DIV/0!</v>
      </c>
      <c r="G90" s="45"/>
      <c r="H90" s="45"/>
      <c r="I90" s="45"/>
      <c r="J90" s="45"/>
      <c r="K90" s="45"/>
      <c r="L90" s="45"/>
      <c r="M90" s="45"/>
      <c r="N90" s="45"/>
    </row>
    <row r="91" spans="1:14" ht="15">
      <c r="A91" s="68">
        <f t="shared" si="2"/>
        <v>2018</v>
      </c>
      <c r="B91" s="49" t="s">
        <v>6</v>
      </c>
      <c r="C91" s="50" t="e">
        <f t="shared" si="0"/>
        <v>#DIV/0!</v>
      </c>
      <c r="D91" s="50" t="e">
        <f t="shared" si="1"/>
        <v>#DIV/0!</v>
      </c>
      <c r="E91" s="50" t="e">
        <f t="shared" si="3"/>
        <v>#DIV/0!</v>
      </c>
      <c r="F91" s="50" t="e">
        <f t="shared" si="4"/>
        <v>#DIV/0!</v>
      </c>
      <c r="G91" s="45"/>
      <c r="H91" s="45"/>
      <c r="I91" s="45"/>
      <c r="J91" s="45"/>
      <c r="K91" s="45"/>
      <c r="L91" s="45"/>
      <c r="M91" s="45"/>
      <c r="N91" s="45"/>
    </row>
    <row r="92" spans="1:14" ht="15">
      <c r="A92" s="68">
        <f t="shared" si="2"/>
        <v>2018</v>
      </c>
      <c r="B92" s="49" t="s">
        <v>7</v>
      </c>
      <c r="C92" s="50" t="e">
        <f t="shared" si="0"/>
        <v>#DIV/0!</v>
      </c>
      <c r="D92" s="50" t="e">
        <f t="shared" si="1"/>
        <v>#DIV/0!</v>
      </c>
      <c r="E92" s="50" t="e">
        <f t="shared" si="3"/>
        <v>#DIV/0!</v>
      </c>
      <c r="F92" s="50" t="e">
        <f t="shared" si="4"/>
        <v>#DIV/0!</v>
      </c>
      <c r="G92" s="45"/>
      <c r="H92" s="45"/>
      <c r="I92" s="45"/>
      <c r="J92" s="45"/>
      <c r="K92" s="45"/>
      <c r="L92" s="45"/>
      <c r="M92" s="45"/>
      <c r="N92" s="45"/>
    </row>
    <row r="93" spans="1:14" ht="15">
      <c r="A93" s="68"/>
      <c r="B93" s="49"/>
      <c r="C93" s="50"/>
      <c r="D93" s="50"/>
      <c r="E93" s="50"/>
      <c r="F93" s="50"/>
      <c r="G93" s="45"/>
      <c r="H93" s="45"/>
      <c r="I93" s="45"/>
      <c r="J93" s="45"/>
      <c r="K93" s="45"/>
      <c r="L93" s="45"/>
      <c r="M93" s="45"/>
      <c r="N93" s="45"/>
    </row>
    <row r="94" spans="1:14" ht="15">
      <c r="A94" s="68">
        <f>E$2+1</f>
        <v>2019</v>
      </c>
      <c r="B94" s="49" t="s">
        <v>203</v>
      </c>
      <c r="C94" s="50" t="e">
        <f aca="true" t="shared" si="5" ref="C94:C105">F$77</f>
        <v>#DIV/0!</v>
      </c>
      <c r="D94" s="50" t="e">
        <f>F92*F$75</f>
        <v>#DIV/0!</v>
      </c>
      <c r="E94" s="50" t="e">
        <f t="shared" si="3"/>
        <v>#DIV/0!</v>
      </c>
      <c r="F94" s="50" t="e">
        <f>F92-E94</f>
        <v>#DIV/0!</v>
      </c>
      <c r="G94" s="45"/>
      <c r="H94" s="45"/>
      <c r="I94" s="45"/>
      <c r="J94" s="45"/>
      <c r="K94" s="45"/>
      <c r="L94" s="45"/>
      <c r="M94" s="45"/>
      <c r="N94" s="45"/>
    </row>
    <row r="95" spans="1:14" ht="15">
      <c r="A95" s="68">
        <f aca="true" t="shared" si="6" ref="A95:A105">E$2+1</f>
        <v>2019</v>
      </c>
      <c r="B95" s="49" t="s">
        <v>9</v>
      </c>
      <c r="C95" s="50" t="e">
        <f t="shared" si="5"/>
        <v>#DIV/0!</v>
      </c>
      <c r="D95" s="50" t="e">
        <f aca="true" t="shared" si="7" ref="D95:D105">F94*F$75</f>
        <v>#DIV/0!</v>
      </c>
      <c r="E95" s="50" t="e">
        <f t="shared" si="3"/>
        <v>#DIV/0!</v>
      </c>
      <c r="F95" s="50" t="e">
        <f t="shared" si="4"/>
        <v>#DIV/0!</v>
      </c>
      <c r="G95" s="45"/>
      <c r="H95" s="45"/>
      <c r="I95" s="45"/>
      <c r="J95" s="45"/>
      <c r="K95" s="45"/>
      <c r="L95" s="45"/>
      <c r="M95" s="45"/>
      <c r="N95" s="45"/>
    </row>
    <row r="96" spans="1:14" ht="15">
      <c r="A96" s="68">
        <f t="shared" si="6"/>
        <v>2019</v>
      </c>
      <c r="B96" s="49" t="s">
        <v>10</v>
      </c>
      <c r="C96" s="50" t="e">
        <f t="shared" si="5"/>
        <v>#DIV/0!</v>
      </c>
      <c r="D96" s="50" t="e">
        <f t="shared" si="7"/>
        <v>#DIV/0!</v>
      </c>
      <c r="E96" s="50" t="e">
        <f t="shared" si="3"/>
        <v>#DIV/0!</v>
      </c>
      <c r="F96" s="50" t="e">
        <f t="shared" si="4"/>
        <v>#DIV/0!</v>
      </c>
      <c r="G96" s="45"/>
      <c r="H96" s="45"/>
      <c r="I96" s="45"/>
      <c r="J96" s="45"/>
      <c r="K96" s="45"/>
      <c r="L96" s="45"/>
      <c r="M96" s="45"/>
      <c r="N96" s="45"/>
    </row>
    <row r="97" spans="1:14" ht="15">
      <c r="A97" s="68">
        <f t="shared" si="6"/>
        <v>2019</v>
      </c>
      <c r="B97" s="49" t="s">
        <v>11</v>
      </c>
      <c r="C97" s="50" t="e">
        <f t="shared" si="5"/>
        <v>#DIV/0!</v>
      </c>
      <c r="D97" s="50" t="e">
        <f t="shared" si="7"/>
        <v>#DIV/0!</v>
      </c>
      <c r="E97" s="50" t="e">
        <f t="shared" si="3"/>
        <v>#DIV/0!</v>
      </c>
      <c r="F97" s="50" t="e">
        <f t="shared" si="4"/>
        <v>#DIV/0!</v>
      </c>
      <c r="G97" s="45"/>
      <c r="H97" s="45"/>
      <c r="I97" s="45"/>
      <c r="J97" s="45"/>
      <c r="K97" s="45"/>
      <c r="L97" s="45"/>
      <c r="M97" s="45"/>
      <c r="N97" s="45"/>
    </row>
    <row r="98" spans="1:14" ht="15">
      <c r="A98" s="68">
        <f t="shared" si="6"/>
        <v>2019</v>
      </c>
      <c r="B98" s="49" t="s">
        <v>12</v>
      </c>
      <c r="C98" s="50" t="e">
        <f t="shared" si="5"/>
        <v>#DIV/0!</v>
      </c>
      <c r="D98" s="50" t="e">
        <f t="shared" si="7"/>
        <v>#DIV/0!</v>
      </c>
      <c r="E98" s="50" t="e">
        <f t="shared" si="3"/>
        <v>#DIV/0!</v>
      </c>
      <c r="F98" s="50" t="e">
        <f t="shared" si="4"/>
        <v>#DIV/0!</v>
      </c>
      <c r="G98" s="45"/>
      <c r="H98" s="45"/>
      <c r="I98" s="45"/>
      <c r="J98" s="45"/>
      <c r="K98" s="45"/>
      <c r="L98" s="45"/>
      <c r="M98" s="45"/>
      <c r="N98" s="45"/>
    </row>
    <row r="99" spans="1:14" ht="15">
      <c r="A99" s="68">
        <f t="shared" si="6"/>
        <v>2019</v>
      </c>
      <c r="B99" s="49" t="s">
        <v>13</v>
      </c>
      <c r="C99" s="50" t="e">
        <f t="shared" si="5"/>
        <v>#DIV/0!</v>
      </c>
      <c r="D99" s="50" t="e">
        <f t="shared" si="7"/>
        <v>#DIV/0!</v>
      </c>
      <c r="E99" s="50" t="e">
        <f t="shared" si="3"/>
        <v>#DIV/0!</v>
      </c>
      <c r="F99" s="50" t="e">
        <f t="shared" si="4"/>
        <v>#DIV/0!</v>
      </c>
      <c r="G99" s="45"/>
      <c r="H99" s="45"/>
      <c r="I99" s="45"/>
      <c r="J99" s="45"/>
      <c r="K99" s="45"/>
      <c r="L99" s="45"/>
      <c r="M99" s="45"/>
      <c r="N99" s="45"/>
    </row>
    <row r="100" spans="1:14" ht="15">
      <c r="A100" s="68">
        <f t="shared" si="6"/>
        <v>2019</v>
      </c>
      <c r="B100" s="49" t="s">
        <v>14</v>
      </c>
      <c r="C100" s="50" t="e">
        <f t="shared" si="5"/>
        <v>#DIV/0!</v>
      </c>
      <c r="D100" s="50" t="e">
        <f t="shared" si="7"/>
        <v>#DIV/0!</v>
      </c>
      <c r="E100" s="50" t="e">
        <f t="shared" si="3"/>
        <v>#DIV/0!</v>
      </c>
      <c r="F100" s="50" t="e">
        <f t="shared" si="4"/>
        <v>#DIV/0!</v>
      </c>
      <c r="G100" s="45"/>
      <c r="H100" s="45"/>
      <c r="I100" s="45"/>
      <c r="J100" s="45"/>
      <c r="K100" s="45"/>
      <c r="L100" s="45"/>
      <c r="M100" s="45"/>
      <c r="N100" s="45"/>
    </row>
    <row r="101" spans="1:14" ht="15">
      <c r="A101" s="68">
        <f t="shared" si="6"/>
        <v>2019</v>
      </c>
      <c r="B101" s="49" t="s">
        <v>15</v>
      </c>
      <c r="C101" s="50" t="e">
        <f t="shared" si="5"/>
        <v>#DIV/0!</v>
      </c>
      <c r="D101" s="50" t="e">
        <f t="shared" si="7"/>
        <v>#DIV/0!</v>
      </c>
      <c r="E101" s="50" t="e">
        <f t="shared" si="3"/>
        <v>#DIV/0!</v>
      </c>
      <c r="F101" s="50" t="e">
        <f t="shared" si="4"/>
        <v>#DIV/0!</v>
      </c>
      <c r="G101" s="45"/>
      <c r="H101" s="45"/>
      <c r="I101" s="45"/>
      <c r="J101" s="45"/>
      <c r="K101" s="45"/>
      <c r="L101" s="45"/>
      <c r="M101" s="45"/>
      <c r="N101" s="45"/>
    </row>
    <row r="102" spans="1:14" ht="15">
      <c r="A102" s="68">
        <f t="shared" si="6"/>
        <v>2019</v>
      </c>
      <c r="B102" s="49" t="s">
        <v>16</v>
      </c>
      <c r="C102" s="50" t="e">
        <f t="shared" si="5"/>
        <v>#DIV/0!</v>
      </c>
      <c r="D102" s="50" t="e">
        <f t="shared" si="7"/>
        <v>#DIV/0!</v>
      </c>
      <c r="E102" s="50" t="e">
        <f t="shared" si="3"/>
        <v>#DIV/0!</v>
      </c>
      <c r="F102" s="50" t="e">
        <f t="shared" si="4"/>
        <v>#DIV/0!</v>
      </c>
      <c r="G102" s="45"/>
      <c r="H102" s="45"/>
      <c r="I102" s="45"/>
      <c r="J102" s="45"/>
      <c r="K102" s="45"/>
      <c r="L102" s="45"/>
      <c r="M102" s="45"/>
      <c r="N102" s="45"/>
    </row>
    <row r="103" spans="1:14" ht="15">
      <c r="A103" s="68">
        <f t="shared" si="6"/>
        <v>2019</v>
      </c>
      <c r="B103" s="49" t="s">
        <v>5</v>
      </c>
      <c r="C103" s="50" t="e">
        <f t="shared" si="5"/>
        <v>#DIV/0!</v>
      </c>
      <c r="D103" s="50" t="e">
        <f t="shared" si="7"/>
        <v>#DIV/0!</v>
      </c>
      <c r="E103" s="50" t="e">
        <f t="shared" si="3"/>
        <v>#DIV/0!</v>
      </c>
      <c r="F103" s="50" t="e">
        <f t="shared" si="4"/>
        <v>#DIV/0!</v>
      </c>
      <c r="G103" s="45"/>
      <c r="H103" s="45"/>
      <c r="I103" s="45"/>
      <c r="J103" s="45"/>
      <c r="K103" s="45"/>
      <c r="L103" s="45"/>
      <c r="M103" s="45"/>
      <c r="N103" s="45"/>
    </row>
    <row r="104" spans="1:14" ht="15">
      <c r="A104" s="68">
        <f t="shared" si="6"/>
        <v>2019</v>
      </c>
      <c r="B104" s="49" t="s">
        <v>6</v>
      </c>
      <c r="C104" s="50" t="e">
        <f t="shared" si="5"/>
        <v>#DIV/0!</v>
      </c>
      <c r="D104" s="50" t="e">
        <f t="shared" si="7"/>
        <v>#DIV/0!</v>
      </c>
      <c r="E104" s="50" t="e">
        <f t="shared" si="3"/>
        <v>#DIV/0!</v>
      </c>
      <c r="F104" s="50" t="e">
        <f t="shared" si="4"/>
        <v>#DIV/0!</v>
      </c>
      <c r="G104" s="45"/>
      <c r="H104" s="45"/>
      <c r="I104" s="45"/>
      <c r="J104" s="45"/>
      <c r="K104" s="45"/>
      <c r="L104" s="45"/>
      <c r="M104" s="45"/>
      <c r="N104" s="45"/>
    </row>
    <row r="105" spans="1:14" ht="15">
      <c r="A105" s="68">
        <f t="shared" si="6"/>
        <v>2019</v>
      </c>
      <c r="B105" s="49" t="s">
        <v>7</v>
      </c>
      <c r="C105" s="50" t="e">
        <f t="shared" si="5"/>
        <v>#DIV/0!</v>
      </c>
      <c r="D105" s="50" t="e">
        <f t="shared" si="7"/>
        <v>#DIV/0!</v>
      </c>
      <c r="E105" s="50" t="e">
        <f>C105-D105</f>
        <v>#DIV/0!</v>
      </c>
      <c r="F105" s="50" t="e">
        <f t="shared" si="4"/>
        <v>#DIV/0!</v>
      </c>
      <c r="G105" s="45"/>
      <c r="H105" s="45"/>
      <c r="I105" s="45"/>
      <c r="J105" s="45"/>
      <c r="K105" s="45"/>
      <c r="L105" s="45"/>
      <c r="M105" s="45"/>
      <c r="N105" s="45"/>
    </row>
    <row r="106" spans="1:14" ht="15">
      <c r="A106" s="68"/>
      <c r="B106" s="49"/>
      <c r="C106" s="50"/>
      <c r="D106" s="50"/>
      <c r="E106" s="50"/>
      <c r="F106" s="50"/>
      <c r="G106" s="45"/>
      <c r="H106" s="45"/>
      <c r="I106" s="45"/>
      <c r="J106" s="45"/>
      <c r="K106" s="45"/>
      <c r="L106" s="45"/>
      <c r="M106" s="45"/>
      <c r="N106" s="45"/>
    </row>
    <row r="107" spans="1:14" ht="15">
      <c r="A107" s="45" t="s">
        <v>238</v>
      </c>
      <c r="C107" s="45" t="s">
        <v>229</v>
      </c>
      <c r="D107" s="45"/>
      <c r="E107" s="57">
        <v>2018</v>
      </c>
      <c r="F107" s="50" t="e">
        <f>SUM(E81:E92)</f>
        <v>#DIV/0!</v>
      </c>
      <c r="G107" s="45"/>
      <c r="H107" s="45"/>
      <c r="I107" s="45"/>
      <c r="J107" s="45"/>
      <c r="K107" s="45"/>
      <c r="L107" s="45"/>
      <c r="M107" s="45"/>
      <c r="N107" s="45"/>
    </row>
    <row r="108" spans="1:14" ht="15">
      <c r="A108" s="45" t="s">
        <v>239</v>
      </c>
      <c r="C108" s="45" t="s">
        <v>230</v>
      </c>
      <c r="D108" s="45"/>
      <c r="E108" s="57">
        <v>2019</v>
      </c>
      <c r="F108" s="50" t="e">
        <f>SUM(E94:E105)</f>
        <v>#DIV/0!</v>
      </c>
      <c r="G108" s="45"/>
      <c r="H108" s="45"/>
      <c r="I108" s="45"/>
      <c r="J108" s="45"/>
      <c r="K108" s="45"/>
      <c r="L108" s="45"/>
      <c r="M108" s="45"/>
      <c r="N108" s="45"/>
    </row>
    <row r="109" spans="1:14" ht="15">
      <c r="A109" s="45"/>
      <c r="C109" s="45"/>
      <c r="D109" s="45"/>
      <c r="E109" s="62"/>
      <c r="F109" s="50"/>
      <c r="G109" s="45"/>
      <c r="H109" s="45"/>
      <c r="I109" s="45"/>
      <c r="J109" s="45"/>
      <c r="K109" s="45"/>
      <c r="L109" s="45"/>
      <c r="M109" s="45"/>
      <c r="N109" s="45"/>
    </row>
    <row r="110" spans="1:14" ht="15">
      <c r="A110" s="45"/>
      <c r="C110" s="45" t="s">
        <v>231</v>
      </c>
      <c r="D110" s="45"/>
      <c r="E110" s="57">
        <v>2018</v>
      </c>
      <c r="F110" s="50" t="e">
        <f>SUM(D81:D92)</f>
        <v>#DIV/0!</v>
      </c>
      <c r="G110" s="45"/>
      <c r="H110" s="45"/>
      <c r="I110" s="45"/>
      <c r="J110" s="45"/>
      <c r="K110" s="45"/>
      <c r="L110" s="45"/>
      <c r="M110" s="45"/>
      <c r="N110" s="45"/>
    </row>
    <row r="111" spans="3:14" ht="15">
      <c r="C111" s="45" t="s">
        <v>231</v>
      </c>
      <c r="D111" s="45"/>
      <c r="E111" s="57">
        <v>2019</v>
      </c>
      <c r="F111" s="50" t="e">
        <f>SUM(D94:D105)</f>
        <v>#DIV/0!</v>
      </c>
      <c r="G111" s="45"/>
      <c r="H111" s="45"/>
      <c r="I111" s="45"/>
      <c r="J111" s="45"/>
      <c r="K111" s="45"/>
      <c r="L111" s="45"/>
      <c r="M111" s="45"/>
      <c r="N111" s="45"/>
    </row>
    <row r="112" spans="1:14" ht="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ht="22.5">
      <c r="A114" s="45"/>
      <c r="B114" s="45"/>
      <c r="C114" s="45"/>
      <c r="D114" s="54" t="s">
        <v>245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ht="15">
      <c r="A115" s="45"/>
      <c r="B115" s="45"/>
      <c r="C115" s="45"/>
      <c r="D115" s="45"/>
      <c r="E115" s="45"/>
      <c r="F115" s="45"/>
      <c r="G115" s="45"/>
      <c r="H115" s="52"/>
      <c r="I115" s="45"/>
      <c r="J115" s="45"/>
      <c r="K115" s="45"/>
      <c r="L115" s="45"/>
      <c r="M115" s="45"/>
      <c r="N115" s="45"/>
    </row>
    <row r="116" spans="1:14" ht="15.75">
      <c r="A116" s="45"/>
      <c r="B116" s="44" t="s">
        <v>244</v>
      </c>
      <c r="C116" s="44"/>
      <c r="D116" s="44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ht="15.75">
      <c r="A117" s="45"/>
      <c r="B117" s="45"/>
      <c r="C117" s="53" t="s">
        <v>204</v>
      </c>
      <c r="D117" s="53" t="s">
        <v>205</v>
      </c>
      <c r="E117" s="53" t="s">
        <v>206</v>
      </c>
      <c r="F117" s="53" t="s">
        <v>207</v>
      </c>
      <c r="G117" s="45"/>
      <c r="H117" s="45"/>
      <c r="I117" s="45"/>
      <c r="J117" s="45"/>
      <c r="K117" s="45"/>
      <c r="L117" s="45"/>
      <c r="M117" s="45"/>
      <c r="N117" s="45"/>
    </row>
    <row r="118" spans="1:14" ht="15">
      <c r="A118" s="45"/>
      <c r="B118" s="45" t="s">
        <v>313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ht="15">
      <c r="A119" s="68">
        <v>2017</v>
      </c>
      <c r="B119" s="49" t="s">
        <v>203</v>
      </c>
      <c r="C119" s="50">
        <v>52765.24153582501</v>
      </c>
      <c r="D119" s="50">
        <v>31913.33371899937</v>
      </c>
      <c r="E119" s="50">
        <v>20851.90781682574</v>
      </c>
      <c r="F119" s="50">
        <v>5258512.7789166495</v>
      </c>
      <c r="G119" s="45"/>
      <c r="H119" s="45"/>
      <c r="I119" s="45"/>
      <c r="J119" s="45"/>
      <c r="K119" s="45"/>
      <c r="L119" s="45"/>
      <c r="M119" s="45"/>
      <c r="N119" s="45"/>
    </row>
    <row r="120" spans="1:14" ht="15">
      <c r="A120" s="68">
        <v>2017</v>
      </c>
      <c r="B120" s="49" t="s">
        <v>9</v>
      </c>
      <c r="C120" s="50">
        <v>52765.24153582501</v>
      </c>
      <c r="D120" s="50">
        <v>31787.28562474461</v>
      </c>
      <c r="E120" s="50">
        <v>20977.955911080397</v>
      </c>
      <c r="F120" s="50">
        <v>5237535.102246741</v>
      </c>
      <c r="G120" s="45"/>
      <c r="H120" s="45"/>
      <c r="I120" s="45"/>
      <c r="J120" s="45"/>
      <c r="K120" s="45"/>
      <c r="L120" s="45"/>
      <c r="M120" s="45"/>
      <c r="N120" s="45"/>
    </row>
    <row r="121" spans="1:14" ht="15">
      <c r="A121" s="68">
        <v>2017</v>
      </c>
      <c r="B121" s="49" t="s">
        <v>10</v>
      </c>
      <c r="C121" s="50">
        <v>52765.24153582501</v>
      </c>
      <c r="D121" s="50">
        <v>31660.475579966944</v>
      </c>
      <c r="E121" s="50">
        <v>21104.765955858064</v>
      </c>
      <c r="F121" s="50">
        <v>5216430.336290881</v>
      </c>
      <c r="G121" s="45"/>
      <c r="H121" s="45"/>
      <c r="I121" s="45"/>
      <c r="J121" s="45"/>
      <c r="K121" s="45"/>
      <c r="L121" s="45"/>
      <c r="M121" s="45"/>
      <c r="N121" s="45"/>
    </row>
    <row r="122" spans="1:14" ht="15">
      <c r="A122" s="68">
        <v>2017</v>
      </c>
      <c r="B122" s="49" t="s">
        <v>11</v>
      </c>
      <c r="C122" s="50">
        <v>52765.24153582501</v>
      </c>
      <c r="D122" s="50">
        <v>31532.89897873721</v>
      </c>
      <c r="E122" s="50">
        <v>21232.342557087795</v>
      </c>
      <c r="F122" s="50">
        <v>5195197.993733799</v>
      </c>
      <c r="G122" s="45"/>
      <c r="H122" s="45" t="s">
        <v>228</v>
      </c>
      <c r="I122" s="45"/>
      <c r="J122" s="45"/>
      <c r="K122" s="45"/>
      <c r="L122" s="45"/>
      <c r="M122" s="45"/>
      <c r="N122" s="45"/>
    </row>
    <row r="123" spans="1:14" ht="15">
      <c r="A123" s="68">
        <v>2017</v>
      </c>
      <c r="B123" s="49" t="s">
        <v>12</v>
      </c>
      <c r="C123" s="50">
        <v>52765.24153582501</v>
      </c>
      <c r="D123" s="50">
        <v>31404.551187283603</v>
      </c>
      <c r="E123" s="50">
        <v>21360.690348541506</v>
      </c>
      <c r="F123" s="50">
        <v>5173837.303385256</v>
      </c>
      <c r="G123" s="45"/>
      <c r="H123" s="45"/>
      <c r="I123" s="45"/>
      <c r="J123" s="45"/>
      <c r="K123" s="45"/>
      <c r="L123" s="45"/>
      <c r="M123" s="45"/>
      <c r="N123" s="45"/>
    </row>
    <row r="124" spans="1:14" ht="15">
      <c r="A124" s="68">
        <v>2017</v>
      </c>
      <c r="B124" s="49" t="s">
        <v>13</v>
      </c>
      <c r="C124" s="50">
        <v>52765.24153582501</v>
      </c>
      <c r="D124" s="50">
        <v>31275.42754382364</v>
      </c>
      <c r="E124" s="50">
        <v>21489.813992001367</v>
      </c>
      <c r="F124" s="50">
        <v>5152347.489393247</v>
      </c>
      <c r="G124" s="45"/>
      <c r="H124" s="45"/>
      <c r="I124" s="45"/>
      <c r="J124" s="45"/>
      <c r="K124" s="45"/>
      <c r="L124" s="45"/>
      <c r="M124" s="45"/>
      <c r="N124" s="45"/>
    </row>
    <row r="125" spans="1:14" ht="15">
      <c r="A125" s="68">
        <v>2017</v>
      </c>
      <c r="B125" s="49" t="s">
        <v>14</v>
      </c>
      <c r="C125" s="50">
        <v>52765.24153582501</v>
      </c>
      <c r="D125" s="50">
        <v>31145.523358394905</v>
      </c>
      <c r="E125" s="50">
        <v>21619.718177430103</v>
      </c>
      <c r="F125" s="50">
        <v>5130727.771215823</v>
      </c>
      <c r="G125" s="45"/>
      <c r="H125" s="45"/>
      <c r="I125" s="45"/>
      <c r="J125" s="45"/>
      <c r="K125" s="45"/>
      <c r="L125" s="45"/>
      <c r="M125" s="45"/>
      <c r="N125" s="45"/>
    </row>
    <row r="126" spans="1:14" ht="15">
      <c r="A126" s="68">
        <v>2017</v>
      </c>
      <c r="B126" s="49" t="s">
        <v>15</v>
      </c>
      <c r="C126" s="50">
        <v>52765.24153582501</v>
      </c>
      <c r="D126" s="50">
        <v>31014.833912684353</v>
      </c>
      <c r="E126" s="50">
        <v>21750.407623140654</v>
      </c>
      <c r="F126" s="50">
        <v>5108977.36359268</v>
      </c>
      <c r="G126" s="45"/>
      <c r="H126" s="45"/>
      <c r="I126" s="45"/>
      <c r="J126" s="45"/>
      <c r="K126" s="45"/>
      <c r="L126" s="45"/>
      <c r="M126" s="45"/>
      <c r="N126" s="45"/>
    </row>
    <row r="127" spans="1:14" ht="15">
      <c r="A127" s="68">
        <v>2017</v>
      </c>
      <c r="B127" s="49" t="s">
        <v>16</v>
      </c>
      <c r="C127" s="50">
        <v>52765.24153582501</v>
      </c>
      <c r="D127" s="50">
        <v>30883.354459857102</v>
      </c>
      <c r="E127" s="50">
        <v>21881.887075967905</v>
      </c>
      <c r="F127" s="50">
        <v>5087095.4765167115</v>
      </c>
      <c r="G127" s="45"/>
      <c r="H127" s="45"/>
      <c r="I127" s="45"/>
      <c r="J127" s="45"/>
      <c r="K127" s="45"/>
      <c r="L127" s="45"/>
      <c r="M127" s="45"/>
      <c r="N127" s="45"/>
    </row>
    <row r="128" spans="1:14" ht="15">
      <c r="A128" s="68">
        <v>2017</v>
      </c>
      <c r="B128" s="49" t="s">
        <v>5</v>
      </c>
      <c r="C128" s="50">
        <v>52765.24153582501</v>
      </c>
      <c r="D128" s="50">
        <v>30751.08022438417</v>
      </c>
      <c r="E128" s="50">
        <v>22014.161311440836</v>
      </c>
      <c r="F128" s="50">
        <v>5065081.315205272</v>
      </c>
      <c r="G128" s="45"/>
      <c r="H128" s="45"/>
      <c r="I128" s="45"/>
      <c r="J128" s="45"/>
      <c r="K128" s="45"/>
      <c r="L128" s="45"/>
      <c r="M128" s="45"/>
      <c r="N128" s="45"/>
    </row>
    <row r="129" spans="1:14" ht="15">
      <c r="A129" s="68">
        <v>2017</v>
      </c>
      <c r="B129" s="49" t="s">
        <v>6</v>
      </c>
      <c r="C129" s="50">
        <v>52765.24153582501</v>
      </c>
      <c r="D129" s="50">
        <v>30618.006401868814</v>
      </c>
      <c r="E129" s="50">
        <v>22147.235133956194</v>
      </c>
      <c r="F129" s="50">
        <v>5042934.080071317</v>
      </c>
      <c r="G129" s="45"/>
      <c r="H129" s="45"/>
      <c r="I129" s="45"/>
      <c r="J129" s="45"/>
      <c r="K129" s="45"/>
      <c r="L129" s="45"/>
      <c r="M129" s="45"/>
      <c r="N129" s="45"/>
    </row>
    <row r="130" spans="1:14" ht="15">
      <c r="A130" s="68">
        <v>2017</v>
      </c>
      <c r="B130" s="49" t="s">
        <v>7</v>
      </c>
      <c r="C130" s="50">
        <v>52765.24153582501</v>
      </c>
      <c r="D130" s="50">
        <v>30484.128158872165</v>
      </c>
      <c r="E130" s="50">
        <v>22281.113376952842</v>
      </c>
      <c r="F130" s="50">
        <v>5020652.966694365</v>
      </c>
      <c r="G130" s="45"/>
      <c r="H130" s="45"/>
      <c r="I130" s="45"/>
      <c r="J130" s="45"/>
      <c r="K130" s="45"/>
      <c r="L130" s="45"/>
      <c r="M130" s="45"/>
      <c r="N130" s="45"/>
    </row>
    <row r="131" spans="1:14" ht="15">
      <c r="A131" s="68"/>
      <c r="B131" s="49"/>
      <c r="C131" s="50"/>
      <c r="D131" s="50"/>
      <c r="E131" s="50"/>
      <c r="F131" s="50"/>
      <c r="G131" s="45"/>
      <c r="H131" s="45"/>
      <c r="I131" s="45"/>
      <c r="J131" s="45"/>
      <c r="K131" s="45"/>
      <c r="L131" s="45"/>
      <c r="M131" s="45"/>
      <c r="N131" s="45"/>
    </row>
    <row r="132" spans="1:14" ht="15">
      <c r="A132" s="45" t="s">
        <v>240</v>
      </c>
      <c r="B132" s="45"/>
      <c r="C132" s="45" t="s">
        <v>229</v>
      </c>
      <c r="D132" s="45"/>
      <c r="E132" s="57">
        <v>2017</v>
      </c>
      <c r="F132" s="50">
        <f>SUM(E119:E130)</f>
        <v>258711.99928028343</v>
      </c>
      <c r="G132" s="45"/>
      <c r="H132" s="45"/>
      <c r="I132" s="45"/>
      <c r="J132" s="45"/>
      <c r="K132" s="45"/>
      <c r="L132" s="45"/>
      <c r="M132" s="45"/>
      <c r="N132" s="45"/>
    </row>
    <row r="133" spans="1:14" ht="15">
      <c r="A133" s="45" t="s">
        <v>241</v>
      </c>
      <c r="B133" s="45"/>
      <c r="C133" s="45"/>
      <c r="D133" s="45"/>
      <c r="E133" s="57"/>
      <c r="F133" s="50"/>
      <c r="G133" s="45"/>
      <c r="I133" s="45"/>
      <c r="J133" s="45"/>
      <c r="K133" s="45"/>
      <c r="L133" s="45"/>
      <c r="M133" s="45"/>
      <c r="N133" s="45"/>
    </row>
    <row r="134" spans="1:14" ht="15">
      <c r="A134" s="45"/>
      <c r="B134" s="45"/>
      <c r="C134" s="45"/>
      <c r="D134" s="45"/>
      <c r="E134" s="62"/>
      <c r="F134" s="50"/>
      <c r="G134" s="45"/>
      <c r="H134" s="45"/>
      <c r="I134" s="45"/>
      <c r="J134" s="45"/>
      <c r="K134" s="45"/>
      <c r="L134" s="45"/>
      <c r="M134" s="45"/>
      <c r="N134" s="45"/>
    </row>
    <row r="135" spans="1:14" ht="15">
      <c r="A135" s="45"/>
      <c r="B135" s="45"/>
      <c r="C135" s="45" t="s">
        <v>231</v>
      </c>
      <c r="D135" s="45"/>
      <c r="E135" s="57">
        <v>2017</v>
      </c>
      <c r="F135" s="50">
        <f>SUM(D119:D130)</f>
        <v>374470.8991496169</v>
      </c>
      <c r="G135" s="45"/>
      <c r="H135" s="45"/>
      <c r="I135" s="45"/>
      <c r="J135" s="45"/>
      <c r="K135" s="45"/>
      <c r="L135" s="45"/>
      <c r="M135" s="45"/>
      <c r="N135" s="45"/>
    </row>
    <row r="136" spans="1:14" ht="15">
      <c r="A136" s="45"/>
      <c r="B136" s="45"/>
      <c r="C136" s="45"/>
      <c r="D136" s="45"/>
      <c r="E136" s="57"/>
      <c r="F136" s="50"/>
      <c r="G136" s="45"/>
      <c r="H136" s="45"/>
      <c r="I136" s="45"/>
      <c r="J136" s="45"/>
      <c r="K136" s="45"/>
      <c r="L136" s="45"/>
      <c r="M136" s="45"/>
      <c r="N136" s="45"/>
    </row>
    <row r="137" spans="7:14" ht="15">
      <c r="G137" s="45"/>
      <c r="H137" s="45"/>
      <c r="I137" s="45"/>
      <c r="J137" s="45"/>
      <c r="K137" s="45"/>
      <c r="L137" s="45"/>
      <c r="M137" s="45"/>
      <c r="N137" s="45"/>
    </row>
    <row r="138" spans="7:14" ht="15">
      <c r="G138" s="45"/>
      <c r="H138" s="45"/>
      <c r="I138" s="45"/>
      <c r="J138" s="45"/>
      <c r="K138" s="45"/>
      <c r="L138" s="45"/>
      <c r="M138" s="45"/>
      <c r="N138" s="45"/>
    </row>
    <row r="139" spans="2:14" ht="26.25">
      <c r="B139" s="45"/>
      <c r="C139" s="54"/>
      <c r="D139" s="67" t="s">
        <v>246</v>
      </c>
      <c r="E139" s="54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2:14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2:14" ht="15.75">
      <c r="B141" s="44" t="s">
        <v>211</v>
      </c>
      <c r="C141" s="44"/>
      <c r="D141" s="44"/>
      <c r="E141" s="44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2:14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2:14" ht="15">
      <c r="B143" s="45" t="s">
        <v>145</v>
      </c>
      <c r="C143" s="45"/>
      <c r="D143" s="49" t="s">
        <v>212</v>
      </c>
      <c r="E143" s="13">
        <f>E$2-1</f>
        <v>2017</v>
      </c>
      <c r="F143" s="48">
        <f>'Balance Sheet'!$F$15</f>
        <v>10201678</v>
      </c>
      <c r="G143" s="45"/>
      <c r="H143" s="45"/>
      <c r="I143" s="45"/>
      <c r="J143" s="45"/>
      <c r="K143" s="45"/>
      <c r="L143" s="45"/>
      <c r="M143" s="45"/>
      <c r="N143" s="45"/>
    </row>
    <row r="144" spans="2:14" ht="15">
      <c r="B144" s="45" t="s">
        <v>213</v>
      </c>
      <c r="C144" s="45"/>
      <c r="D144" s="49" t="s">
        <v>214</v>
      </c>
      <c r="E144" s="13">
        <f>E$2</f>
        <v>2018</v>
      </c>
      <c r="F144" s="48">
        <f>I56</f>
        <v>0</v>
      </c>
      <c r="G144" s="45"/>
      <c r="H144" s="45"/>
      <c r="I144" s="45"/>
      <c r="J144" s="45"/>
      <c r="K144" s="45"/>
      <c r="L144" s="45"/>
      <c r="M144" s="45"/>
      <c r="N144" s="45"/>
    </row>
    <row r="145" spans="2:14" ht="15">
      <c r="B145" s="45"/>
      <c r="C145" s="45"/>
      <c r="D145" s="49"/>
      <c r="E145" s="45"/>
      <c r="F145" s="55" t="s">
        <v>99</v>
      </c>
      <c r="G145" s="45"/>
      <c r="H145" s="45"/>
      <c r="I145" s="45"/>
      <c r="J145" s="45"/>
      <c r="K145" s="45"/>
      <c r="L145" s="45"/>
      <c r="M145" s="45"/>
      <c r="N145" s="45"/>
    </row>
    <row r="146" spans="2:14" ht="15">
      <c r="B146" s="45" t="s">
        <v>145</v>
      </c>
      <c r="C146" s="45"/>
      <c r="D146" s="49" t="s">
        <v>212</v>
      </c>
      <c r="E146" s="13">
        <f>E2</f>
        <v>2018</v>
      </c>
      <c r="F146" s="48">
        <f>F143+F144</f>
        <v>10201678</v>
      </c>
      <c r="G146" s="45"/>
      <c r="H146" s="45"/>
      <c r="I146" s="45"/>
      <c r="J146" s="45"/>
      <c r="K146" s="45"/>
      <c r="L146" s="45"/>
      <c r="M146" s="45"/>
      <c r="N146" s="45"/>
    </row>
    <row r="147" spans="2:14" ht="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2:14" ht="15">
      <c r="B148" s="45" t="s">
        <v>80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2:14" ht="15">
      <c r="B149" s="45"/>
      <c r="C149" s="45"/>
      <c r="D149" s="49" t="s">
        <v>212</v>
      </c>
      <c r="E149" s="13">
        <f>E$2-1</f>
        <v>2017</v>
      </c>
      <c r="F149" s="48">
        <f>'Balance Sheet'!$F$16</f>
        <v>5034407.2</v>
      </c>
      <c r="G149" s="45"/>
      <c r="H149" s="45"/>
      <c r="I149" s="45"/>
      <c r="J149" s="45"/>
      <c r="K149" s="45"/>
      <c r="L149" s="45"/>
      <c r="M149" s="45"/>
      <c r="N149" s="45"/>
    </row>
    <row r="150" spans="2:14" ht="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2:14" ht="15">
      <c r="B151" s="45" t="s">
        <v>215</v>
      </c>
      <c r="C151" s="45"/>
      <c r="D151" s="45"/>
      <c r="E151" s="45"/>
      <c r="F151" s="46">
        <v>0.075</v>
      </c>
      <c r="G151" s="45"/>
      <c r="H151" s="45"/>
      <c r="I151" s="45"/>
      <c r="J151" s="45"/>
      <c r="K151" s="45"/>
      <c r="L151" s="45"/>
      <c r="M151" s="45"/>
      <c r="N151" s="45"/>
    </row>
    <row r="152" spans="2:14" ht="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2:14" ht="15">
      <c r="B153" s="45" t="s">
        <v>216</v>
      </c>
      <c r="C153" s="45"/>
      <c r="D153" s="45"/>
      <c r="E153" s="45"/>
      <c r="F153" s="48">
        <f>F146*F151</f>
        <v>765125.85</v>
      </c>
      <c r="G153" s="45"/>
      <c r="H153" s="45"/>
      <c r="I153" s="45"/>
      <c r="J153" s="45"/>
      <c r="K153" s="45"/>
      <c r="L153" s="45"/>
      <c r="M153" s="45"/>
      <c r="N153" s="45"/>
    </row>
    <row r="154" spans="2:14" ht="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2:14" ht="15">
      <c r="B155" s="45" t="s">
        <v>217</v>
      </c>
      <c r="C155" s="45"/>
      <c r="D155" s="45"/>
      <c r="E155" s="13">
        <f>E2</f>
        <v>2018</v>
      </c>
      <c r="F155" s="48">
        <f>F149+F153</f>
        <v>5799533.05</v>
      </c>
      <c r="G155" s="45"/>
      <c r="H155" s="45"/>
      <c r="I155" s="45"/>
      <c r="J155" s="45"/>
      <c r="K155" s="45"/>
      <c r="L155" s="45"/>
      <c r="M155" s="45"/>
      <c r="N155" s="45"/>
    </row>
    <row r="156" spans="2:14" ht="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2:14" ht="15">
      <c r="B157" s="45" t="s">
        <v>81</v>
      </c>
      <c r="C157" s="45"/>
      <c r="D157" s="49" t="s">
        <v>212</v>
      </c>
      <c r="E157" s="13">
        <f>E2</f>
        <v>2018</v>
      </c>
      <c r="F157" s="48">
        <f>F146-F155</f>
        <v>4402144.95</v>
      </c>
      <c r="G157" s="45"/>
      <c r="H157" s="45"/>
      <c r="I157" s="45"/>
      <c r="J157" s="45"/>
      <c r="K157" s="45"/>
      <c r="L157" s="45"/>
      <c r="M157" s="45"/>
      <c r="N157" s="45"/>
    </row>
    <row r="158" spans="7:14" ht="15">
      <c r="G158" s="45"/>
      <c r="H158" s="45"/>
      <c r="I158" s="45"/>
      <c r="J158" s="45"/>
      <c r="K158" s="45"/>
      <c r="L158" s="45"/>
      <c r="M158" s="45"/>
      <c r="N158" s="45"/>
    </row>
    <row r="159" spans="7:14" ht="15">
      <c r="G159" s="45"/>
      <c r="H159" s="45"/>
      <c r="I159" s="45"/>
      <c r="J159" s="45"/>
      <c r="K159" s="45"/>
      <c r="L159" s="45"/>
      <c r="M159" s="45"/>
      <c r="N159" s="45"/>
    </row>
    <row r="160" spans="2:14" ht="23.25">
      <c r="B160" s="45"/>
      <c r="C160" s="45"/>
      <c r="D160" s="66" t="s">
        <v>247</v>
      </c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ht="1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ht="15">
      <c r="A162" s="45"/>
      <c r="B162" s="45"/>
      <c r="C162" s="45" t="s">
        <v>8</v>
      </c>
      <c r="D162" s="47">
        <v>0.8</v>
      </c>
      <c r="E162" s="45"/>
      <c r="F162" s="45" t="s">
        <v>14</v>
      </c>
      <c r="G162" s="47">
        <v>0.62</v>
      </c>
      <c r="H162" s="45"/>
      <c r="I162" s="45"/>
      <c r="J162" s="45"/>
      <c r="K162" s="45"/>
      <c r="L162" s="45"/>
      <c r="M162" s="45"/>
      <c r="N162" s="45"/>
    </row>
    <row r="163" spans="1:14" ht="15">
      <c r="A163" s="45"/>
      <c r="B163" s="45"/>
      <c r="C163" s="45" t="s">
        <v>9</v>
      </c>
      <c r="D163" s="47">
        <v>0.7</v>
      </c>
      <c r="E163" s="45"/>
      <c r="F163" s="45" t="s">
        <v>15</v>
      </c>
      <c r="G163" s="47">
        <v>0.8</v>
      </c>
      <c r="H163" s="45"/>
      <c r="I163" s="45"/>
      <c r="J163" s="45"/>
      <c r="K163" s="45"/>
      <c r="L163" s="45"/>
      <c r="M163" s="45"/>
      <c r="N163" s="45"/>
    </row>
    <row r="164" spans="1:14" ht="15">
      <c r="A164" s="45"/>
      <c r="B164" s="45"/>
      <c r="C164" s="45" t="s">
        <v>10</v>
      </c>
      <c r="D164" s="47">
        <v>0.6</v>
      </c>
      <c r="E164" s="45"/>
      <c r="F164" s="45" t="s">
        <v>16</v>
      </c>
      <c r="G164" s="47">
        <v>1.6</v>
      </c>
      <c r="H164" s="47">
        <f>SUM(D162:D167)+SUM(G162:G167)</f>
        <v>12</v>
      </c>
      <c r="I164" s="45"/>
      <c r="J164" s="45"/>
      <c r="K164" s="45"/>
      <c r="L164" s="45"/>
      <c r="M164" s="45"/>
      <c r="N164" s="45"/>
    </row>
    <row r="165" spans="1:14" ht="15">
      <c r="A165" s="45"/>
      <c r="B165" s="45"/>
      <c r="C165" s="45" t="s">
        <v>11</v>
      </c>
      <c r="D165" s="47">
        <v>1.12</v>
      </c>
      <c r="E165" s="45"/>
      <c r="F165" s="45" t="s">
        <v>5</v>
      </c>
      <c r="G165" s="47">
        <v>1.38</v>
      </c>
      <c r="H165" s="45"/>
      <c r="I165" s="45"/>
      <c r="J165" s="45"/>
      <c r="K165" s="45"/>
      <c r="L165" s="45"/>
      <c r="M165" s="45"/>
      <c r="N165" s="45"/>
    </row>
    <row r="166" spans="1:14" ht="15">
      <c r="A166" s="45"/>
      <c r="B166" s="45"/>
      <c r="C166" s="45" t="s">
        <v>174</v>
      </c>
      <c r="D166" s="47">
        <v>1.13</v>
      </c>
      <c r="E166" s="45"/>
      <c r="F166" s="45" t="s">
        <v>6</v>
      </c>
      <c r="G166" s="47">
        <v>1.35</v>
      </c>
      <c r="H166" s="45"/>
      <c r="I166" s="45"/>
      <c r="J166" s="45"/>
      <c r="K166" s="45"/>
      <c r="L166" s="45"/>
      <c r="M166" s="45"/>
      <c r="N166" s="45"/>
    </row>
    <row r="167" spans="1:14" ht="15">
      <c r="A167" s="45"/>
      <c r="B167" s="45"/>
      <c r="C167" s="45" t="s">
        <v>13</v>
      </c>
      <c r="D167" s="47">
        <v>0.7</v>
      </c>
      <c r="E167" s="45"/>
      <c r="F167" s="45" t="s">
        <v>7</v>
      </c>
      <c r="G167" s="47">
        <v>1.2</v>
      </c>
      <c r="H167" s="45"/>
      <c r="I167" s="45"/>
      <c r="J167" s="45"/>
      <c r="K167" s="45"/>
      <c r="L167" s="45"/>
      <c r="M167" s="45"/>
      <c r="N167" s="45"/>
    </row>
    <row r="168" spans="10:14" ht="15">
      <c r="J168" s="45"/>
      <c r="K168" s="45"/>
      <c r="L168" s="45"/>
      <c r="M168" s="45"/>
      <c r="N168" s="45"/>
    </row>
    <row r="169" spans="10:14" ht="15">
      <c r="J169" s="45"/>
      <c r="K169" s="45"/>
      <c r="L169" s="45"/>
      <c r="M169" s="45"/>
      <c r="N169" s="45"/>
    </row>
    <row r="170" spans="10:14" ht="15">
      <c r="J170" s="45"/>
      <c r="K170" s="45"/>
      <c r="L170" s="45"/>
      <c r="M170" s="45"/>
      <c r="N170" s="45"/>
    </row>
    <row r="171" spans="10:14" ht="15">
      <c r="J171" s="45"/>
      <c r="K171" s="45"/>
      <c r="L171" s="45"/>
      <c r="M171" s="45"/>
      <c r="N171" s="45"/>
    </row>
    <row r="172" spans="10:14" ht="15">
      <c r="J172" s="45"/>
      <c r="K172" s="45"/>
      <c r="L172" s="45"/>
      <c r="M172" s="45"/>
      <c r="N172" s="45"/>
    </row>
    <row r="173" spans="10:14" ht="15">
      <c r="J173" s="45"/>
      <c r="K173" s="45"/>
      <c r="L173" s="45"/>
      <c r="M173" s="45"/>
      <c r="N173" s="45"/>
    </row>
    <row r="174" spans="10:14" ht="15">
      <c r="J174" s="45"/>
      <c r="K174" s="45"/>
      <c r="L174" s="45"/>
      <c r="M174" s="45"/>
      <c r="N174" s="45"/>
    </row>
    <row r="175" spans="1:14" ht="15">
      <c r="A175" s="45"/>
      <c r="G175" s="45"/>
      <c r="H175" s="45"/>
      <c r="I175" s="45"/>
      <c r="J175" s="45"/>
      <c r="K175" s="45"/>
      <c r="L175" s="45"/>
      <c r="M175" s="45"/>
      <c r="N175" s="45"/>
    </row>
    <row r="176" spans="1:14" ht="15">
      <c r="A176" s="45"/>
      <c r="G176" s="45"/>
      <c r="H176" s="45"/>
      <c r="I176" s="45"/>
      <c r="J176" s="45"/>
      <c r="K176" s="45"/>
      <c r="L176" s="45"/>
      <c r="M176" s="45"/>
      <c r="N176" s="45"/>
    </row>
    <row r="177" spans="1:14" ht="15">
      <c r="A177" s="45"/>
      <c r="G177" s="45"/>
      <c r="H177" s="45"/>
      <c r="I177" s="45"/>
      <c r="J177" s="45"/>
      <c r="K177" s="45"/>
      <c r="L177" s="45"/>
      <c r="M177" s="45"/>
      <c r="N177" s="45"/>
    </row>
    <row r="178" spans="1:14" ht="15">
      <c r="A178" s="45"/>
      <c r="G178" s="45"/>
      <c r="H178" s="45"/>
      <c r="I178" s="45"/>
      <c r="J178" s="45"/>
      <c r="K178" s="45"/>
      <c r="L178" s="45"/>
      <c r="M178" s="45"/>
      <c r="N178" s="45"/>
    </row>
    <row r="179" spans="1:14" ht="15">
      <c r="A179" s="45"/>
      <c r="G179" s="45"/>
      <c r="H179" s="45"/>
      <c r="I179" s="45"/>
      <c r="J179" s="45"/>
      <c r="K179" s="45"/>
      <c r="L179" s="45"/>
      <c r="M179" s="45"/>
      <c r="N179" s="45"/>
    </row>
    <row r="180" spans="1:14" ht="15">
      <c r="A180" s="45"/>
      <c r="G180" s="45"/>
      <c r="H180" s="45"/>
      <c r="I180" s="45"/>
      <c r="J180" s="45"/>
      <c r="K180" s="45"/>
      <c r="L180" s="45"/>
      <c r="M180" s="45"/>
      <c r="N180" s="45"/>
    </row>
    <row r="181" spans="1:14" ht="15">
      <c r="A181" s="45"/>
      <c r="G181" s="45"/>
      <c r="H181" s="45"/>
      <c r="I181" s="45"/>
      <c r="J181" s="45"/>
      <c r="K181" s="45"/>
      <c r="L181" s="45"/>
      <c r="M181" s="45"/>
      <c r="N181" s="45"/>
    </row>
    <row r="182" spans="1:14" ht="15">
      <c r="A182" s="45"/>
      <c r="G182" s="45"/>
      <c r="H182" s="45"/>
      <c r="I182" s="45"/>
      <c r="J182" s="45"/>
      <c r="K182" s="45"/>
      <c r="L182" s="45"/>
      <c r="M182" s="45"/>
      <c r="N182" s="45"/>
    </row>
    <row r="183" spans="1:14" ht="15">
      <c r="A183" s="45"/>
      <c r="G183" s="45"/>
      <c r="H183" s="45"/>
      <c r="I183" s="45"/>
      <c r="J183" s="45"/>
      <c r="K183" s="45"/>
      <c r="L183" s="45"/>
      <c r="M183" s="45"/>
      <c r="N183" s="45"/>
    </row>
    <row r="184" spans="1:14" ht="15">
      <c r="A184" s="45"/>
      <c r="G184" s="45"/>
      <c r="H184" s="45"/>
      <c r="I184" s="45"/>
      <c r="J184" s="45"/>
      <c r="K184" s="45"/>
      <c r="L184" s="45"/>
      <c r="M184" s="45"/>
      <c r="N184" s="45"/>
    </row>
    <row r="185" spans="1:14" ht="15">
      <c r="A185" s="45"/>
      <c r="G185" s="45"/>
      <c r="H185" s="45"/>
      <c r="I185" s="45"/>
      <c r="J185" s="45"/>
      <c r="K185" s="45"/>
      <c r="L185" s="45"/>
      <c r="M185" s="45"/>
      <c r="N185" s="45"/>
    </row>
    <row r="186" spans="1:14" ht="15">
      <c r="A186" s="45"/>
      <c r="G186" s="45"/>
      <c r="H186" s="45"/>
      <c r="I186" s="45"/>
      <c r="J186" s="45"/>
      <c r="K186" s="45"/>
      <c r="L186" s="45"/>
      <c r="M186" s="45"/>
      <c r="N186" s="45"/>
    </row>
    <row r="187" spans="1:14" ht="15">
      <c r="A187" s="45"/>
      <c r="G187" s="45"/>
      <c r="H187" s="45"/>
      <c r="I187" s="45"/>
      <c r="J187" s="45"/>
      <c r="K187" s="45"/>
      <c r="L187" s="45"/>
      <c r="M187" s="45"/>
      <c r="N187" s="45"/>
    </row>
    <row r="188" spans="1:14" ht="15">
      <c r="A188" s="45"/>
      <c r="G188" s="45"/>
      <c r="H188" s="45"/>
      <c r="I188" s="45"/>
      <c r="J188" s="45"/>
      <c r="K188" s="45"/>
      <c r="L188" s="45"/>
      <c r="M188" s="45"/>
      <c r="N188" s="45"/>
    </row>
    <row r="189" spans="1:14" ht="15">
      <c r="A189" s="45"/>
      <c r="G189" s="45"/>
      <c r="H189" s="45"/>
      <c r="I189" s="45"/>
      <c r="J189" s="45"/>
      <c r="K189" s="45"/>
      <c r="L189" s="45"/>
      <c r="M189" s="45"/>
      <c r="N189" s="45"/>
    </row>
    <row r="190" spans="1:14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1:14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1:14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1:14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1:14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1:14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1:14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1:14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1:14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1:14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1:14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1:14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1:14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1:14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4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1:14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1:14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1:14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1:14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1:14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4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1:14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1:14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1:14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1:14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1:14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1:14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1:14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1:14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1:14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1:14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1:14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1:14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1:14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14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1:14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1:14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1:14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4" ht="1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4" ht="1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1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ht="1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ht="1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ht="1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ht="1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1:14" ht="1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1:14" ht="1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1:14" ht="1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ht="1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</row>
    <row r="280" spans="1:14" ht="1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</row>
    <row r="281" spans="1:14" ht="1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</row>
    <row r="282" spans="1:14" ht="1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ht="1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</row>
    <row r="284" spans="1:14" ht="1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</row>
    <row r="285" spans="1:14" ht="1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</row>
    <row r="286" spans="1:14" ht="1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spans="1:14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1:14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1:14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1:14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1:14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</row>
    <row r="293" spans="1:14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</row>
    <row r="294" spans="1:14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</row>
    <row r="295" spans="1:14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1:14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1:14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1:14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1:14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1:14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spans="1:14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</row>
    <row r="303" spans="1:14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</row>
    <row r="304" spans="1:14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</row>
    <row r="305" spans="1:14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</row>
    <row r="306" spans="1:14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</row>
    <row r="307" spans="1:14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</row>
    <row r="308" spans="1:14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</row>
    <row r="309" spans="1:14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</row>
    <row r="310" spans="1:14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</row>
    <row r="311" spans="1:14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</row>
    <row r="312" spans="1:14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</row>
    <row r="313" spans="1:14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</row>
    <row r="314" spans="1:14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</row>
    <row r="315" spans="1:14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</row>
    <row r="316" spans="1:14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</row>
    <row r="317" spans="1:14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</row>
    <row r="318" spans="1:14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</row>
    <row r="319" spans="1:14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</row>
    <row r="320" spans="1:14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</row>
    <row r="321" spans="1:14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</row>
    <row r="322" spans="1:14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</row>
    <row r="323" spans="1:14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</row>
    <row r="324" spans="1:14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spans="1:14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</row>
    <row r="326" spans="1:14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</row>
    <row r="327" spans="1:14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</row>
    <row r="328" spans="1:14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</row>
    <row r="329" spans="1:14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</row>
    <row r="330" spans="1:14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</row>
    <row r="331" spans="1:14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</row>
    <row r="332" spans="1:14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</row>
    <row r="333" spans="1:14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</row>
    <row r="334" spans="1:14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</row>
    <row r="335" spans="1:14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</row>
    <row r="336" spans="1:14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</row>
    <row r="337" spans="1:14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</row>
    <row r="338" spans="1:14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spans="1:14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</row>
    <row r="340" spans="1:14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</row>
    <row r="341" spans="1:14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</row>
    <row r="342" spans="1:14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</row>
    <row r="343" spans="1:14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</row>
    <row r="344" spans="1:14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  <row r="347" spans="1:14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</row>
    <row r="348" spans="1:14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</row>
    <row r="349" spans="1:14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</row>
    <row r="350" spans="1:14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</row>
    <row r="351" spans="1:14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</row>
    <row r="352" spans="1:14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</row>
    <row r="353" spans="1:14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</row>
    <row r="354" spans="1:14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</row>
    <row r="355" spans="1:14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</row>
    <row r="356" spans="1:14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</row>
    <row r="357" spans="1:14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</row>
    <row r="358" spans="1:14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</row>
    <row r="359" spans="1:14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</row>
    <row r="360" spans="1:14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</row>
    <row r="361" spans="1:14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</row>
    <row r="362" spans="1:14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</row>
    <row r="363" spans="1:14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</row>
    <row r="364" spans="1:14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</row>
    <row r="365" spans="1:14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spans="1:14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</row>
    <row r="367" spans="1:14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</row>
    <row r="368" spans="1:14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</row>
    <row r="369" spans="1:14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</row>
    <row r="370" spans="1:14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</row>
    <row r="371" spans="1:14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</row>
    <row r="372" spans="1:14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</row>
    <row r="373" spans="1:14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</row>
    <row r="374" spans="1:14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</row>
    <row r="375" spans="1:14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</row>
    <row r="376" spans="1:14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</row>
    <row r="377" spans="1:14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</row>
    <row r="378" spans="1:14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</row>
    <row r="379" spans="1:14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</row>
    <row r="380" spans="1:14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</row>
    <row r="381" spans="1:14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</row>
    <row r="382" spans="1:14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</row>
    <row r="383" spans="1:14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</row>
    <row r="384" spans="1:14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</row>
    <row r="385" spans="1:14" ht="1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</row>
    <row r="386" spans="1:14" ht="1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</row>
    <row r="387" spans="1:14" ht="1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</row>
    <row r="388" spans="1:14" ht="1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</row>
    <row r="389" spans="1:14" ht="1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</row>
    <row r="390" spans="1:14" ht="1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</row>
    <row r="391" spans="1:14" ht="1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</row>
    <row r="392" spans="1:14" ht="1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</row>
    <row r="393" spans="1:14" ht="1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</row>
    <row r="394" spans="1:14" ht="1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</row>
    <row r="395" spans="1:14" ht="1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</row>
    <row r="396" spans="1:14" ht="1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</row>
    <row r="397" spans="1:14" ht="1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</row>
    <row r="398" spans="1:14" ht="1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</row>
    <row r="399" spans="1:14" ht="1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</row>
    <row r="400" spans="1:14" ht="1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</row>
    <row r="401" spans="1:14" ht="1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</row>
    <row r="402" spans="1:14" ht="1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</row>
    <row r="403" spans="1:14" ht="1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</row>
    <row r="404" spans="1:14" ht="1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</row>
    <row r="405" spans="1:14" ht="1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</row>
    <row r="406" spans="1:14" ht="1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</row>
    <row r="407" spans="1:14" ht="1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</row>
    <row r="408" spans="1:14" ht="1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</row>
    <row r="409" spans="1:14" ht="1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</row>
    <row r="410" spans="1:14" ht="1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</row>
    <row r="411" spans="1:14" ht="1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</row>
    <row r="412" spans="1:14" ht="1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</row>
    <row r="413" spans="1:14" ht="1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</row>
    <row r="414" spans="1:14" ht="1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</row>
    <row r="415" spans="1:14" ht="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</row>
    <row r="416" spans="1:14" ht="1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</row>
    <row r="417" spans="1:14" ht="1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</row>
    <row r="418" spans="1:14" ht="1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</row>
    <row r="419" spans="1:14" ht="1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</row>
    <row r="420" spans="1:14" ht="1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</row>
    <row r="421" spans="1:14" ht="1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</row>
    <row r="422" spans="1:14" ht="1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</row>
    <row r="423" spans="1:14" ht="1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</row>
    <row r="424" spans="1:14" ht="1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</row>
    <row r="425" spans="1:14" ht="1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</row>
    <row r="426" spans="1:14" ht="1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</row>
    <row r="427" spans="1:14" ht="1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</row>
    <row r="428" spans="1:14" ht="1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</row>
    <row r="429" spans="1:14" ht="1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</row>
    <row r="430" spans="1:14" ht="1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</row>
    <row r="431" spans="1:14" ht="1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</row>
    <row r="432" spans="1:14" ht="1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</row>
    <row r="433" spans="1:14" ht="1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</row>
    <row r="434" spans="1:14" ht="1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</row>
    <row r="435" spans="1:14" ht="1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</row>
    <row r="436" spans="1:14" ht="1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</row>
    <row r="437" spans="1:14" ht="1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</row>
    <row r="438" spans="1:14" ht="1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</row>
    <row r="439" spans="1:14" ht="1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</row>
    <row r="440" spans="1:14" ht="1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</row>
    <row r="441" spans="1:14" ht="1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</row>
    <row r="442" spans="1:14" ht="1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</row>
    <row r="443" spans="1:14" ht="1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</row>
    <row r="444" spans="1:14" ht="1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</row>
    <row r="445" spans="1:14" ht="1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</row>
    <row r="446" spans="1:14" ht="1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</row>
    <row r="447" spans="1:14" ht="1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</row>
    <row r="448" spans="1:14" ht="1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</row>
    <row r="449" spans="1:14" ht="1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</row>
    <row r="450" spans="1:14" ht="1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</row>
    <row r="451" spans="1:14" ht="1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</row>
    <row r="452" spans="1:14" ht="1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</row>
    <row r="453" spans="1:14" ht="1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</row>
    <row r="454" spans="1:14" ht="1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</row>
    <row r="455" spans="1:14" ht="1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</row>
    <row r="456" spans="1:14" ht="1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</row>
    <row r="457" spans="1:14" ht="1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</row>
    <row r="458" spans="1:14" ht="1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</row>
    <row r="459" spans="1:14" ht="1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</row>
    <row r="460" spans="1:14" ht="1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</row>
    <row r="461" spans="1:14" ht="1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</row>
    <row r="462" spans="1:14" ht="1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</row>
    <row r="463" spans="1:14" ht="1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</row>
    <row r="464" spans="1:14" ht="1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</row>
    <row r="465" spans="1:14" ht="1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</row>
    <row r="466" spans="1:14" ht="1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</row>
    <row r="467" spans="1:14" ht="1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</row>
    <row r="468" spans="1:14" ht="1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</row>
    <row r="469" spans="1:14" ht="1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</row>
    <row r="470" spans="1:14" ht="1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</row>
    <row r="471" spans="1:14" ht="1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</row>
    <row r="472" spans="1:14" ht="1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</row>
    <row r="473" spans="1:14" ht="1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</row>
    <row r="474" spans="1:14" ht="1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</row>
    <row r="475" spans="1:14" ht="1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</row>
    <row r="476" spans="1:14" ht="1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</row>
    <row r="477" spans="1:14" ht="1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</row>
    <row r="478" spans="1:14" ht="1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</row>
    <row r="479" spans="1:14" ht="1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</row>
    <row r="480" spans="1:14" ht="1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</row>
    <row r="481" spans="1:14" ht="1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</row>
    <row r="482" spans="1:14" ht="1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</row>
    <row r="483" spans="1:14" ht="1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</row>
    <row r="484" spans="1:14" ht="1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</row>
    <row r="485" spans="1:14" ht="1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</row>
    <row r="486" spans="1:14" ht="1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</row>
    <row r="487" spans="1:14" ht="1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</row>
    <row r="488" spans="1:14" ht="1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</row>
    <row r="489" spans="1:14" ht="1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</row>
    <row r="490" spans="1:14" ht="1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</row>
    <row r="491" spans="1:14" ht="1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</row>
    <row r="492" spans="1:14" ht="1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</row>
    <row r="493" spans="1:14" ht="1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</row>
    <row r="494" spans="1:14" ht="1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</row>
    <row r="495" spans="1:14" ht="1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</row>
    <row r="496" spans="1:14" ht="1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</row>
    <row r="497" spans="1:14" ht="1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</row>
    <row r="498" spans="1:14" ht="1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</row>
    <row r="499" spans="1:14" ht="1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</row>
    <row r="500" spans="1:14" ht="1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</row>
    <row r="501" spans="1:14" ht="1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</row>
    <row r="502" spans="1:14" ht="1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</row>
    <row r="503" spans="1:14" ht="1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</row>
    <row r="504" spans="1:14" ht="1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</row>
    <row r="505" spans="1:14" ht="1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</row>
    <row r="506" spans="1:14" ht="1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</row>
    <row r="507" spans="1:14" ht="1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</row>
    <row r="508" spans="1:14" ht="1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</row>
    <row r="509" spans="1:14" ht="1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</row>
    <row r="510" spans="1:14" ht="1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</row>
    <row r="511" spans="1:14" ht="1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</row>
    <row r="512" spans="1:14" ht="1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</row>
    <row r="513" spans="1:14" ht="1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</row>
    <row r="514" spans="1:14" ht="1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</row>
    <row r="515" spans="1:14" ht="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</row>
    <row r="516" spans="1:14" ht="1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</row>
    <row r="517" spans="1:14" ht="1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</row>
    <row r="518" spans="1:14" ht="1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</row>
    <row r="519" spans="1:14" ht="1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</row>
    <row r="520" spans="1:14" ht="1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</row>
    <row r="521" spans="1:14" ht="1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</row>
    <row r="522" spans="1:14" ht="1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</row>
    <row r="523" spans="1:14" ht="1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</row>
    <row r="524" spans="1:14" ht="1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</row>
    <row r="525" spans="1:14" ht="1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</row>
    <row r="526" spans="1:14" ht="1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</row>
    <row r="527" spans="1:14" ht="1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</row>
    <row r="528" spans="1:14" ht="1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</row>
    <row r="529" spans="1:14" ht="1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</row>
    <row r="530" spans="1:14" ht="1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</row>
    <row r="531" spans="1:14" ht="1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</row>
    <row r="532" spans="1:14" ht="1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</row>
    <row r="533" spans="1:14" ht="1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</row>
    <row r="534" spans="1:14" ht="1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</row>
    <row r="535" spans="1:14" ht="1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</row>
    <row r="536" spans="1:14" ht="1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</row>
    <row r="537" spans="1:14" ht="1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</row>
    <row r="538" spans="1:14" ht="1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</row>
    <row r="539" spans="1:14" ht="1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</row>
    <row r="540" spans="1:14" ht="1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</row>
    <row r="541" spans="1:14" ht="1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</row>
    <row r="542" spans="1:14" ht="1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</row>
  </sheetData>
  <printOptions/>
  <pageMargins left="0.75" right="0.75" top="1" bottom="1" header="0.5" footer="0.5"/>
  <pageSetup fitToHeight="1" fitToWidth="1" horizontalDpi="300" verticalDpi="300" orientation="portrait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workbookViewId="0" topLeftCell="A1">
      <selection activeCell="A1" sqref="A1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7" width="10.7109375" style="0" customWidth="1"/>
  </cols>
  <sheetData>
    <row r="2" ht="12.75">
      <c r="B2" s="17" t="str">
        <f>Back!B2</f>
        <v>T &amp; M Energy Inc.</v>
      </c>
    </row>
    <row r="4" spans="2:3" ht="12.75">
      <c r="B4" s="17" t="s">
        <v>271</v>
      </c>
      <c r="C4" s="17"/>
    </row>
    <row r="6" spans="6:7" ht="12.75">
      <c r="F6" s="9">
        <v>2018</v>
      </c>
      <c r="G6" s="9">
        <v>2017</v>
      </c>
    </row>
    <row r="7" spans="2:7" ht="12.75">
      <c r="B7" t="s">
        <v>272</v>
      </c>
      <c r="F7" s="10" t="s">
        <v>54</v>
      </c>
      <c r="G7" s="10" t="s">
        <v>54</v>
      </c>
    </row>
    <row r="9" spans="3:7" ht="12.75">
      <c r="C9" t="s">
        <v>1</v>
      </c>
      <c r="F9" s="30">
        <f>'Income Statement'!D7</f>
        <v>12884437.769130904</v>
      </c>
      <c r="G9" s="30">
        <f>'Income Statement'!F7</f>
        <v>12884437.769130904</v>
      </c>
    </row>
    <row r="10" spans="3:7" ht="12.75">
      <c r="C10" t="s">
        <v>273</v>
      </c>
      <c r="F10" s="30"/>
      <c r="G10" s="30"/>
    </row>
    <row r="11" spans="4:7" ht="12.75">
      <c r="D11" t="s">
        <v>55</v>
      </c>
      <c r="F11" s="30">
        <f>'Income Statement'!D8</f>
        <v>939077.9519905162</v>
      </c>
      <c r="G11" s="30">
        <f>'Income Statement'!F8</f>
        <v>8720951.813201899</v>
      </c>
    </row>
    <row r="12" spans="4:7" ht="12.75">
      <c r="D12" t="s">
        <v>28</v>
      </c>
      <c r="F12" s="30">
        <f>'Income Statement'!D16</f>
        <v>0</v>
      </c>
      <c r="G12" s="30">
        <f>'Income Statement'!F16</f>
        <v>773066.2661478542</v>
      </c>
    </row>
    <row r="13" spans="4:7" ht="12.75">
      <c r="D13" t="s">
        <v>274</v>
      </c>
      <c r="F13" s="30">
        <f>'Income Statement'!D21+'Income Statement'!D22</f>
        <v>0</v>
      </c>
      <c r="G13" s="30">
        <f>'Income Statement'!F21+'Income Statement'!F22</f>
        <v>283119.6874048167</v>
      </c>
    </row>
    <row r="14" spans="6:7" ht="12.75">
      <c r="F14" s="30"/>
      <c r="G14" s="30"/>
    </row>
    <row r="15" spans="4:7" ht="12.75">
      <c r="D15" t="s">
        <v>275</v>
      </c>
      <c r="F15" s="30">
        <f>SUM(F11:F13)</f>
        <v>939077.9519905162</v>
      </c>
      <c r="G15" s="30">
        <f>SUM(G11:G13)</f>
        <v>9777137.76675457</v>
      </c>
    </row>
    <row r="16" spans="6:7" ht="12.75">
      <c r="F16" s="30"/>
      <c r="G16" s="30"/>
    </row>
    <row r="17" spans="6:7" ht="12.75">
      <c r="F17" s="30"/>
      <c r="G17" s="30"/>
    </row>
    <row r="18" spans="3:7" ht="12.75">
      <c r="C18" t="s">
        <v>276</v>
      </c>
      <c r="F18" s="30"/>
      <c r="G18" s="30"/>
    </row>
    <row r="19" spans="4:7" ht="12.75">
      <c r="D19" t="s">
        <v>55</v>
      </c>
      <c r="F19" s="30">
        <f>'Income Statement'!D8</f>
        <v>939077.9519905162</v>
      </c>
      <c r="G19" s="30">
        <f>'Income Statement'!F8</f>
        <v>8720951.813201899</v>
      </c>
    </row>
    <row r="20" spans="4:7" ht="12.75">
      <c r="D20" t="s">
        <v>277</v>
      </c>
      <c r="F20" s="30">
        <f>'Income Statement'!D26-F13</f>
        <v>765125.85</v>
      </c>
      <c r="G20" s="30">
        <f>'Income Statement'!F26-G13</f>
        <v>3112452.1484300843</v>
      </c>
    </row>
    <row r="21" spans="6:7" ht="12.75">
      <c r="F21" s="30"/>
      <c r="G21" s="30"/>
    </row>
    <row r="22" spans="4:7" ht="12.75">
      <c r="D22" t="s">
        <v>278</v>
      </c>
      <c r="F22" s="30">
        <f>F19+F20</f>
        <v>1704203.801990516</v>
      </c>
      <c r="G22" s="30">
        <f>G19+G20</f>
        <v>11833403.961631984</v>
      </c>
    </row>
    <row r="23" spans="6:7" ht="12.75">
      <c r="F23" s="30"/>
      <c r="G23" s="30"/>
    </row>
    <row r="24" spans="6:7" ht="12.75">
      <c r="F24" s="30"/>
      <c r="G24" s="30"/>
    </row>
    <row r="25" spans="4:7" ht="12.75">
      <c r="D25" t="s">
        <v>279</v>
      </c>
      <c r="F25" s="30">
        <f>F9-F15</f>
        <v>11945359.817140387</v>
      </c>
      <c r="G25" s="30">
        <f>G9-G15</f>
        <v>3107300.0023763347</v>
      </c>
    </row>
    <row r="26" spans="6:7" ht="12.75">
      <c r="F26" s="30"/>
      <c r="G26" s="30"/>
    </row>
    <row r="27" spans="4:7" ht="12.75">
      <c r="D27" t="s">
        <v>280</v>
      </c>
      <c r="F27" s="30">
        <f>F9-F22</f>
        <v>11180233.967140388</v>
      </c>
      <c r="G27" s="30">
        <f>G9-G22</f>
        <v>1051033.8074989207</v>
      </c>
    </row>
    <row r="28" spans="6:7" ht="12.75">
      <c r="F28" s="30"/>
      <c r="G28" s="30"/>
    </row>
    <row r="29" spans="2:7" ht="12.75">
      <c r="B29" t="s">
        <v>281</v>
      </c>
      <c r="C29" s="30">
        <f>F25</f>
        <v>11945359.817140387</v>
      </c>
      <c r="D29" s="30"/>
      <c r="E29" s="30">
        <f>F27</f>
        <v>11180233.967140388</v>
      </c>
      <c r="F29" s="81">
        <f>C29/E29</f>
        <v>1.0684355848230696</v>
      </c>
      <c r="G29" s="81">
        <f>C30/E30</f>
        <v>2.956422505352689</v>
      </c>
    </row>
    <row r="30" spans="3:7" ht="12.75">
      <c r="C30" s="30">
        <f>G25</f>
        <v>3107300.0023763347</v>
      </c>
      <c r="D30" s="30"/>
      <c r="E30" s="30">
        <f>G27</f>
        <v>1051033.8074989207</v>
      </c>
      <c r="F30" s="81"/>
      <c r="G30" s="81"/>
    </row>
    <row r="31" spans="6:7" ht="12.75">
      <c r="F31" s="30"/>
      <c r="G31" s="30"/>
    </row>
    <row r="32" spans="6:7" ht="12.75">
      <c r="F32" s="30"/>
      <c r="G32" s="30"/>
    </row>
    <row r="33" spans="6:7" ht="12.75">
      <c r="F33" s="30"/>
      <c r="G33" s="30"/>
    </row>
    <row r="34" spans="6:7" ht="12.75">
      <c r="F34" s="30">
        <f>F27</f>
        <v>11180233.967140388</v>
      </c>
      <c r="G34" s="30">
        <f>G27</f>
        <v>1051033.8074989207</v>
      </c>
    </row>
    <row r="35" spans="6:7" ht="12.75">
      <c r="F35" s="30" t="e">
        <f>'Income Statement'!D30</f>
        <v>#DIV/0!</v>
      </c>
      <c r="G35" s="30">
        <f>'Income Statement'!F30</f>
        <v>387584.08941293263</v>
      </c>
    </row>
    <row r="36" spans="6:7" ht="12.75">
      <c r="F36" s="30"/>
      <c r="G36" s="30"/>
    </row>
    <row r="37" spans="2:7" ht="12.75">
      <c r="B37" t="s">
        <v>282</v>
      </c>
      <c r="C37" s="30">
        <f>F34</f>
        <v>11180233.967140388</v>
      </c>
      <c r="D37" s="30"/>
      <c r="E37" s="30" t="e">
        <f>F34-F35</f>
        <v>#DIV/0!</v>
      </c>
      <c r="F37" s="81" t="e">
        <f>C37/E37</f>
        <v>#DIV/0!</v>
      </c>
      <c r="G37" s="81">
        <f>C38/E38</f>
        <v>1.584195122625252</v>
      </c>
    </row>
    <row r="38" spans="3:7" ht="12.75">
      <c r="C38" s="30">
        <f>G34</f>
        <v>1051033.8074989207</v>
      </c>
      <c r="D38" s="30"/>
      <c r="E38" s="30">
        <f>G34-G35</f>
        <v>663449.7180859881</v>
      </c>
      <c r="F38" s="81"/>
      <c r="G38" s="81"/>
    </row>
    <row r="39" spans="3:7" ht="12.75">
      <c r="C39" s="30"/>
      <c r="D39" s="30"/>
      <c r="E39" s="30"/>
      <c r="F39" s="81"/>
      <c r="G39" s="81"/>
    </row>
    <row r="40" spans="2:7" ht="12.75">
      <c r="B40" t="s">
        <v>283</v>
      </c>
      <c r="C40" s="81"/>
      <c r="D40" s="81"/>
      <c r="E40" s="81"/>
      <c r="F40" s="81" t="e">
        <f>F29*F37</f>
        <v>#DIV/0!</v>
      </c>
      <c r="G40" s="81">
        <f>G29*G37</f>
        <v>4.683550113399257</v>
      </c>
    </row>
    <row r="41" spans="3:7" ht="12.75">
      <c r="C41" s="81"/>
      <c r="D41" s="81"/>
      <c r="E41" s="81"/>
      <c r="F41" s="81"/>
      <c r="G41" s="81"/>
    </row>
    <row r="42" spans="3:7" ht="12.75">
      <c r="C42" s="30"/>
      <c r="D42" s="30"/>
      <c r="E42" s="30"/>
      <c r="F42" s="30"/>
      <c r="G42" s="30"/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workbookViewId="0" topLeftCell="A1">
      <selection activeCell="A28" sqref="A28"/>
    </sheetView>
  </sheetViews>
  <sheetFormatPr defaultColWidth="9.140625" defaultRowHeight="12.75"/>
  <cols>
    <col min="2" max="2" width="14.7109375" style="0" customWidth="1"/>
    <col min="3" max="3" width="26.7109375" style="0" customWidth="1"/>
    <col min="6" max="7" width="12.7109375" style="0" customWidth="1"/>
  </cols>
  <sheetData>
    <row r="1" spans="3:7" ht="12.75">
      <c r="C1" s="30"/>
      <c r="D1" s="30"/>
      <c r="E1" s="30"/>
      <c r="F1" s="30"/>
      <c r="G1" s="30"/>
    </row>
    <row r="2" ht="12.75">
      <c r="B2" s="17" t="str">
        <f>Back!B2</f>
        <v>T &amp; M Energy Inc.</v>
      </c>
    </row>
    <row r="4" ht="12.75">
      <c r="B4" s="17" t="s">
        <v>284</v>
      </c>
    </row>
    <row r="7" spans="6:7" ht="12.75">
      <c r="F7" s="9">
        <v>2018</v>
      </c>
      <c r="G7" s="9">
        <v>2017</v>
      </c>
    </row>
    <row r="8" spans="6:7" ht="12.75">
      <c r="F8" s="10" t="s">
        <v>54</v>
      </c>
      <c r="G8" s="10" t="s">
        <v>54</v>
      </c>
    </row>
    <row r="10" ht="12.75">
      <c r="B10" t="s">
        <v>285</v>
      </c>
    </row>
    <row r="12" spans="4:7" ht="12.75">
      <c r="D12" t="s">
        <v>286</v>
      </c>
      <c r="F12" s="30" t="e">
        <f>'Income Statement'!D36</f>
        <v>#DIV/0!</v>
      </c>
      <c r="G12" s="30">
        <v>281599</v>
      </c>
    </row>
    <row r="13" spans="4:7" ht="12.75">
      <c r="D13" t="s">
        <v>1</v>
      </c>
      <c r="F13" s="30">
        <f>'Income Statement'!D7</f>
        <v>12884437.769130904</v>
      </c>
      <c r="G13" s="30">
        <v>12884438</v>
      </c>
    </row>
    <row r="14" spans="4:7" ht="12.75">
      <c r="D14" t="s">
        <v>287</v>
      </c>
      <c r="F14" s="15" t="e">
        <f>F12/F13</f>
        <v>#DIV/0!</v>
      </c>
      <c r="G14" s="15">
        <v>0.0219</v>
      </c>
    </row>
    <row r="15" spans="4:7" ht="12.75">
      <c r="D15" t="s">
        <v>82</v>
      </c>
      <c r="F15" s="30" t="e">
        <f>'Balance Sheet'!D19</f>
        <v>#DIV/0!</v>
      </c>
      <c r="G15" s="30">
        <v>7919457</v>
      </c>
    </row>
    <row r="16" spans="4:7" ht="12.75">
      <c r="D16" t="s">
        <v>288</v>
      </c>
      <c r="F16" s="65" t="e">
        <f>F13/F15</f>
        <v>#DIV/0!</v>
      </c>
      <c r="G16" s="65">
        <f>G13/G15</f>
        <v>1.626934523414926</v>
      </c>
    </row>
    <row r="17" spans="2:7" ht="12.75">
      <c r="B17" t="s">
        <v>289</v>
      </c>
      <c r="D17" t="s">
        <v>290</v>
      </c>
      <c r="F17" s="15" t="e">
        <f>F12/F15</f>
        <v>#DIV/0!</v>
      </c>
      <c r="G17" s="15">
        <f>G12/G15</f>
        <v>0.03555786716185213</v>
      </c>
    </row>
    <row r="18" ht="12.75">
      <c r="B18" t="s">
        <v>291</v>
      </c>
    </row>
    <row r="19" spans="4:7" ht="12.75">
      <c r="D19" t="s">
        <v>90</v>
      </c>
      <c r="F19" s="2" t="e">
        <f>'Balance Sheet'!D39</f>
        <v>#DIV/0!</v>
      </c>
      <c r="G19" s="2">
        <v>1925237</v>
      </c>
    </row>
    <row r="20" spans="4:7" ht="12.75">
      <c r="D20" t="s">
        <v>292</v>
      </c>
      <c r="F20" s="65" t="e">
        <f>F15/F19</f>
        <v>#DIV/0!</v>
      </c>
      <c r="G20" s="65">
        <f>G15/G19</f>
        <v>4.113497195410227</v>
      </c>
    </row>
    <row r="21" spans="2:7" ht="12.75">
      <c r="B21" t="s">
        <v>293</v>
      </c>
      <c r="D21" t="s">
        <v>294</v>
      </c>
      <c r="F21" s="15" t="e">
        <f>F20*(F12/F15)</f>
        <v>#DIV/0!</v>
      </c>
      <c r="G21" s="15">
        <f>G12/G19</f>
        <v>0.14626718684504816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76"/>
  <sheetViews>
    <sheetView workbookViewId="0" topLeftCell="A12">
      <selection activeCell="A39" sqref="A39"/>
    </sheetView>
  </sheetViews>
  <sheetFormatPr defaultColWidth="9.140625" defaultRowHeight="12.75"/>
  <cols>
    <col min="1" max="1" width="27.7109375" style="0" customWidth="1"/>
    <col min="2" max="14" width="10.7109375" style="0" customWidth="1"/>
    <col min="15" max="16" width="11.8515625" style="0" bestFit="1" customWidth="1"/>
    <col min="17" max="17" width="11.8515625" style="0" customWidth="1"/>
    <col min="18" max="18" width="15.28125" style="0" customWidth="1"/>
    <col min="19" max="20" width="10.7109375" style="0" customWidth="1"/>
  </cols>
  <sheetData>
    <row r="1" ht="12.75">
      <c r="A1" t="s">
        <v>114</v>
      </c>
    </row>
    <row r="2" ht="12.75">
      <c r="A2" s="17" t="s">
        <v>312</v>
      </c>
    </row>
    <row r="3" spans="2:20" ht="12.75">
      <c r="B3" s="1">
        <v>2017</v>
      </c>
      <c r="C3" s="1">
        <v>2017</v>
      </c>
      <c r="D3" s="1">
        <v>2017</v>
      </c>
      <c r="E3" s="1">
        <v>2017</v>
      </c>
      <c r="F3" s="1">
        <v>2018</v>
      </c>
      <c r="G3" s="1">
        <f>$F3</f>
        <v>2018</v>
      </c>
      <c r="H3" s="1">
        <f aca="true" t="shared" si="0" ref="H3:R3">$F3</f>
        <v>2018</v>
      </c>
      <c r="I3" s="1">
        <f t="shared" si="0"/>
        <v>2018</v>
      </c>
      <c r="J3" s="1">
        <f t="shared" si="0"/>
        <v>2018</v>
      </c>
      <c r="K3" s="1">
        <f t="shared" si="0"/>
        <v>2018</v>
      </c>
      <c r="L3" s="1">
        <f t="shared" si="0"/>
        <v>2018</v>
      </c>
      <c r="M3" s="1">
        <f t="shared" si="0"/>
        <v>2018</v>
      </c>
      <c r="N3" s="1">
        <f t="shared" si="0"/>
        <v>2018</v>
      </c>
      <c r="O3" s="1">
        <f t="shared" si="0"/>
        <v>2018</v>
      </c>
      <c r="P3" s="1">
        <f t="shared" si="0"/>
        <v>2018</v>
      </c>
      <c r="Q3" s="1">
        <f t="shared" si="0"/>
        <v>2018</v>
      </c>
      <c r="R3" s="1">
        <f t="shared" si="0"/>
        <v>2018</v>
      </c>
      <c r="S3" s="1">
        <v>2019</v>
      </c>
      <c r="T3" s="1">
        <v>2019</v>
      </c>
    </row>
    <row r="4" spans="1:20" ht="12.75">
      <c r="A4" s="17" t="s">
        <v>0</v>
      </c>
      <c r="B4" s="1" t="s">
        <v>16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115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5</v>
      </c>
      <c r="P4" s="1" t="s">
        <v>6</v>
      </c>
      <c r="Q4" s="1" t="s">
        <v>7</v>
      </c>
      <c r="R4" s="1" t="s">
        <v>17</v>
      </c>
      <c r="S4" s="1" t="s">
        <v>8</v>
      </c>
      <c r="T4" s="1" t="s">
        <v>9</v>
      </c>
    </row>
    <row r="5" spans="2:20" ht="12.75">
      <c r="B5" s="5" t="s">
        <v>49</v>
      </c>
      <c r="C5" s="5" t="s">
        <v>50</v>
      </c>
      <c r="D5" s="5" t="s">
        <v>49</v>
      </c>
      <c r="E5" s="5" t="s">
        <v>116</v>
      </c>
      <c r="F5" s="5" t="s">
        <v>49</v>
      </c>
      <c r="G5" s="5" t="s">
        <v>49</v>
      </c>
      <c r="H5" s="5" t="s">
        <v>49</v>
      </c>
      <c r="I5" s="5" t="s">
        <v>49</v>
      </c>
      <c r="J5" s="5" t="s">
        <v>49</v>
      </c>
      <c r="K5" s="5" t="s">
        <v>49</v>
      </c>
      <c r="L5" s="5" t="s">
        <v>49</v>
      </c>
      <c r="M5" s="5" t="s">
        <v>49</v>
      </c>
      <c r="N5" s="5" t="s">
        <v>49</v>
      </c>
      <c r="O5" s="5" t="s">
        <v>50</v>
      </c>
      <c r="P5" s="5" t="s">
        <v>49</v>
      </c>
      <c r="Q5" s="5" t="s">
        <v>116</v>
      </c>
      <c r="R5" s="5" t="s">
        <v>49</v>
      </c>
      <c r="S5" s="5" t="s">
        <v>49</v>
      </c>
      <c r="T5" s="5" t="s">
        <v>49</v>
      </c>
    </row>
    <row r="6" spans="1:22" ht="12.75">
      <c r="A6" t="s">
        <v>1</v>
      </c>
      <c r="B6" s="4">
        <v>1997087.8542152904</v>
      </c>
      <c r="C6" s="4">
        <v>1417288.1546043996</v>
      </c>
      <c r="D6" s="4">
        <v>1181073.462170333</v>
      </c>
      <c r="E6" s="4">
        <v>1170336.4306960572</v>
      </c>
      <c r="F6" s="4">
        <f>Back!$F$8*(1+Back!$I$6)*Back!$D$162/12</f>
        <v>858962.5179420604</v>
      </c>
      <c r="G6" s="4">
        <f>Back!$F$8*(1+Back!$I$6)*Back!$D$163/12</f>
        <v>751592.2031993027</v>
      </c>
      <c r="H6" s="4">
        <f>Back!$F$8*(1+Back!$I$6)*Back!$D$164/12</f>
        <v>644221.8884565452</v>
      </c>
      <c r="I6" s="4">
        <f>Back!$F$8*(1+Back!$I$6)*Back!$D$165/12</f>
        <v>1202547.5251188844</v>
      </c>
      <c r="J6" s="4">
        <f>Back!$F$8*(1+Back!$I$6)*Back!$D$166/12</f>
        <v>1213284.55659316</v>
      </c>
      <c r="K6" s="4">
        <f>Back!$F$8*(1+Back!$I$6)*Back!$D$167/12</f>
        <v>751592.2031993027</v>
      </c>
      <c r="L6" s="4">
        <f>Back!$F$8*(1+Back!$I$6)*Back!$G$162/12</f>
        <v>665695.9514050967</v>
      </c>
      <c r="M6" s="4">
        <f>Back!$F$8*(1+Back!$I$6)*Back!$G$163/12</f>
        <v>858962.5179420604</v>
      </c>
      <c r="N6" s="4">
        <f>Back!$F$8*(1+Back!$I$6)*Back!$G$164/12</f>
        <v>1717925.0358841207</v>
      </c>
      <c r="O6" s="4">
        <f>Back!$F$8*(1+Back!$I$6)*Back!$G$165/12</f>
        <v>1481710.3434500538</v>
      </c>
      <c r="P6" s="4">
        <f>Back!$F$8*(1+Back!$I$6)*Back!$G$166/12</f>
        <v>1449499.2490272268</v>
      </c>
      <c r="Q6" s="4">
        <f>Back!$F$8*(1+Back!$I$6)*Back!$G$167/12</f>
        <v>1288443.7769130904</v>
      </c>
      <c r="R6" s="4">
        <f>SUM(F6:Q6)</f>
        <v>12884437.769130904</v>
      </c>
      <c r="S6" s="4">
        <f>R6*(1+Back!$I$7)*Back!$D$162/12</f>
        <v>858962.5179420604</v>
      </c>
      <c r="T6" s="4">
        <f>R6*(1+Back!$I$7)*Back!$D$163/12</f>
        <v>751592.2031993027</v>
      </c>
      <c r="U6" s="2"/>
      <c r="V6" s="2"/>
    </row>
    <row r="7" spans="1:22" ht="12.75">
      <c r="A7" t="s">
        <v>2</v>
      </c>
      <c r="B7" s="4">
        <v>199708.78542152906</v>
      </c>
      <c r="C7" s="4">
        <v>141728.81546043998</v>
      </c>
      <c r="D7" s="4">
        <v>118107.3462170333</v>
      </c>
      <c r="E7" s="4">
        <v>117033.64306960572</v>
      </c>
      <c r="F7" s="4">
        <f>F6*Back!$I$11</f>
        <v>0</v>
      </c>
      <c r="G7" s="4">
        <f>G6*Back!$I$11</f>
        <v>0</v>
      </c>
      <c r="H7" s="4">
        <f>H6*Back!$I$11</f>
        <v>0</v>
      </c>
      <c r="I7" s="4">
        <f>I6*Back!$I$11</f>
        <v>0</v>
      </c>
      <c r="J7" s="4">
        <f>J6*Back!$I$11</f>
        <v>0</v>
      </c>
      <c r="K7" s="4">
        <f>K6*Back!$I$11</f>
        <v>0</v>
      </c>
      <c r="L7" s="4">
        <f>L6*Back!$I$11</f>
        <v>0</v>
      </c>
      <c r="M7" s="4">
        <f>M6*Back!$I$11</f>
        <v>0</v>
      </c>
      <c r="N7" s="4">
        <f>N6*Back!$I$11</f>
        <v>0</v>
      </c>
      <c r="O7" s="4">
        <f>O6*Back!$I$11</f>
        <v>0</v>
      </c>
      <c r="P7" s="4">
        <f>P6*Back!$I$11</f>
        <v>0</v>
      </c>
      <c r="Q7" s="4">
        <f>Q6*Back!$I$11</f>
        <v>0</v>
      </c>
      <c r="R7" s="4">
        <f>SUM(F7:Q7)</f>
        <v>0</v>
      </c>
      <c r="S7" s="4"/>
      <c r="T7" s="4"/>
      <c r="U7" s="2"/>
      <c r="V7" s="2"/>
    </row>
    <row r="8" spans="1:22" ht="12.75">
      <c r="A8" t="s">
        <v>3</v>
      </c>
      <c r="B8" s="4">
        <v>798835.1416861162</v>
      </c>
      <c r="C8" s="4">
        <v>566915.2618417599</v>
      </c>
      <c r="D8" s="4">
        <v>472429.3848681332</v>
      </c>
      <c r="E8" s="4">
        <v>468134.5722784229</v>
      </c>
      <c r="F8" s="4">
        <f>F6*Back!$I$12</f>
        <v>0</v>
      </c>
      <c r="G8" s="4">
        <f>G6*Back!$I$12</f>
        <v>0</v>
      </c>
      <c r="H8" s="4">
        <f>H6*Back!$I$12</f>
        <v>0</v>
      </c>
      <c r="I8" s="4">
        <f>I6*Back!$I$12</f>
        <v>0</v>
      </c>
      <c r="J8" s="4">
        <f>J6*Back!$I$12</f>
        <v>0</v>
      </c>
      <c r="K8" s="4">
        <f>K6*Back!$I$12</f>
        <v>0</v>
      </c>
      <c r="L8" s="4">
        <f>L6*Back!$I$12</f>
        <v>0</v>
      </c>
      <c r="M8" s="4">
        <f>M6*Back!$I$12</f>
        <v>0</v>
      </c>
      <c r="N8" s="4">
        <f>N6*Back!$I$12</f>
        <v>0</v>
      </c>
      <c r="O8" s="4">
        <f>O6*Back!$I$12</f>
        <v>0</v>
      </c>
      <c r="P8" s="4">
        <f>P6*Back!$I$12</f>
        <v>0</v>
      </c>
      <c r="Q8" s="4">
        <f>Q6*Back!$I$12</f>
        <v>0</v>
      </c>
      <c r="R8" s="4">
        <f>SUM(F8:Q8)</f>
        <v>0</v>
      </c>
      <c r="S8" s="4"/>
      <c r="T8" s="4"/>
      <c r="U8" s="2"/>
      <c r="V8" s="2"/>
    </row>
    <row r="9" spans="1:22" ht="12.75">
      <c r="A9" t="s">
        <v>117</v>
      </c>
      <c r="B9" s="4">
        <v>998543.9271076452</v>
      </c>
      <c r="C9" s="4">
        <v>708644.0773021998</v>
      </c>
      <c r="D9" s="4">
        <v>590536.7310851665</v>
      </c>
      <c r="E9" s="4">
        <v>585168.2153480286</v>
      </c>
      <c r="F9" s="4">
        <f>F6*Back!$I$13</f>
        <v>0</v>
      </c>
      <c r="G9" s="4">
        <f>G6*Back!$I$13</f>
        <v>0</v>
      </c>
      <c r="H9" s="4">
        <f>H6*Back!$I$13</f>
        <v>0</v>
      </c>
      <c r="I9" s="4">
        <f>I6*Back!$I$13</f>
        <v>0</v>
      </c>
      <c r="J9" s="4">
        <f>J6*Back!$I$13</f>
        <v>0</v>
      </c>
      <c r="K9" s="4">
        <f>K6*Back!$I$13</f>
        <v>0</v>
      </c>
      <c r="L9" s="4">
        <f>L6*Back!$I$13</f>
        <v>0</v>
      </c>
      <c r="M9" s="4">
        <f>M6*Back!$I$13</f>
        <v>0</v>
      </c>
      <c r="N9" s="4">
        <f>N6*Back!$I$13</f>
        <v>0</v>
      </c>
      <c r="O9" s="4">
        <f>O6*Back!$I$13</f>
        <v>0</v>
      </c>
      <c r="P9" s="4">
        <f>P6*Back!$I$13</f>
        <v>0</v>
      </c>
      <c r="Q9" s="4">
        <f>Q6*Back!$I$13</f>
        <v>0</v>
      </c>
      <c r="R9" s="4">
        <f>SUM(F9:Q9)</f>
        <v>0</v>
      </c>
      <c r="S9" s="4"/>
      <c r="T9" s="4"/>
      <c r="U9" s="2"/>
      <c r="V9" s="2"/>
    </row>
    <row r="10" spans="1:22" ht="12.75">
      <c r="A10" t="s">
        <v>4</v>
      </c>
      <c r="B10" s="4">
        <v>1150650.623089461</v>
      </c>
      <c r="C10" s="4">
        <v>1317343.0367275919</v>
      </c>
      <c r="D10" s="4">
        <v>1149308.4941551762</v>
      </c>
      <c r="E10" s="4">
        <v>988789.8736147537</v>
      </c>
      <c r="F10" s="4">
        <f>E10+F9-SUM(F11:F14)</f>
        <v>988789.8736147537</v>
      </c>
      <c r="G10" s="4">
        <f aca="true" t="shared" si="1" ref="G10:Q10">F10+G9-SUM(G11:G14)</f>
        <v>988789.8736147537</v>
      </c>
      <c r="H10" s="4">
        <f t="shared" si="1"/>
        <v>988789.8736147537</v>
      </c>
      <c r="I10" s="4">
        <f t="shared" si="1"/>
        <v>988789.8736147537</v>
      </c>
      <c r="J10" s="4">
        <f t="shared" si="1"/>
        <v>988789.8736147537</v>
      </c>
      <c r="K10" s="4">
        <f t="shared" si="1"/>
        <v>988789.8736147537</v>
      </c>
      <c r="L10" s="4">
        <f t="shared" si="1"/>
        <v>988789.8736147537</v>
      </c>
      <c r="M10" s="4">
        <f t="shared" si="1"/>
        <v>988789.8736147537</v>
      </c>
      <c r="N10" s="4">
        <f t="shared" si="1"/>
        <v>988789.8736147537</v>
      </c>
      <c r="O10" s="4">
        <f t="shared" si="1"/>
        <v>988789.8736147537</v>
      </c>
      <c r="P10" s="4">
        <f t="shared" si="1"/>
        <v>988789.8736147537</v>
      </c>
      <c r="Q10" s="4">
        <f t="shared" si="1"/>
        <v>988789.8736147537</v>
      </c>
      <c r="R10" s="4"/>
      <c r="S10" s="4"/>
      <c r="T10" s="4"/>
      <c r="U10" s="2"/>
      <c r="V10" s="2"/>
    </row>
    <row r="11" spans="1:22" ht="12.75">
      <c r="A11" t="s">
        <v>18</v>
      </c>
      <c r="B11" s="4">
        <v>115959.93992217814</v>
      </c>
      <c r="C11" s="4">
        <v>299563.1781322936</v>
      </c>
      <c r="D11" s="4">
        <v>212593.22319065992</v>
      </c>
      <c r="E11" s="4">
        <v>177161.01932554992</v>
      </c>
      <c r="F11" s="4">
        <f>Back!$I$16*E9</f>
        <v>0</v>
      </c>
      <c r="G11" s="4">
        <f>Back!$I$16*F9</f>
        <v>0</v>
      </c>
      <c r="H11" s="4">
        <f>Back!$I$16*G9</f>
        <v>0</v>
      </c>
      <c r="I11" s="4">
        <f>Back!$I$16*H9</f>
        <v>0</v>
      </c>
      <c r="J11" s="4">
        <f>Back!$I$16*I9</f>
        <v>0</v>
      </c>
      <c r="K11" s="4">
        <f>Back!$I$16*J9</f>
        <v>0</v>
      </c>
      <c r="L11" s="4">
        <f>Back!$I$16*K9</f>
        <v>0</v>
      </c>
      <c r="M11" s="4">
        <f>Back!$I$16*L9</f>
        <v>0</v>
      </c>
      <c r="N11" s="4">
        <f>Back!$I$16*M9</f>
        <v>0</v>
      </c>
      <c r="O11" s="4">
        <f>Back!$I$16*N9</f>
        <v>0</v>
      </c>
      <c r="P11" s="4">
        <f>Back!$I$16*O9</f>
        <v>0</v>
      </c>
      <c r="Q11" s="4">
        <f>Back!$I$16*P9</f>
        <v>0</v>
      </c>
      <c r="R11" s="4"/>
      <c r="S11" s="4"/>
      <c r="T11" s="4"/>
      <c r="U11" s="2"/>
      <c r="V11" s="2"/>
    </row>
    <row r="12" spans="1:22" ht="12.75">
      <c r="A12" t="s">
        <v>19</v>
      </c>
      <c r="B12" s="4">
        <v>123207.43616731428</v>
      </c>
      <c r="C12" s="4">
        <v>173939.90988326722</v>
      </c>
      <c r="D12" s="4">
        <v>449344.7671984403</v>
      </c>
      <c r="E12" s="4">
        <v>318889.8347859899</v>
      </c>
      <c r="F12" s="4">
        <f>Back!$I$17*D9</f>
        <v>0</v>
      </c>
      <c r="G12" s="4">
        <f>Back!$I$17*E9</f>
        <v>0</v>
      </c>
      <c r="H12" s="4">
        <f>Back!$I$17*F9</f>
        <v>0</v>
      </c>
      <c r="I12" s="4">
        <f>Back!$I$17*G9</f>
        <v>0</v>
      </c>
      <c r="J12" s="4">
        <f>Back!$I$17*H9</f>
        <v>0</v>
      </c>
      <c r="K12" s="4">
        <f>Back!$I$17*I9</f>
        <v>0</v>
      </c>
      <c r="L12" s="4">
        <f>Back!$I$17*J9</f>
        <v>0</v>
      </c>
      <c r="M12" s="4">
        <f>Back!$I$17*K9</f>
        <v>0</v>
      </c>
      <c r="N12" s="4">
        <f>Back!$I$17*L9</f>
        <v>0</v>
      </c>
      <c r="O12" s="4">
        <f>Back!$I$17*M9</f>
        <v>0</v>
      </c>
      <c r="P12" s="4">
        <f>Back!$I$17*N9</f>
        <v>0</v>
      </c>
      <c r="Q12" s="4">
        <f>Back!$I$17*O9</f>
        <v>0</v>
      </c>
      <c r="R12" s="4"/>
      <c r="S12" s="4"/>
      <c r="T12" s="4"/>
      <c r="U12" s="2"/>
      <c r="V12" s="2"/>
    </row>
    <row r="13" spans="1:22" ht="12.75">
      <c r="A13" t="s">
        <v>20</v>
      </c>
      <c r="B13" s="4">
        <v>81494.06888975296</v>
      </c>
      <c r="C13" s="4">
        <v>60234.746570686984</v>
      </c>
      <c r="D13" s="4">
        <v>85037.28927626397</v>
      </c>
      <c r="E13" s="4">
        <v>219679.66396368193</v>
      </c>
      <c r="F13" s="4">
        <f>Back!$I$18*C9</f>
        <v>0</v>
      </c>
      <c r="G13" s="4">
        <f>Back!$I$18*D9</f>
        <v>0</v>
      </c>
      <c r="H13" s="4">
        <f>Back!$I$18*E9</f>
        <v>0</v>
      </c>
      <c r="I13" s="4">
        <f>Back!$I$18*F9</f>
        <v>0</v>
      </c>
      <c r="J13" s="4">
        <f>Back!$I$18*G9</f>
        <v>0</v>
      </c>
      <c r="K13" s="4">
        <f>Back!$I$18*H9</f>
        <v>0</v>
      </c>
      <c r="L13" s="4">
        <f>Back!$I$18*I9</f>
        <v>0</v>
      </c>
      <c r="M13" s="4">
        <f>Back!$I$18*J9</f>
        <v>0</v>
      </c>
      <c r="N13" s="4">
        <f>Back!$I$18*K9</f>
        <v>0</v>
      </c>
      <c r="O13" s="4">
        <f>Back!$I$18*L9</f>
        <v>0</v>
      </c>
      <c r="P13" s="4">
        <f>Back!$I$18*M9</f>
        <v>0</v>
      </c>
      <c r="Q13" s="4">
        <f>Back!$I$18*N9</f>
        <v>0</v>
      </c>
      <c r="R13" s="4"/>
      <c r="S13" s="4"/>
      <c r="T13" s="4"/>
      <c r="U13" s="2"/>
      <c r="V13" s="2"/>
    </row>
    <row r="14" spans="1:22" ht="12.75">
      <c r="A14" t="s">
        <v>21</v>
      </c>
      <c r="B14" s="4">
        <v>11112.827575875403</v>
      </c>
      <c r="C14" s="4">
        <v>8213.829077820952</v>
      </c>
      <c r="D14" s="4">
        <v>11595.993992217813</v>
      </c>
      <c r="E14" s="4">
        <v>29956.317813229354</v>
      </c>
      <c r="F14" s="4">
        <f>Back!$I$19*C9</f>
        <v>0</v>
      </c>
      <c r="G14" s="4">
        <f>Back!$I$19*D9</f>
        <v>0</v>
      </c>
      <c r="H14" s="4">
        <f>Back!$I$19*E9</f>
        <v>0</v>
      </c>
      <c r="I14" s="4">
        <f>Back!$I$19*F9</f>
        <v>0</v>
      </c>
      <c r="J14" s="4">
        <f>Back!$I$19*G9</f>
        <v>0</v>
      </c>
      <c r="K14" s="4">
        <f>Back!$I$19*H9</f>
        <v>0</v>
      </c>
      <c r="L14" s="4">
        <f>Back!$I$19*I9</f>
        <v>0</v>
      </c>
      <c r="M14" s="4">
        <f>Back!$I$19*J9</f>
        <v>0</v>
      </c>
      <c r="N14" s="4">
        <f>Back!$I$19*K9</f>
        <v>0</v>
      </c>
      <c r="O14" s="4">
        <f>Back!$I$19*L9</f>
        <v>0</v>
      </c>
      <c r="P14" s="4">
        <f>Back!$I$19*M9</f>
        <v>0</v>
      </c>
      <c r="Q14" s="4">
        <f>Back!$I$19*N9</f>
        <v>0</v>
      </c>
      <c r="R14" s="4">
        <f>SUM(F14:Q14)</f>
        <v>0</v>
      </c>
      <c r="S14" s="4"/>
      <c r="T14" s="4"/>
      <c r="U14" s="2"/>
      <c r="V14" s="2"/>
    </row>
    <row r="15" spans="1:22" ht="12.75">
      <c r="A15" t="s">
        <v>22</v>
      </c>
      <c r="B15" s="4">
        <v>0</v>
      </c>
      <c r="C15" s="4">
        <v>0</v>
      </c>
      <c r="D15" s="4">
        <v>0</v>
      </c>
      <c r="E15" s="4">
        <v>0</v>
      </c>
      <c r="F15" s="4">
        <f>Back!$I$53*E51/12</f>
        <v>0</v>
      </c>
      <c r="G15" s="4" t="e">
        <f>Back!$I$53*F51/12</f>
        <v>#DIV/0!</v>
      </c>
      <c r="H15" s="4" t="e">
        <f>Back!$I$53*G51/12</f>
        <v>#DIV/0!</v>
      </c>
      <c r="I15" s="4" t="e">
        <f>Back!$I$53*H51/12</f>
        <v>#DIV/0!</v>
      </c>
      <c r="J15" s="4" t="e">
        <f>Back!$I$53*I51/12</f>
        <v>#DIV/0!</v>
      </c>
      <c r="K15" s="4" t="e">
        <f>Back!$I$53*J51/12</f>
        <v>#DIV/0!</v>
      </c>
      <c r="L15" s="4" t="e">
        <f>Back!$I$53*K51/12</f>
        <v>#DIV/0!</v>
      </c>
      <c r="M15" s="4" t="e">
        <f>Back!$I$53*L51/12</f>
        <v>#DIV/0!</v>
      </c>
      <c r="N15" s="4" t="e">
        <f>Back!$I$53*M51/12</f>
        <v>#DIV/0!</v>
      </c>
      <c r="O15" s="4" t="e">
        <f>Back!$I$53*N51/12</f>
        <v>#DIV/0!</v>
      </c>
      <c r="P15" s="4" t="e">
        <f>Back!$I$53*O51/12</f>
        <v>#DIV/0!</v>
      </c>
      <c r="Q15" s="4" t="e">
        <f>Back!$I$53*P51/12</f>
        <v>#DIV/0!</v>
      </c>
      <c r="R15" s="4" t="e">
        <f>SUM(F15:Q15)</f>
        <v>#DIV/0!</v>
      </c>
      <c r="S15" s="4"/>
      <c r="T15" s="4"/>
      <c r="U15" s="2"/>
      <c r="V15" s="2"/>
    </row>
    <row r="16" spans="1:22" ht="12.75">
      <c r="A16" t="s">
        <v>209</v>
      </c>
      <c r="B16" s="4"/>
      <c r="C16" s="4"/>
      <c r="D16" s="4"/>
      <c r="E16" s="4"/>
      <c r="F16" s="4">
        <f>Back!$I$62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/>
      <c r="V16" s="2"/>
    </row>
    <row r="17" spans="1:22" ht="12.75">
      <c r="A17" t="s">
        <v>255</v>
      </c>
      <c r="B17" s="4"/>
      <c r="C17" s="4"/>
      <c r="D17" s="4"/>
      <c r="E17" s="4"/>
      <c r="F17" s="4">
        <f>Back!E43*Back!G47</f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/>
      <c r="V17" s="2"/>
    </row>
    <row r="18" spans="2:22" ht="12.75">
      <c r="B18" s="29" t="s">
        <v>47</v>
      </c>
      <c r="C18" s="29" t="s">
        <v>47</v>
      </c>
      <c r="D18" s="29" t="s">
        <v>47</v>
      </c>
      <c r="E18" s="29" t="s">
        <v>47</v>
      </c>
      <c r="F18" s="29" t="s">
        <v>47</v>
      </c>
      <c r="G18" s="29" t="s">
        <v>47</v>
      </c>
      <c r="H18" s="29" t="s">
        <v>47</v>
      </c>
      <c r="I18" s="29" t="s">
        <v>47</v>
      </c>
      <c r="J18" s="29" t="s">
        <v>47</v>
      </c>
      <c r="K18" s="29" t="s">
        <v>47</v>
      </c>
      <c r="L18" s="29" t="s">
        <v>47</v>
      </c>
      <c r="M18" s="29" t="s">
        <v>47</v>
      </c>
      <c r="N18" s="29" t="s">
        <v>47</v>
      </c>
      <c r="O18" s="29" t="s">
        <v>47</v>
      </c>
      <c r="P18" s="29" t="s">
        <v>47</v>
      </c>
      <c r="Q18" s="29" t="s">
        <v>47</v>
      </c>
      <c r="R18" s="4"/>
      <c r="S18" s="4"/>
      <c r="T18" s="4"/>
      <c r="U18" s="2"/>
      <c r="V18" s="2"/>
    </row>
    <row r="19" spans="1:22" ht="12.75">
      <c r="A19" t="s">
        <v>23</v>
      </c>
      <c r="B19" s="7">
        <v>1319205.3720868905</v>
      </c>
      <c r="C19" s="7">
        <v>1242381.9118884478</v>
      </c>
      <c r="D19" s="7">
        <v>1337512.0107505305</v>
      </c>
      <c r="E19" s="7">
        <v>1300898.7334232505</v>
      </c>
      <c r="F19" s="7">
        <f>+F7+F8+F11+F12+F13+F15+F16+F17</f>
        <v>0</v>
      </c>
      <c r="G19" s="7" t="e">
        <f aca="true" t="shared" si="2" ref="G19:Q19">+G7+G8+G11+G12+G13+G15+G16</f>
        <v>#DIV/0!</v>
      </c>
      <c r="H19" s="7" t="e">
        <f t="shared" si="2"/>
        <v>#DIV/0!</v>
      </c>
      <c r="I19" s="7" t="e">
        <f t="shared" si="2"/>
        <v>#DIV/0!</v>
      </c>
      <c r="J19" s="7" t="e">
        <f t="shared" si="2"/>
        <v>#DIV/0!</v>
      </c>
      <c r="K19" s="7" t="e">
        <f t="shared" si="2"/>
        <v>#DIV/0!</v>
      </c>
      <c r="L19" s="7" t="e">
        <f t="shared" si="2"/>
        <v>#DIV/0!</v>
      </c>
      <c r="M19" s="7" t="e">
        <f t="shared" si="2"/>
        <v>#DIV/0!</v>
      </c>
      <c r="N19" s="7" t="e">
        <f t="shared" si="2"/>
        <v>#DIV/0!</v>
      </c>
      <c r="O19" s="7" t="e">
        <f t="shared" si="2"/>
        <v>#DIV/0!</v>
      </c>
      <c r="P19" s="7" t="e">
        <f t="shared" si="2"/>
        <v>#DIV/0!</v>
      </c>
      <c r="Q19" s="7" t="e">
        <f t="shared" si="2"/>
        <v>#DIV/0!</v>
      </c>
      <c r="R19" s="7"/>
      <c r="S19" s="4"/>
      <c r="T19" s="4"/>
      <c r="U19" s="2"/>
      <c r="V19" s="2"/>
    </row>
    <row r="20" spans="2:22" ht="12.75">
      <c r="B20" s="2" t="s">
        <v>46</v>
      </c>
      <c r="C20" s="2" t="s">
        <v>46</v>
      </c>
      <c r="D20" s="2" t="s">
        <v>46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46</v>
      </c>
      <c r="L20" s="2" t="s">
        <v>46</v>
      </c>
      <c r="M20" s="2" t="s">
        <v>46</v>
      </c>
      <c r="N20" s="2" t="s">
        <v>46</v>
      </c>
      <c r="O20" s="2" t="s">
        <v>46</v>
      </c>
      <c r="P20" s="2" t="s">
        <v>46</v>
      </c>
      <c r="Q20" s="2" t="s">
        <v>46</v>
      </c>
      <c r="R20" s="2"/>
      <c r="S20" s="7"/>
      <c r="T20" s="7"/>
      <c r="U20" s="2"/>
      <c r="V20" s="2"/>
    </row>
    <row r="21" spans="1:22" ht="12.75">
      <c r="A21" t="s">
        <v>24</v>
      </c>
      <c r="B21" s="29">
        <v>2082850.0994068193</v>
      </c>
      <c r="C21" s="29">
        <v>1914922.9271491463</v>
      </c>
      <c r="D21" s="29">
        <v>1456408.7350716745</v>
      </c>
      <c r="E21" s="29">
        <v>1255042.151990517</v>
      </c>
      <c r="F21" s="29">
        <f>E21+F22-D22</f>
        <v>910426.3897921625</v>
      </c>
      <c r="G21" s="29">
        <f aca="true" t="shared" si="3" ref="G21:Q21">F21+G22-E22</f>
        <v>315964.2000000009</v>
      </c>
      <c r="H21" s="29">
        <f t="shared" si="3"/>
        <v>315964.2000000009</v>
      </c>
      <c r="I21" s="29">
        <f t="shared" si="3"/>
        <v>315964.2000000009</v>
      </c>
      <c r="J21" s="29">
        <f t="shared" si="3"/>
        <v>315964.2000000009</v>
      </c>
      <c r="K21" s="29">
        <f t="shared" si="3"/>
        <v>315964.2000000009</v>
      </c>
      <c r="L21" s="29">
        <f t="shared" si="3"/>
        <v>315964.2000000009</v>
      </c>
      <c r="M21" s="29">
        <f t="shared" si="3"/>
        <v>315964.2000000009</v>
      </c>
      <c r="N21" s="29">
        <f t="shared" si="3"/>
        <v>315964.2000000009</v>
      </c>
      <c r="O21" s="29">
        <f t="shared" si="3"/>
        <v>315964.2000000009</v>
      </c>
      <c r="P21" s="29">
        <f t="shared" si="3"/>
        <v>315964.2000000009</v>
      </c>
      <c r="Q21" s="29">
        <f t="shared" si="3"/>
        <v>315964.2000000009</v>
      </c>
      <c r="R21" s="6"/>
      <c r="S21" s="2"/>
      <c r="T21" s="2"/>
      <c r="U21" s="2"/>
      <c r="V21" s="2"/>
    </row>
    <row r="22" spans="1:22" ht="12.75">
      <c r="A22" t="s">
        <v>25</v>
      </c>
      <c r="B22" s="4">
        <v>803129.9542758265</v>
      </c>
      <c r="C22" s="4">
        <v>795828.7728733189</v>
      </c>
      <c r="D22" s="4">
        <v>344615.76219835464</v>
      </c>
      <c r="E22" s="4">
        <v>594462.1897921616</v>
      </c>
      <c r="F22" s="4">
        <f>Back!$I$23*H6</f>
        <v>0</v>
      </c>
      <c r="G22" s="4">
        <f>Back!$I$23*I6</f>
        <v>0</v>
      </c>
      <c r="H22" s="4">
        <f>Back!$I$23*J6</f>
        <v>0</v>
      </c>
      <c r="I22" s="4">
        <f>Back!$I$23*K6</f>
        <v>0</v>
      </c>
      <c r="J22" s="4">
        <f>Back!$I$23*L6</f>
        <v>0</v>
      </c>
      <c r="K22" s="4">
        <f>Back!$I$23*M6</f>
        <v>0</v>
      </c>
      <c r="L22" s="4">
        <f>Back!$I$23*N6</f>
        <v>0</v>
      </c>
      <c r="M22" s="4">
        <f>Back!$I$23*O6</f>
        <v>0</v>
      </c>
      <c r="N22" s="4">
        <f>Back!$I$23*P6</f>
        <v>0</v>
      </c>
      <c r="O22" s="4">
        <f>Back!$I$23*Q6</f>
        <v>0</v>
      </c>
      <c r="P22" s="4">
        <f>Back!$I$23*S6</f>
        <v>0</v>
      </c>
      <c r="Q22" s="4">
        <f>Back!$I$23*T6</f>
        <v>0</v>
      </c>
      <c r="R22" s="6">
        <f>SUM(D22:O22)</f>
        <v>939077.9519905162</v>
      </c>
      <c r="S22" s="30" t="s">
        <v>131</v>
      </c>
      <c r="T22" s="30"/>
      <c r="U22" s="2"/>
      <c r="V22" s="2"/>
    </row>
    <row r="23" spans="1:22" ht="12.75">
      <c r="A23" t="s">
        <v>26</v>
      </c>
      <c r="B23" s="4">
        <v>1052393.974275827</v>
      </c>
      <c r="C23" s="4">
        <v>1045092.7928733192</v>
      </c>
      <c r="D23" s="4">
        <v>593879.782198355</v>
      </c>
      <c r="E23" s="4">
        <v>843726.2097921618</v>
      </c>
      <c r="F23" s="4">
        <f>E23+F22-F24</f>
        <v>249264.02000000025</v>
      </c>
      <c r="G23" s="4">
        <f aca="true" t="shared" si="4" ref="G23:Q23">F23+G22-G24</f>
        <v>249264.02000000025</v>
      </c>
      <c r="H23" s="4">
        <f t="shared" si="4"/>
        <v>249264.02000000025</v>
      </c>
      <c r="I23" s="4">
        <f t="shared" si="4"/>
        <v>249264.02000000025</v>
      </c>
      <c r="J23" s="4">
        <f t="shared" si="4"/>
        <v>249264.02000000025</v>
      </c>
      <c r="K23" s="4">
        <f t="shared" si="4"/>
        <v>249264.02000000025</v>
      </c>
      <c r="L23" s="4">
        <f t="shared" si="4"/>
        <v>249264.02000000025</v>
      </c>
      <c r="M23" s="4">
        <f t="shared" si="4"/>
        <v>249264.02000000025</v>
      </c>
      <c r="N23" s="4">
        <f t="shared" si="4"/>
        <v>249264.02000000025</v>
      </c>
      <c r="O23" s="4">
        <f t="shared" si="4"/>
        <v>249264.02000000025</v>
      </c>
      <c r="P23" s="4">
        <f t="shared" si="4"/>
        <v>249264.02000000025</v>
      </c>
      <c r="Q23" s="4">
        <f t="shared" si="4"/>
        <v>249264.02000000025</v>
      </c>
      <c r="R23" s="4"/>
      <c r="S23" s="30"/>
      <c r="T23" s="30"/>
      <c r="U23" s="2"/>
      <c r="V23" s="2"/>
    </row>
    <row r="24" spans="1:22" ht="12.75">
      <c r="A24" t="s">
        <v>27</v>
      </c>
      <c r="B24" s="4">
        <v>963755.9451309917</v>
      </c>
      <c r="C24" s="4">
        <v>803129.9542758265</v>
      </c>
      <c r="D24" s="4">
        <v>795828.7728733189</v>
      </c>
      <c r="E24" s="4">
        <v>344615.76219835464</v>
      </c>
      <c r="F24" s="4">
        <f>E22</f>
        <v>594462.1897921616</v>
      </c>
      <c r="G24" s="4">
        <f aca="true" t="shared" si="5" ref="G24:Q24">F22</f>
        <v>0</v>
      </c>
      <c r="H24" s="4">
        <f t="shared" si="5"/>
        <v>0</v>
      </c>
      <c r="I24" s="4">
        <f t="shared" si="5"/>
        <v>0</v>
      </c>
      <c r="J24" s="4">
        <f t="shared" si="5"/>
        <v>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4">
        <f t="shared" si="5"/>
        <v>0</v>
      </c>
      <c r="O24" s="4">
        <f t="shared" si="5"/>
        <v>0</v>
      </c>
      <c r="P24" s="4">
        <f t="shared" si="5"/>
        <v>0</v>
      </c>
      <c r="Q24" s="4">
        <f t="shared" si="5"/>
        <v>0</v>
      </c>
      <c r="R24" s="4"/>
      <c r="S24" s="30"/>
      <c r="T24" s="30"/>
      <c r="U24" s="2"/>
      <c r="V24" s="2"/>
    </row>
    <row r="25" spans="1:22" ht="12.75">
      <c r="A25" t="s">
        <v>28</v>
      </c>
      <c r="B25" s="4">
        <v>119825.27125291742</v>
      </c>
      <c r="C25" s="4">
        <v>85037.28927626397</v>
      </c>
      <c r="D25" s="4">
        <v>70864.40773021997</v>
      </c>
      <c r="E25" s="4">
        <v>70220.18584176342</v>
      </c>
      <c r="F25" s="4">
        <f>Back!$I$26*F6</f>
        <v>0</v>
      </c>
      <c r="G25" s="4">
        <f>Back!$I$26*G6</f>
        <v>0</v>
      </c>
      <c r="H25" s="4">
        <f>Back!$I$26*H6</f>
        <v>0</v>
      </c>
      <c r="I25" s="4">
        <f>Back!$I$26*I6</f>
        <v>0</v>
      </c>
      <c r="J25" s="4">
        <f>Back!$I$26*J6</f>
        <v>0</v>
      </c>
      <c r="K25" s="4">
        <f>Back!$I$26*K6</f>
        <v>0</v>
      </c>
      <c r="L25" s="4">
        <f>Back!$I$26*L6</f>
        <v>0</v>
      </c>
      <c r="M25" s="4">
        <f>Back!$I$26*M6</f>
        <v>0</v>
      </c>
      <c r="N25" s="4">
        <f>Back!$I$26*N6</f>
        <v>0</v>
      </c>
      <c r="O25" s="4">
        <f>Back!$I$26*O6</f>
        <v>0</v>
      </c>
      <c r="P25" s="4">
        <f>Back!$I$26*P6</f>
        <v>0</v>
      </c>
      <c r="Q25" s="4">
        <f>Back!$I$26*Q6</f>
        <v>0</v>
      </c>
      <c r="R25" s="4">
        <f>SUM(F25:Q25)</f>
        <v>0</v>
      </c>
      <c r="S25" s="30"/>
      <c r="T25" s="30"/>
      <c r="U25" s="2"/>
      <c r="V25" s="2"/>
    </row>
    <row r="26" spans="1:22" ht="12.75">
      <c r="A26" t="s">
        <v>233</v>
      </c>
      <c r="B26" s="4">
        <v>21881.887075967905</v>
      </c>
      <c r="C26" s="4">
        <v>22014.161311440836</v>
      </c>
      <c r="D26" s="4">
        <v>22147.235133956194</v>
      </c>
      <c r="E26" s="4">
        <v>22281.113376952842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f>SUM(F26:Q26)</f>
        <v>0</v>
      </c>
      <c r="S26" s="30"/>
      <c r="T26" s="30"/>
      <c r="U26" s="2"/>
      <c r="V26" s="2"/>
    </row>
    <row r="27" spans="1:22" ht="12.75">
      <c r="A27" t="s">
        <v>234</v>
      </c>
      <c r="B27" s="4"/>
      <c r="C27" s="4"/>
      <c r="D27" s="4"/>
      <c r="E27" s="4"/>
      <c r="F27" s="4" t="e">
        <f>Back!$E81</f>
        <v>#DIV/0!</v>
      </c>
      <c r="G27" s="4" t="e">
        <f>Back!$E82</f>
        <v>#DIV/0!</v>
      </c>
      <c r="H27" s="4" t="e">
        <f>Back!$E83</f>
        <v>#DIV/0!</v>
      </c>
      <c r="I27" s="4" t="e">
        <f>Back!$E84</f>
        <v>#DIV/0!</v>
      </c>
      <c r="J27" s="4" t="e">
        <f>Back!$E85</f>
        <v>#DIV/0!</v>
      </c>
      <c r="K27" s="4" t="e">
        <f>Back!$E86</f>
        <v>#DIV/0!</v>
      </c>
      <c r="L27" s="4" t="e">
        <f>Back!$E87</f>
        <v>#DIV/0!</v>
      </c>
      <c r="M27" s="4" t="e">
        <f>Back!$E88</f>
        <v>#DIV/0!</v>
      </c>
      <c r="N27" s="4" t="e">
        <f>Back!$E89</f>
        <v>#DIV/0!</v>
      </c>
      <c r="O27" s="4" t="e">
        <f>Back!$E90</f>
        <v>#DIV/0!</v>
      </c>
      <c r="P27" s="4" t="e">
        <f>Back!$E91</f>
        <v>#DIV/0!</v>
      </c>
      <c r="Q27" s="4" t="e">
        <f>Back!$E92</f>
        <v>#DIV/0!</v>
      </c>
      <c r="R27" s="4" t="e">
        <f>SUM(F27:Q27)</f>
        <v>#DIV/0!</v>
      </c>
      <c r="S27" s="30"/>
      <c r="T27" s="30"/>
      <c r="U27" s="2"/>
      <c r="V27" s="2"/>
    </row>
    <row r="28" spans="1:22" ht="12.75">
      <c r="A28" t="s">
        <v>29</v>
      </c>
      <c r="B28" s="6">
        <v>51666.666666666664</v>
      </c>
      <c r="C28" s="6">
        <v>51666.666666666664</v>
      </c>
      <c r="D28" s="6">
        <v>51666.666666666664</v>
      </c>
      <c r="E28" s="6">
        <v>51666.666666666664</v>
      </c>
      <c r="F28" s="6">
        <f>Back!$I$28/12</f>
        <v>0</v>
      </c>
      <c r="G28" s="6">
        <f>Back!$I$28/12</f>
        <v>0</v>
      </c>
      <c r="H28" s="6">
        <f>Back!$I$28/12</f>
        <v>0</v>
      </c>
      <c r="I28" s="6">
        <f>Back!$I$28/12</f>
        <v>0</v>
      </c>
      <c r="J28" s="6">
        <f>Back!$I$28/12</f>
        <v>0</v>
      </c>
      <c r="K28" s="6">
        <f>Back!$I$28/12</f>
        <v>0</v>
      </c>
      <c r="L28" s="6">
        <f>Back!$I$28/12</f>
        <v>0</v>
      </c>
      <c r="M28" s="6">
        <f>Back!$I$28/12</f>
        <v>0</v>
      </c>
      <c r="N28" s="6">
        <f>Back!$I$28/12</f>
        <v>0</v>
      </c>
      <c r="O28" s="6">
        <f>Back!$I$28/12</f>
        <v>0</v>
      </c>
      <c r="P28" s="6">
        <f>Back!$I$28/12</f>
        <v>0</v>
      </c>
      <c r="Q28" s="6">
        <f>Back!$I$28/12</f>
        <v>0</v>
      </c>
      <c r="R28" s="4">
        <f>SUM(F28:Q28)</f>
        <v>0</v>
      </c>
      <c r="S28" s="30"/>
      <c r="T28" s="30"/>
      <c r="U28" s="2"/>
      <c r="V28" s="2"/>
    </row>
    <row r="29" spans="1:22" ht="12.75">
      <c r="A29" t="s">
        <v>30</v>
      </c>
      <c r="B29" s="6">
        <v>10000</v>
      </c>
      <c r="C29" s="6">
        <v>10000</v>
      </c>
      <c r="D29" s="6">
        <v>10000</v>
      </c>
      <c r="E29" s="6">
        <v>10000</v>
      </c>
      <c r="F29" s="6">
        <f>Back!$I$35/12</f>
        <v>0</v>
      </c>
      <c r="G29" s="6">
        <f>Back!$I$35/12</f>
        <v>0</v>
      </c>
      <c r="H29" s="6">
        <f>Back!$I$35/12</f>
        <v>0</v>
      </c>
      <c r="I29" s="6">
        <f>Back!$I$35/12</f>
        <v>0</v>
      </c>
      <c r="J29" s="6">
        <f>Back!$I$35/12</f>
        <v>0</v>
      </c>
      <c r="K29" s="6">
        <f>Back!$I$35/12</f>
        <v>0</v>
      </c>
      <c r="L29" s="6">
        <f>Back!$I$35/12</f>
        <v>0</v>
      </c>
      <c r="M29" s="6">
        <f>Back!$I$35/12</f>
        <v>0</v>
      </c>
      <c r="N29" s="6">
        <f>Back!$I$35/12</f>
        <v>0</v>
      </c>
      <c r="O29" s="6">
        <f>Back!$I$35/12</f>
        <v>0</v>
      </c>
      <c r="P29" s="6">
        <f>Back!$I$35/12</f>
        <v>0</v>
      </c>
      <c r="Q29" s="6">
        <f>Back!$I$35/12</f>
        <v>0</v>
      </c>
      <c r="R29" s="4"/>
      <c r="S29" s="30"/>
      <c r="T29" s="30"/>
      <c r="U29" s="2"/>
      <c r="V29" s="2"/>
    </row>
    <row r="30" spans="1:22" ht="12.75">
      <c r="A30" t="s">
        <v>31</v>
      </c>
      <c r="B30" s="4">
        <v>25000</v>
      </c>
      <c r="C30" s="4">
        <v>25000</v>
      </c>
      <c r="D30" s="4">
        <v>25000</v>
      </c>
      <c r="E30" s="4">
        <v>25000</v>
      </c>
      <c r="F30" s="4">
        <f>Back!$I$30/12</f>
        <v>0</v>
      </c>
      <c r="G30" s="4">
        <f>Back!$I$30/12</f>
        <v>0</v>
      </c>
      <c r="H30" s="4">
        <f>Back!$I$30/12</f>
        <v>0</v>
      </c>
      <c r="I30" s="4">
        <f>Back!$I$30/12</f>
        <v>0</v>
      </c>
      <c r="J30" s="4">
        <f>Back!$I$30/12</f>
        <v>0</v>
      </c>
      <c r="K30" s="4">
        <f>Back!$I$30/12</f>
        <v>0</v>
      </c>
      <c r="L30" s="4">
        <f>Back!$I$30/12</f>
        <v>0</v>
      </c>
      <c r="M30" s="4">
        <f>Back!$I$30/12</f>
        <v>0</v>
      </c>
      <c r="N30" s="4">
        <f>Back!$I$30/12</f>
        <v>0</v>
      </c>
      <c r="O30" s="4">
        <f>Back!$I$30/12</f>
        <v>0</v>
      </c>
      <c r="P30" s="4">
        <f>Back!$I$30/12</f>
        <v>0</v>
      </c>
      <c r="Q30" s="4">
        <f>Back!$I$30/12</f>
        <v>0</v>
      </c>
      <c r="R30" s="4">
        <f>SUM(F30:Q30)</f>
        <v>0</v>
      </c>
      <c r="S30" s="30"/>
      <c r="T30" s="30"/>
      <c r="U30" s="2"/>
      <c r="V30" s="2"/>
    </row>
    <row r="31" spans="1:22" ht="12.75">
      <c r="A31" t="s">
        <v>32</v>
      </c>
      <c r="B31" s="4">
        <v>21666.666666666668</v>
      </c>
      <c r="C31" s="4">
        <v>21666.666666666668</v>
      </c>
      <c r="D31" s="4">
        <v>21666.666666666668</v>
      </c>
      <c r="E31" s="4">
        <v>21666.666666666668</v>
      </c>
      <c r="F31" s="4">
        <f>Back!$I$29/12</f>
        <v>0</v>
      </c>
      <c r="G31" s="4">
        <f>Back!$I$29/12</f>
        <v>0</v>
      </c>
      <c r="H31" s="4">
        <f>Back!$I$29/12</f>
        <v>0</v>
      </c>
      <c r="I31" s="4">
        <f>Back!$I$29/12</f>
        <v>0</v>
      </c>
      <c r="J31" s="4">
        <f>Back!$I$29/12</f>
        <v>0</v>
      </c>
      <c r="K31" s="4">
        <f>Back!$I$29/12</f>
        <v>0</v>
      </c>
      <c r="L31" s="4">
        <f>Back!$I$29/12</f>
        <v>0</v>
      </c>
      <c r="M31" s="4">
        <f>Back!$I$29/12</f>
        <v>0</v>
      </c>
      <c r="N31" s="4">
        <f>Back!$I$29/12</f>
        <v>0</v>
      </c>
      <c r="O31" s="4">
        <f>Back!$I$29/12</f>
        <v>0</v>
      </c>
      <c r="P31" s="4">
        <f>Back!$I$29/12</f>
        <v>0</v>
      </c>
      <c r="Q31" s="4">
        <f>Back!$I$29/12</f>
        <v>0</v>
      </c>
      <c r="R31" s="4">
        <f>SUM(F31:Q31)</f>
        <v>0</v>
      </c>
      <c r="S31" s="30"/>
      <c r="T31" s="30"/>
      <c r="U31" s="2"/>
      <c r="V31" s="2"/>
    </row>
    <row r="32" spans="1:22" ht="12.75">
      <c r="A32" t="s">
        <v>243</v>
      </c>
      <c r="B32" s="35">
        <v>12500</v>
      </c>
      <c r="C32" s="35">
        <v>12500</v>
      </c>
      <c r="D32" s="35">
        <v>12500</v>
      </c>
      <c r="E32" s="35">
        <v>12500</v>
      </c>
      <c r="F32" s="35">
        <f>Back!$I31/12</f>
        <v>0</v>
      </c>
      <c r="G32" s="35">
        <f>Back!$I31/12</f>
        <v>0</v>
      </c>
      <c r="H32" s="35">
        <f>Back!$I31/12</f>
        <v>0</v>
      </c>
      <c r="I32" s="35">
        <f>Back!$I31/12</f>
        <v>0</v>
      </c>
      <c r="J32" s="35">
        <f>Back!$I31/12</f>
        <v>0</v>
      </c>
      <c r="K32" s="35">
        <f>Back!$I31/12</f>
        <v>0</v>
      </c>
      <c r="L32" s="35">
        <f>Back!$I31/12</f>
        <v>0</v>
      </c>
      <c r="M32" s="35">
        <f>Back!$I31/12</f>
        <v>0</v>
      </c>
      <c r="N32" s="35">
        <f>Back!$I31/12</f>
        <v>0</v>
      </c>
      <c r="O32" s="35">
        <f>Back!$I31/12</f>
        <v>0</v>
      </c>
      <c r="P32" s="35">
        <f>Back!$I31/12</f>
        <v>0</v>
      </c>
      <c r="Q32" s="35">
        <f>Back!$I31/12</f>
        <v>0</v>
      </c>
      <c r="R32" s="4">
        <f>SUM(F32:Q32)</f>
        <v>0</v>
      </c>
      <c r="S32" s="30"/>
      <c r="T32" s="30"/>
      <c r="U32" s="2"/>
      <c r="V32" s="2"/>
    </row>
    <row r="33" spans="1:22" ht="12.75">
      <c r="A33" t="s">
        <v>33</v>
      </c>
      <c r="B33" s="4"/>
      <c r="C33" s="4"/>
      <c r="D33" s="4"/>
      <c r="E33" s="4"/>
      <c r="F33" s="30">
        <f>Back!$I$56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0"/>
      <c r="T33" s="30"/>
      <c r="U33" s="2"/>
      <c r="V33" s="2"/>
    </row>
    <row r="34" spans="1:22" ht="12.75">
      <c r="A34" t="s">
        <v>118</v>
      </c>
      <c r="B34" s="30">
        <v>515.3775107652363</v>
      </c>
      <c r="C34" s="30">
        <v>515.3775107652363</v>
      </c>
      <c r="D34" s="30">
        <v>515.3775107652363</v>
      </c>
      <c r="E34" s="30">
        <v>515.3775107652363</v>
      </c>
      <c r="F34" s="30">
        <f>Back!$I$38*($R8/100000)</f>
        <v>0</v>
      </c>
      <c r="G34" s="30">
        <f>Back!$I$38*($R8/100000)</f>
        <v>0</v>
      </c>
      <c r="H34" s="30">
        <f>Back!$I$38*($R8/100000)</f>
        <v>0</v>
      </c>
      <c r="I34" s="30">
        <f>Back!$I$38*($R8/100000)</f>
        <v>0</v>
      </c>
      <c r="J34" s="30">
        <f>Back!$I$38*($R8/100000)</f>
        <v>0</v>
      </c>
      <c r="K34" s="30">
        <f>Back!$I$38*($R8/100000)</f>
        <v>0</v>
      </c>
      <c r="L34" s="30">
        <f>Back!$I$38*($R8/100000)</f>
        <v>0</v>
      </c>
      <c r="M34" s="30">
        <f>Back!$I$38*($R8/100000)</f>
        <v>0</v>
      </c>
      <c r="N34" s="30">
        <f>Back!$I$38*($R8/100000)</f>
        <v>0</v>
      </c>
      <c r="O34" s="30">
        <f>Back!$I$38*($R8/100000)</f>
        <v>0</v>
      </c>
      <c r="P34" s="30">
        <f>Back!$I$38*($R8/100000)</f>
        <v>0</v>
      </c>
      <c r="Q34" s="30">
        <f>Back!$I$38*($R8/100000)</f>
        <v>0</v>
      </c>
      <c r="R34" s="4">
        <f>SUM(F34:Q34)</f>
        <v>0</v>
      </c>
      <c r="S34" s="30"/>
      <c r="T34" s="30"/>
      <c r="U34" s="2"/>
      <c r="V34" s="2"/>
    </row>
    <row r="35" spans="1:22" ht="12.75">
      <c r="A35" t="s">
        <v>119</v>
      </c>
      <c r="B35" s="30">
        <v>15976.702833722326</v>
      </c>
      <c r="C35" s="30">
        <v>11338.305236835198</v>
      </c>
      <c r="D35" s="30">
        <v>9448.587697362664</v>
      </c>
      <c r="E35" s="30">
        <v>9362.691445568458</v>
      </c>
      <c r="F35" s="30">
        <f>Back!$I$39*F8</f>
        <v>0</v>
      </c>
      <c r="G35" s="30">
        <f>Back!$I$39*G8</f>
        <v>0</v>
      </c>
      <c r="H35" s="30">
        <f>Back!$I$39*H8</f>
        <v>0</v>
      </c>
      <c r="I35" s="30">
        <f>Back!$I$39*I8</f>
        <v>0</v>
      </c>
      <c r="J35" s="30">
        <f>Back!$I$39*J8</f>
        <v>0</v>
      </c>
      <c r="K35" s="30">
        <f>Back!$I$39*K8</f>
        <v>0</v>
      </c>
      <c r="L35" s="30">
        <f>Back!$I$39*L8</f>
        <v>0</v>
      </c>
      <c r="M35" s="30">
        <f>Back!$I$39*M8</f>
        <v>0</v>
      </c>
      <c r="N35" s="30">
        <f>Back!$I$39*N8</f>
        <v>0</v>
      </c>
      <c r="O35" s="30">
        <f>Back!$I$39*O8</f>
        <v>0</v>
      </c>
      <c r="P35" s="30">
        <f>Back!$I$39*P8</f>
        <v>0</v>
      </c>
      <c r="Q35" s="30">
        <f>Back!$I$39*Q8</f>
        <v>0</v>
      </c>
      <c r="R35" s="4">
        <f>SUM(F35:Q35)</f>
        <v>0</v>
      </c>
      <c r="S35" s="30"/>
      <c r="T35" s="30"/>
      <c r="U35" s="2"/>
      <c r="V35" s="2"/>
    </row>
    <row r="36" spans="1:22" ht="12.75">
      <c r="A36" t="s">
        <v>120</v>
      </c>
      <c r="B36" s="30">
        <v>5926.8413738002155</v>
      </c>
      <c r="C36" s="30">
        <v>4380.708841504508</v>
      </c>
      <c r="D36" s="30">
        <v>6184.530129182835</v>
      </c>
      <c r="E36" s="30">
        <v>15976.702833722326</v>
      </c>
      <c r="F36" s="30">
        <f>Back!$I$40*C8</f>
        <v>0</v>
      </c>
      <c r="G36" s="30">
        <f>Back!$I$40*D8</f>
        <v>0</v>
      </c>
      <c r="H36" s="30">
        <f>Back!$I$40*E8</f>
        <v>0</v>
      </c>
      <c r="I36" s="30">
        <f>Back!$I$40*F8</f>
        <v>0</v>
      </c>
      <c r="J36" s="30">
        <f>Back!$I$40*G8</f>
        <v>0</v>
      </c>
      <c r="K36" s="30">
        <f>Back!$I$40*H8</f>
        <v>0</v>
      </c>
      <c r="L36" s="30">
        <f>Back!$I$40*I8</f>
        <v>0</v>
      </c>
      <c r="M36" s="30">
        <f>Back!$I$40*J8</f>
        <v>0</v>
      </c>
      <c r="N36" s="30">
        <f>Back!$I$40*K8</f>
        <v>0</v>
      </c>
      <c r="O36" s="30">
        <f>Back!$I$40*L8</f>
        <v>0</v>
      </c>
      <c r="P36" s="30">
        <f>Back!$I$40*M8</f>
        <v>0</v>
      </c>
      <c r="Q36" s="30">
        <f>Back!$I$40*N8</f>
        <v>0</v>
      </c>
      <c r="R36" s="4">
        <f>SUM(F36:Q36)</f>
        <v>0</v>
      </c>
      <c r="S36" s="30"/>
      <c r="T36" s="30"/>
      <c r="U36" s="2"/>
      <c r="V36" s="2"/>
    </row>
    <row r="37" spans="1:22" ht="12.75">
      <c r="A37" t="s">
        <v>34</v>
      </c>
      <c r="B37" s="4">
        <v>24735.042</v>
      </c>
      <c r="C37" s="4"/>
      <c r="D37" s="4"/>
      <c r="E37" s="4">
        <v>24735.042</v>
      </c>
      <c r="F37" s="4"/>
      <c r="G37" s="4"/>
      <c r="H37" s="4">
        <f>$R37/4</f>
        <v>0</v>
      </c>
      <c r="I37" s="4"/>
      <c r="J37" s="4"/>
      <c r="K37" s="4">
        <f>$R37/4</f>
        <v>0</v>
      </c>
      <c r="L37" s="4"/>
      <c r="M37" s="4"/>
      <c r="N37" s="4">
        <f>$R37/4</f>
        <v>0</v>
      </c>
      <c r="O37" s="4"/>
      <c r="P37" s="4"/>
      <c r="Q37" s="4">
        <f>$R37/4</f>
        <v>0</v>
      </c>
      <c r="R37" s="4">
        <f>Back!H5</f>
        <v>0</v>
      </c>
      <c r="S37" s="30" t="e">
        <f>'Income Statement'!$D$33*0.26</f>
        <v>#DIV/0!</v>
      </c>
      <c r="T37" s="30"/>
      <c r="U37" s="2"/>
      <c r="V37" s="2"/>
    </row>
    <row r="38" spans="1:22" ht="12.75">
      <c r="A38" t="s">
        <v>235</v>
      </c>
      <c r="B38" s="4">
        <v>30883.35</v>
      </c>
      <c r="C38" s="4">
        <v>30751.08</v>
      </c>
      <c r="D38" s="4">
        <v>30618.01</v>
      </c>
      <c r="E38" s="4">
        <v>30484.13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>SUM(F38:Q38)</f>
        <v>0</v>
      </c>
      <c r="S38" s="30"/>
      <c r="T38" s="30"/>
      <c r="U38" s="2"/>
      <c r="V38" s="2"/>
    </row>
    <row r="39" spans="1:22" ht="12.75">
      <c r="A39" t="s">
        <v>236</v>
      </c>
      <c r="B39" s="4"/>
      <c r="C39" s="4"/>
      <c r="D39" s="4"/>
      <c r="E39" s="4"/>
      <c r="F39" s="4">
        <f>Back!$D81</f>
        <v>0</v>
      </c>
      <c r="G39" s="4" t="e">
        <f>Back!$D82</f>
        <v>#DIV/0!</v>
      </c>
      <c r="H39" s="4" t="e">
        <f>Back!$D83</f>
        <v>#DIV/0!</v>
      </c>
      <c r="I39" s="4" t="e">
        <f>Back!$D84</f>
        <v>#DIV/0!</v>
      </c>
      <c r="J39" s="4" t="e">
        <f>Back!$D85</f>
        <v>#DIV/0!</v>
      </c>
      <c r="K39" s="4" t="e">
        <f>Back!$D86</f>
        <v>#DIV/0!</v>
      </c>
      <c r="L39" s="4" t="e">
        <f>Back!$D87</f>
        <v>#DIV/0!</v>
      </c>
      <c r="M39" s="4" t="e">
        <f>Back!$D88</f>
        <v>#DIV/0!</v>
      </c>
      <c r="N39" s="4" t="e">
        <f>Back!$D89</f>
        <v>#DIV/0!</v>
      </c>
      <c r="O39" s="4" t="e">
        <f>Back!$D90</f>
        <v>#DIV/0!</v>
      </c>
      <c r="P39" s="4" t="e">
        <f>Back!$D91</f>
        <v>#DIV/0!</v>
      </c>
      <c r="Q39" s="4" t="e">
        <f>Back!$D92</f>
        <v>#DIV/0!</v>
      </c>
      <c r="R39" s="4" t="e">
        <f>SUM(F39:Q39)</f>
        <v>#DIV/0!</v>
      </c>
      <c r="S39" s="30"/>
      <c r="T39" s="30"/>
      <c r="U39" s="2"/>
      <c r="V39" s="2"/>
    </row>
    <row r="40" spans="1:22" ht="12.75">
      <c r="A40" t="s">
        <v>35</v>
      </c>
      <c r="B40" s="4">
        <v>2319.223284873951</v>
      </c>
      <c r="C40" s="4">
        <v>2475.2549772461957</v>
      </c>
      <c r="D40" s="4">
        <v>1800.6447818259958</v>
      </c>
      <c r="E40" s="4">
        <v>637.0151353314262</v>
      </c>
      <c r="F40" s="4">
        <f>Back!$I$52*E50/12</f>
        <v>0</v>
      </c>
      <c r="G40" s="4" t="e">
        <f>Back!$I$52*F50/12</f>
        <v>#DIV/0!</v>
      </c>
      <c r="H40" s="4" t="e">
        <f>Back!$I$52*G50/12</f>
        <v>#DIV/0!</v>
      </c>
      <c r="I40" s="4" t="e">
        <f>Back!$I$52*H50/12</f>
        <v>#DIV/0!</v>
      </c>
      <c r="J40" s="4" t="e">
        <f>Back!$I$52*I50/12</f>
        <v>#DIV/0!</v>
      </c>
      <c r="K40" s="4" t="e">
        <f>Back!$I$52*J50/12</f>
        <v>#DIV/0!</v>
      </c>
      <c r="L40" s="4" t="e">
        <f>Back!$I$52*K50/12</f>
        <v>#DIV/0!</v>
      </c>
      <c r="M40" s="4" t="e">
        <f>Back!$I$52*L50/12</f>
        <v>#DIV/0!</v>
      </c>
      <c r="N40" s="4" t="e">
        <f>Back!$I$52*M50/12</f>
        <v>#DIV/0!</v>
      </c>
      <c r="O40" s="4" t="e">
        <f>Back!$I$52*N50/12</f>
        <v>#DIV/0!</v>
      </c>
      <c r="P40" s="4" t="e">
        <f>Back!$I$52*O50/12</f>
        <v>#DIV/0!</v>
      </c>
      <c r="Q40" s="4" t="e">
        <f>Back!$I$52*P50/12</f>
        <v>#DIV/0!</v>
      </c>
      <c r="R40" s="4" t="e">
        <f>SUM(F40:Q40)</f>
        <v>#DIV/0!</v>
      </c>
      <c r="S40" s="30" t="e">
        <f>R38+R39+R40</f>
        <v>#DIV/0!</v>
      </c>
      <c r="T40" s="30"/>
      <c r="U40" s="2"/>
      <c r="V40" s="2"/>
    </row>
    <row r="41" spans="1:22" ht="12.75">
      <c r="A41" t="s">
        <v>36</v>
      </c>
      <c r="B41" s="28">
        <v>75000</v>
      </c>
      <c r="C41" s="4"/>
      <c r="D41" s="4"/>
      <c r="E41" s="28">
        <v>75000</v>
      </c>
      <c r="F41" s="4"/>
      <c r="G41" s="4"/>
      <c r="H41" s="28">
        <f>Back!$I$45</f>
        <v>0</v>
      </c>
      <c r="I41" s="4"/>
      <c r="J41" s="4"/>
      <c r="K41" s="28">
        <f>Back!$I$45</f>
        <v>0</v>
      </c>
      <c r="L41" s="4"/>
      <c r="M41" s="4"/>
      <c r="N41" s="28">
        <f>Back!$I$45</f>
        <v>0</v>
      </c>
      <c r="O41" s="4"/>
      <c r="P41" s="4"/>
      <c r="Q41" s="28">
        <f>Back!$I$45</f>
        <v>0</v>
      </c>
      <c r="R41" s="4">
        <f>SUM(F41:Q41)</f>
        <v>0</v>
      </c>
      <c r="S41" s="30"/>
      <c r="T41" s="30"/>
      <c r="U41" s="2"/>
      <c r="V41" s="2"/>
    </row>
    <row r="42" spans="2:22" ht="12.75">
      <c r="B42" s="29" t="s">
        <v>47</v>
      </c>
      <c r="C42" s="29" t="s">
        <v>47</v>
      </c>
      <c r="D42" s="29" t="s">
        <v>47</v>
      </c>
      <c r="E42" s="29" t="s">
        <v>47</v>
      </c>
      <c r="F42" s="29" t="s">
        <v>47</v>
      </c>
      <c r="G42" s="29" t="s">
        <v>47</v>
      </c>
      <c r="H42" s="29" t="s">
        <v>47</v>
      </c>
      <c r="I42" s="29" t="s">
        <v>47</v>
      </c>
      <c r="J42" s="29" t="s">
        <v>47</v>
      </c>
      <c r="K42" s="29" t="s">
        <v>47</v>
      </c>
      <c r="L42" s="29" t="s">
        <v>47</v>
      </c>
      <c r="M42" s="29" t="s">
        <v>47</v>
      </c>
      <c r="N42" s="29" t="s">
        <v>47</v>
      </c>
      <c r="O42" s="29" t="s">
        <v>47</v>
      </c>
      <c r="P42" s="29" t="s">
        <v>47</v>
      </c>
      <c r="Q42" s="29" t="s">
        <v>47</v>
      </c>
      <c r="R42" s="4"/>
      <c r="S42" s="30"/>
      <c r="T42" s="30"/>
      <c r="U42" s="2"/>
      <c r="V42" s="2"/>
    </row>
    <row r="43" spans="1:22" ht="12.75">
      <c r="A43" t="s">
        <v>37</v>
      </c>
      <c r="B43" s="4">
        <f>SUM(B24:B37)+SUM(B38:B41)</f>
        <v>1381652.9737963723</v>
      </c>
      <c r="C43" s="4">
        <f>SUM(C24:C37)+SUM(C38:C41)</f>
        <v>1080475.4647632155</v>
      </c>
      <c r="D43" s="4">
        <f>SUM(D24:D37)+SUM(D38:D41)</f>
        <v>1058240.899189965</v>
      </c>
      <c r="E43" s="4">
        <f>SUM(E24:E37)+SUM(E38:E41)</f>
        <v>714661.3536757918</v>
      </c>
      <c r="F43" s="4" t="e">
        <f aca="true" t="shared" si="6" ref="F43:Q43">SUM(F24:F37)+SUM(F38:F41)</f>
        <v>#DIV/0!</v>
      </c>
      <c r="G43" s="4" t="e">
        <f t="shared" si="6"/>
        <v>#DIV/0!</v>
      </c>
      <c r="H43" s="4" t="e">
        <f t="shared" si="6"/>
        <v>#DIV/0!</v>
      </c>
      <c r="I43" s="4" t="e">
        <f t="shared" si="6"/>
        <v>#DIV/0!</v>
      </c>
      <c r="J43" s="4" t="e">
        <f t="shared" si="6"/>
        <v>#DIV/0!</v>
      </c>
      <c r="K43" s="4" t="e">
        <f t="shared" si="6"/>
        <v>#DIV/0!</v>
      </c>
      <c r="L43" s="4" t="e">
        <f t="shared" si="6"/>
        <v>#DIV/0!</v>
      </c>
      <c r="M43" s="4" t="e">
        <f t="shared" si="6"/>
        <v>#DIV/0!</v>
      </c>
      <c r="N43" s="4" t="e">
        <f t="shared" si="6"/>
        <v>#DIV/0!</v>
      </c>
      <c r="O43" s="4" t="e">
        <f t="shared" si="6"/>
        <v>#DIV/0!</v>
      </c>
      <c r="P43" s="4" t="e">
        <f t="shared" si="6"/>
        <v>#DIV/0!</v>
      </c>
      <c r="Q43" s="4" t="e">
        <f t="shared" si="6"/>
        <v>#DIV/0!</v>
      </c>
      <c r="R43" s="7"/>
      <c r="S43" s="30"/>
      <c r="T43" s="30"/>
      <c r="U43" s="2"/>
      <c r="V43" s="2"/>
    </row>
    <row r="44" spans="2:22" ht="12.75">
      <c r="B44" s="8" t="s">
        <v>48</v>
      </c>
      <c r="C44" s="8" t="s">
        <v>48</v>
      </c>
      <c r="D44" s="8" t="s">
        <v>48</v>
      </c>
      <c r="E44" s="8" t="s">
        <v>48</v>
      </c>
      <c r="F44" s="8" t="s">
        <v>48</v>
      </c>
      <c r="G44" s="8" t="s">
        <v>48</v>
      </c>
      <c r="H44" s="8" t="s">
        <v>48</v>
      </c>
      <c r="I44" s="8" t="s">
        <v>48</v>
      </c>
      <c r="J44" s="8" t="s">
        <v>48</v>
      </c>
      <c r="K44" s="8" t="s">
        <v>48</v>
      </c>
      <c r="L44" s="8" t="s">
        <v>48</v>
      </c>
      <c r="M44" s="8" t="s">
        <v>48</v>
      </c>
      <c r="N44" s="8" t="s">
        <v>48</v>
      </c>
      <c r="O44" s="8" t="s">
        <v>48</v>
      </c>
      <c r="P44" s="8" t="s">
        <v>48</v>
      </c>
      <c r="Q44" s="8" t="s">
        <v>48</v>
      </c>
      <c r="R44" s="30"/>
      <c r="S44" s="2"/>
      <c r="T44" s="2"/>
      <c r="U44" s="2"/>
      <c r="V44" s="2"/>
    </row>
    <row r="45" spans="1:38" ht="12.75">
      <c r="A45" t="s">
        <v>38</v>
      </c>
      <c r="B45" s="4">
        <f>B19-B43</f>
        <v>-62447.601709481794</v>
      </c>
      <c r="C45" s="4">
        <f>C19-C43</f>
        <v>161906.4471252323</v>
      </c>
      <c r="D45" s="4">
        <f>D19-D43</f>
        <v>279271.1115605654</v>
      </c>
      <c r="E45" s="4">
        <f>E19-E43</f>
        <v>586237.3797474587</v>
      </c>
      <c r="F45" s="4" t="e">
        <f aca="true" t="shared" si="7" ref="F45:Q45">F19-F43</f>
        <v>#DIV/0!</v>
      </c>
      <c r="G45" s="4" t="e">
        <f t="shared" si="7"/>
        <v>#DIV/0!</v>
      </c>
      <c r="H45" s="4" t="e">
        <f t="shared" si="7"/>
        <v>#DIV/0!</v>
      </c>
      <c r="I45" s="4" t="e">
        <f t="shared" si="7"/>
        <v>#DIV/0!</v>
      </c>
      <c r="J45" s="4" t="e">
        <f t="shared" si="7"/>
        <v>#DIV/0!</v>
      </c>
      <c r="K45" s="4" t="e">
        <f t="shared" si="7"/>
        <v>#DIV/0!</v>
      </c>
      <c r="L45" s="4" t="e">
        <f t="shared" si="7"/>
        <v>#DIV/0!</v>
      </c>
      <c r="M45" s="4" t="e">
        <f t="shared" si="7"/>
        <v>#DIV/0!</v>
      </c>
      <c r="N45" s="4" t="e">
        <f t="shared" si="7"/>
        <v>#DIV/0!</v>
      </c>
      <c r="O45" s="4" t="e">
        <f t="shared" si="7"/>
        <v>#DIV/0!</v>
      </c>
      <c r="P45" s="4" t="e">
        <f t="shared" si="7"/>
        <v>#DIV/0!</v>
      </c>
      <c r="Q45" s="4" t="e">
        <f t="shared" si="7"/>
        <v>#DIV/0!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spans="1:38" ht="12.75">
      <c r="A46" t="s">
        <v>39</v>
      </c>
      <c r="B46" s="4">
        <v>50000</v>
      </c>
      <c r="C46" s="4">
        <v>50000</v>
      </c>
      <c r="D46" s="4">
        <v>50000</v>
      </c>
      <c r="E46" s="4">
        <v>50000</v>
      </c>
      <c r="F46" s="4">
        <v>50000</v>
      </c>
      <c r="G46" s="4">
        <v>50000</v>
      </c>
      <c r="H46" s="4">
        <v>50000</v>
      </c>
      <c r="I46" s="4">
        <v>50000</v>
      </c>
      <c r="J46" s="4">
        <v>50000</v>
      </c>
      <c r="K46" s="4">
        <v>50000</v>
      </c>
      <c r="L46" s="4">
        <v>50000</v>
      </c>
      <c r="M46" s="4">
        <v>50000</v>
      </c>
      <c r="N46" s="4">
        <v>50000</v>
      </c>
      <c r="O46" s="4">
        <v>50000</v>
      </c>
      <c r="P46" s="4">
        <v>50000</v>
      </c>
      <c r="Q46" s="4">
        <v>50000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8" ht="12.75">
      <c r="A47" t="s">
        <v>40</v>
      </c>
      <c r="B47" s="4">
        <f>+B45+B46</f>
        <v>-12447.601709481794</v>
      </c>
      <c r="C47" s="4">
        <f>+C45+C46</f>
        <v>211906.4471252323</v>
      </c>
      <c r="D47" s="4">
        <f>+D45+D46</f>
        <v>329271.1115605654</v>
      </c>
      <c r="E47" s="4">
        <f>+E45+E46</f>
        <v>636237.3797474587</v>
      </c>
      <c r="F47" s="4" t="e">
        <f aca="true" t="shared" si="8" ref="F47:Q47">+F45+F46</f>
        <v>#DIV/0!</v>
      </c>
      <c r="G47" s="4" t="e">
        <f t="shared" si="8"/>
        <v>#DIV/0!</v>
      </c>
      <c r="H47" s="4" t="e">
        <f t="shared" si="8"/>
        <v>#DIV/0!</v>
      </c>
      <c r="I47" s="4" t="e">
        <f t="shared" si="8"/>
        <v>#DIV/0!</v>
      </c>
      <c r="J47" s="4" t="e">
        <f t="shared" si="8"/>
        <v>#DIV/0!</v>
      </c>
      <c r="K47" s="4" t="e">
        <f t="shared" si="8"/>
        <v>#DIV/0!</v>
      </c>
      <c r="L47" s="4" t="e">
        <f t="shared" si="8"/>
        <v>#DIV/0!</v>
      </c>
      <c r="M47" s="4" t="e">
        <f t="shared" si="8"/>
        <v>#DIV/0!</v>
      </c>
      <c r="N47" s="4" t="e">
        <f t="shared" si="8"/>
        <v>#DIV/0!</v>
      </c>
      <c r="O47" s="4" t="e">
        <f t="shared" si="8"/>
        <v>#DIV/0!</v>
      </c>
      <c r="P47" s="4" t="e">
        <f t="shared" si="8"/>
        <v>#DIV/0!</v>
      </c>
      <c r="Q47" s="4" t="e">
        <f t="shared" si="8"/>
        <v>#DIV/0!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 ht="12.75">
      <c r="A48" t="s">
        <v>41</v>
      </c>
      <c r="B48" s="4">
        <v>50000</v>
      </c>
      <c r="C48" s="4">
        <v>50000</v>
      </c>
      <c r="D48" s="4">
        <v>50000</v>
      </c>
      <c r="E48" s="4">
        <v>50000</v>
      </c>
      <c r="F48" s="4">
        <v>50000</v>
      </c>
      <c r="G48" s="4">
        <v>50000</v>
      </c>
      <c r="H48" s="4">
        <v>50000</v>
      </c>
      <c r="I48" s="4">
        <v>50000</v>
      </c>
      <c r="J48" s="4">
        <v>50000</v>
      </c>
      <c r="K48" s="4">
        <v>50000</v>
      </c>
      <c r="L48" s="4">
        <v>50000</v>
      </c>
      <c r="M48" s="4">
        <v>50000</v>
      </c>
      <c r="N48" s="4">
        <v>50000</v>
      </c>
      <c r="O48" s="4">
        <v>50000</v>
      </c>
      <c r="P48" s="4">
        <v>50000</v>
      </c>
      <c r="Q48" s="4">
        <v>50000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38" ht="12.75">
      <c r="A49" t="s">
        <v>42</v>
      </c>
      <c r="B49" s="4">
        <v>-37447.606169338804</v>
      </c>
      <c r="C49" s="4">
        <v>161906.44690084807</v>
      </c>
      <c r="D49" s="4">
        <v>279271.11515869666</v>
      </c>
      <c r="E49" s="4">
        <v>611237.3815885865</v>
      </c>
      <c r="F49" s="4" t="e">
        <f aca="true" t="shared" si="9" ref="F49:Q49">+F47-F48</f>
        <v>#DIV/0!</v>
      </c>
      <c r="G49" s="4" t="e">
        <f t="shared" si="9"/>
        <v>#DIV/0!</v>
      </c>
      <c r="H49" s="4" t="e">
        <f t="shared" si="9"/>
        <v>#DIV/0!</v>
      </c>
      <c r="I49" s="4" t="e">
        <f t="shared" si="9"/>
        <v>#DIV/0!</v>
      </c>
      <c r="J49" s="4" t="e">
        <f t="shared" si="9"/>
        <v>#DIV/0!</v>
      </c>
      <c r="K49" s="4" t="e">
        <f t="shared" si="9"/>
        <v>#DIV/0!</v>
      </c>
      <c r="L49" s="4" t="e">
        <f t="shared" si="9"/>
        <v>#DIV/0!</v>
      </c>
      <c r="M49" s="4" t="e">
        <f t="shared" si="9"/>
        <v>#DIV/0!</v>
      </c>
      <c r="N49" s="4" t="e">
        <f t="shared" si="9"/>
        <v>#DIV/0!</v>
      </c>
      <c r="O49" s="4" t="e">
        <f t="shared" si="9"/>
        <v>#DIV/0!</v>
      </c>
      <c r="P49" s="4" t="e">
        <f t="shared" si="9"/>
        <v>#DIV/0!</v>
      </c>
      <c r="Q49" s="4" t="e">
        <f t="shared" si="9"/>
        <v>#DIV/0!</v>
      </c>
      <c r="R49" s="4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1:97" ht="12.75">
      <c r="A50" t="s">
        <v>44</v>
      </c>
      <c r="B50" s="4">
        <f>B54+B56+B57</f>
        <v>594061.194539087</v>
      </c>
      <c r="C50" s="4">
        <f>C54+C56+C57</f>
        <v>432154.74763823894</v>
      </c>
      <c r="D50" s="4">
        <f>D54+D56+D57</f>
        <v>152883.63247954228</v>
      </c>
      <c r="E50" s="4">
        <f>E54+E56+E57</f>
        <v>0</v>
      </c>
      <c r="F50" s="4" t="e">
        <f aca="true" t="shared" si="10" ref="F50:P50">F54+F56+F57</f>
        <v>#DIV/0!</v>
      </c>
      <c r="G50" s="4" t="e">
        <f t="shared" si="10"/>
        <v>#DIV/0!</v>
      </c>
      <c r="H50" s="4" t="e">
        <f t="shared" si="10"/>
        <v>#DIV/0!</v>
      </c>
      <c r="I50" s="4" t="e">
        <f t="shared" si="10"/>
        <v>#DIV/0!</v>
      </c>
      <c r="J50" s="4" t="e">
        <f t="shared" si="10"/>
        <v>#DIV/0!</v>
      </c>
      <c r="K50" s="4" t="e">
        <f t="shared" si="10"/>
        <v>#DIV/0!</v>
      </c>
      <c r="L50" s="4" t="e">
        <f t="shared" si="10"/>
        <v>#DIV/0!</v>
      </c>
      <c r="M50" s="4" t="e">
        <f t="shared" si="10"/>
        <v>#DIV/0!</v>
      </c>
      <c r="N50" s="4" t="e">
        <f t="shared" si="10"/>
        <v>#DIV/0!</v>
      </c>
      <c r="O50" s="4" t="e">
        <f t="shared" si="10"/>
        <v>#DIV/0!</v>
      </c>
      <c r="P50" s="4" t="e">
        <f t="shared" si="10"/>
        <v>#DIV/0!</v>
      </c>
      <c r="Q50" s="4" t="e">
        <f>Q54+Q56+Q57</f>
        <v>#DIV/0!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1:97" ht="12.75">
      <c r="A51" t="s">
        <v>43</v>
      </c>
      <c r="B51" s="4">
        <f>B53+B55+B58</f>
        <v>0</v>
      </c>
      <c r="C51" s="4">
        <f>C53+C55+C58</f>
        <v>0</v>
      </c>
      <c r="D51" s="4">
        <f>D53+D55+D58</f>
        <v>0</v>
      </c>
      <c r="E51" s="4">
        <f>E53+E55+E58</f>
        <v>458353.7491090442</v>
      </c>
      <c r="F51" s="4" t="e">
        <f aca="true" t="shared" si="11" ref="F51:P51">F53+F55+F58</f>
        <v>#DIV/0!</v>
      </c>
      <c r="G51" s="4" t="e">
        <f t="shared" si="11"/>
        <v>#DIV/0!</v>
      </c>
      <c r="H51" s="4" t="e">
        <f t="shared" si="11"/>
        <v>#DIV/0!</v>
      </c>
      <c r="I51" s="4" t="e">
        <f t="shared" si="11"/>
        <v>#DIV/0!</v>
      </c>
      <c r="J51" s="4" t="e">
        <f t="shared" si="11"/>
        <v>#DIV/0!</v>
      </c>
      <c r="K51" s="4" t="e">
        <f t="shared" si="11"/>
        <v>#DIV/0!</v>
      </c>
      <c r="L51" s="4" t="e">
        <f t="shared" si="11"/>
        <v>#DIV/0!</v>
      </c>
      <c r="M51" s="4" t="e">
        <f t="shared" si="11"/>
        <v>#DIV/0!</v>
      </c>
      <c r="N51" s="4" t="e">
        <f t="shared" si="11"/>
        <v>#DIV/0!</v>
      </c>
      <c r="O51" s="4" t="e">
        <f t="shared" si="11"/>
        <v>#DIV/0!</v>
      </c>
      <c r="P51" s="4" t="e">
        <f t="shared" si="11"/>
        <v>#DIV/0!</v>
      </c>
      <c r="Q51" s="4" t="e">
        <f>Q53+Q55+Q58</f>
        <v>#DIV/0!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2:97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1:97" ht="12.75">
      <c r="A53" s="1">
        <v>1</v>
      </c>
      <c r="B53" s="4">
        <v>0</v>
      </c>
      <c r="C53" s="4">
        <v>0</v>
      </c>
      <c r="D53" s="4">
        <v>0</v>
      </c>
      <c r="E53" s="4">
        <v>458353.7491090442</v>
      </c>
      <c r="F53" s="4" t="e">
        <f>(IF(F49&gt;0,IF(E50&gt;0,IF(F49&gt;E50,F49-E50,0),0),0))</f>
        <v>#DIV/0!</v>
      </c>
      <c r="G53" s="4" t="e">
        <f aca="true" t="shared" si="12" ref="G53:Q53">(IF(G49&gt;0,IF(F50&gt;0,IF(G49&gt;F50,G49-F50,0),0),0))</f>
        <v>#DIV/0!</v>
      </c>
      <c r="H53" s="4" t="e">
        <f t="shared" si="12"/>
        <v>#DIV/0!</v>
      </c>
      <c r="I53" s="4" t="e">
        <f t="shared" si="12"/>
        <v>#DIV/0!</v>
      </c>
      <c r="J53" s="4" t="e">
        <f t="shared" si="12"/>
        <v>#DIV/0!</v>
      </c>
      <c r="K53" s="4" t="e">
        <f t="shared" si="12"/>
        <v>#DIV/0!</v>
      </c>
      <c r="L53" s="4" t="e">
        <f t="shared" si="12"/>
        <v>#DIV/0!</v>
      </c>
      <c r="M53" s="4" t="e">
        <f t="shared" si="12"/>
        <v>#DIV/0!</v>
      </c>
      <c r="N53" s="4" t="e">
        <f t="shared" si="12"/>
        <v>#DIV/0!</v>
      </c>
      <c r="O53" s="4" t="e">
        <f t="shared" si="12"/>
        <v>#DIV/0!</v>
      </c>
      <c r="P53" s="4" t="e">
        <f t="shared" si="12"/>
        <v>#DIV/0!</v>
      </c>
      <c r="Q53" s="4" t="e">
        <f t="shared" si="12"/>
        <v>#DIV/0!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</row>
    <row r="54" spans="1:97" ht="12.75">
      <c r="A54" s="1">
        <v>2</v>
      </c>
      <c r="B54" s="4">
        <v>0</v>
      </c>
      <c r="C54" s="4">
        <v>432154.74763823894</v>
      </c>
      <c r="D54" s="4">
        <v>152883.63247954228</v>
      </c>
      <c r="E54" s="4">
        <v>0</v>
      </c>
      <c r="F54" s="4" t="e">
        <f>IF(F49&gt;0,IF(E50&gt;0,IF(F49&lt;E50,E50-F49,0),0),0)</f>
        <v>#DIV/0!</v>
      </c>
      <c r="G54" s="4" t="e">
        <f aca="true" t="shared" si="13" ref="G54:Q54">IF(G49&gt;0,IF(F50&gt;0,IF(G49&lt;F50,F50-G49,0),0),0)</f>
        <v>#DIV/0!</v>
      </c>
      <c r="H54" s="4" t="e">
        <f t="shared" si="13"/>
        <v>#DIV/0!</v>
      </c>
      <c r="I54" s="4" t="e">
        <f t="shared" si="13"/>
        <v>#DIV/0!</v>
      </c>
      <c r="J54" s="4" t="e">
        <f t="shared" si="13"/>
        <v>#DIV/0!</v>
      </c>
      <c r="K54" s="4" t="e">
        <f t="shared" si="13"/>
        <v>#DIV/0!</v>
      </c>
      <c r="L54" s="4" t="e">
        <f t="shared" si="13"/>
        <v>#DIV/0!</v>
      </c>
      <c r="M54" s="4" t="e">
        <f t="shared" si="13"/>
        <v>#DIV/0!</v>
      </c>
      <c r="N54" s="4" t="e">
        <f t="shared" si="13"/>
        <v>#DIV/0!</v>
      </c>
      <c r="O54" s="4" t="e">
        <f t="shared" si="13"/>
        <v>#DIV/0!</v>
      </c>
      <c r="P54" s="4" t="e">
        <f t="shared" si="13"/>
        <v>#DIV/0!</v>
      </c>
      <c r="Q54" s="4" t="e">
        <f t="shared" si="13"/>
        <v>#DIV/0!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</row>
    <row r="55" spans="1:97" ht="12.75">
      <c r="A55" s="1">
        <v>3</v>
      </c>
      <c r="B55" s="4">
        <v>0</v>
      </c>
      <c r="C55" s="4">
        <v>0</v>
      </c>
      <c r="D55" s="4">
        <v>0</v>
      </c>
      <c r="E55" s="4">
        <v>0</v>
      </c>
      <c r="F55" s="4" t="e">
        <f>IF(F49&gt;0,IF(E51&gt;0,E51+F49,0),0)</f>
        <v>#DIV/0!</v>
      </c>
      <c r="G55" s="4" t="e">
        <f aca="true" t="shared" si="14" ref="G55:Q55">IF(G49&gt;0,IF(F51&gt;0,F51+G49,0),0)</f>
        <v>#DIV/0!</v>
      </c>
      <c r="H55" s="4" t="e">
        <f t="shared" si="14"/>
        <v>#DIV/0!</v>
      </c>
      <c r="I55" s="4" t="e">
        <f t="shared" si="14"/>
        <v>#DIV/0!</v>
      </c>
      <c r="J55" s="4" t="e">
        <f t="shared" si="14"/>
        <v>#DIV/0!</v>
      </c>
      <c r="K55" s="4" t="e">
        <f t="shared" si="14"/>
        <v>#DIV/0!</v>
      </c>
      <c r="L55" s="4" t="e">
        <f t="shared" si="14"/>
        <v>#DIV/0!</v>
      </c>
      <c r="M55" s="4" t="e">
        <f t="shared" si="14"/>
        <v>#DIV/0!</v>
      </c>
      <c r="N55" s="4" t="e">
        <f t="shared" si="14"/>
        <v>#DIV/0!</v>
      </c>
      <c r="O55" s="4" t="e">
        <f t="shared" si="14"/>
        <v>#DIV/0!</v>
      </c>
      <c r="P55" s="4" t="e">
        <f t="shared" si="14"/>
        <v>#DIV/0!</v>
      </c>
      <c r="Q55" s="4" t="e">
        <f t="shared" si="14"/>
        <v>#DIV/0!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</row>
    <row r="56" spans="1:97" ht="12.75">
      <c r="A56" s="1">
        <v>4</v>
      </c>
      <c r="B56" s="4">
        <v>594061.194539087</v>
      </c>
      <c r="C56" s="4">
        <v>0</v>
      </c>
      <c r="D56" s="4">
        <v>0</v>
      </c>
      <c r="E56" s="4">
        <v>0</v>
      </c>
      <c r="F56" s="4" t="e">
        <f>IF(F49&lt;0,IF(E50&gt;0,E50-F49,0),0)</f>
        <v>#DIV/0!</v>
      </c>
      <c r="G56" s="4" t="e">
        <f aca="true" t="shared" si="15" ref="G56:Q56">IF(G49&lt;0,IF(F50&gt;0,F50-G49,0),0)</f>
        <v>#DIV/0!</v>
      </c>
      <c r="H56" s="4" t="e">
        <f t="shared" si="15"/>
        <v>#DIV/0!</v>
      </c>
      <c r="I56" s="4" t="e">
        <f t="shared" si="15"/>
        <v>#DIV/0!</v>
      </c>
      <c r="J56" s="4" t="e">
        <f t="shared" si="15"/>
        <v>#DIV/0!</v>
      </c>
      <c r="K56" s="4" t="e">
        <f t="shared" si="15"/>
        <v>#DIV/0!</v>
      </c>
      <c r="L56" s="4" t="e">
        <f t="shared" si="15"/>
        <v>#DIV/0!</v>
      </c>
      <c r="M56" s="4" t="e">
        <f t="shared" si="15"/>
        <v>#DIV/0!</v>
      </c>
      <c r="N56" s="4" t="e">
        <f t="shared" si="15"/>
        <v>#DIV/0!</v>
      </c>
      <c r="O56" s="4" t="e">
        <f t="shared" si="15"/>
        <v>#DIV/0!</v>
      </c>
      <c r="P56" s="4" t="e">
        <f t="shared" si="15"/>
        <v>#DIV/0!</v>
      </c>
      <c r="Q56" s="4" t="e">
        <f t="shared" si="15"/>
        <v>#DIV/0!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</row>
    <row r="57" spans="1:97" ht="12.75">
      <c r="A57" s="1">
        <v>5</v>
      </c>
      <c r="B57" s="4">
        <v>0</v>
      </c>
      <c r="C57" s="4">
        <v>0</v>
      </c>
      <c r="D57" s="4">
        <v>0</v>
      </c>
      <c r="E57" s="4">
        <v>0</v>
      </c>
      <c r="F57" s="4" t="e">
        <f>IF(F49&lt;0,IF(E51&gt;0,IF(-F49&gt;E51,-F49-E51,0),0),0)</f>
        <v>#DIV/0!</v>
      </c>
      <c r="G57" s="4" t="e">
        <f aca="true" t="shared" si="16" ref="G57:Q57">IF(G49&lt;0,IF(F51&gt;0,IF(-G49&gt;F51,-G49-F51,0),0),0)</f>
        <v>#DIV/0!</v>
      </c>
      <c r="H57" s="4" t="e">
        <f t="shared" si="16"/>
        <v>#DIV/0!</v>
      </c>
      <c r="I57" s="4" t="e">
        <f t="shared" si="16"/>
        <v>#DIV/0!</v>
      </c>
      <c r="J57" s="4" t="e">
        <f t="shared" si="16"/>
        <v>#DIV/0!</v>
      </c>
      <c r="K57" s="4" t="e">
        <f t="shared" si="16"/>
        <v>#DIV/0!</v>
      </c>
      <c r="L57" s="4" t="e">
        <f t="shared" si="16"/>
        <v>#DIV/0!</v>
      </c>
      <c r="M57" s="4" t="e">
        <f t="shared" si="16"/>
        <v>#DIV/0!</v>
      </c>
      <c r="N57" s="4" t="e">
        <f t="shared" si="16"/>
        <v>#DIV/0!</v>
      </c>
      <c r="O57" s="4" t="e">
        <f t="shared" si="16"/>
        <v>#DIV/0!</v>
      </c>
      <c r="P57" s="4" t="e">
        <f t="shared" si="16"/>
        <v>#DIV/0!</v>
      </c>
      <c r="Q57" s="4" t="e">
        <f t="shared" si="16"/>
        <v>#DIV/0!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</row>
    <row r="58" spans="1:97" ht="12.75">
      <c r="A58" s="1">
        <v>6</v>
      </c>
      <c r="B58" s="4">
        <v>0</v>
      </c>
      <c r="C58" s="4">
        <v>0</v>
      </c>
      <c r="D58" s="4">
        <v>0</v>
      </c>
      <c r="E58" s="4">
        <v>0</v>
      </c>
      <c r="F58" s="4" t="e">
        <f aca="true" t="shared" si="17" ref="F58:Q58">IF(F49&lt;0,IF(E51&gt;0,IF(-F49&lt;E51,E51+F49,0),0),0)</f>
        <v>#DIV/0!</v>
      </c>
      <c r="G58" s="4" t="e">
        <f t="shared" si="17"/>
        <v>#DIV/0!</v>
      </c>
      <c r="H58" s="4" t="e">
        <f t="shared" si="17"/>
        <v>#DIV/0!</v>
      </c>
      <c r="I58" s="4" t="e">
        <f t="shared" si="17"/>
        <v>#DIV/0!</v>
      </c>
      <c r="J58" s="4" t="e">
        <f t="shared" si="17"/>
        <v>#DIV/0!</v>
      </c>
      <c r="K58" s="4" t="e">
        <f t="shared" si="17"/>
        <v>#DIV/0!</v>
      </c>
      <c r="L58" s="4" t="e">
        <f t="shared" si="17"/>
        <v>#DIV/0!</v>
      </c>
      <c r="M58" s="4" t="e">
        <f t="shared" si="17"/>
        <v>#DIV/0!</v>
      </c>
      <c r="N58" s="4" t="e">
        <f t="shared" si="17"/>
        <v>#DIV/0!</v>
      </c>
      <c r="O58" s="4" t="e">
        <f t="shared" si="17"/>
        <v>#DIV/0!</v>
      </c>
      <c r="P58" s="4" t="e">
        <f t="shared" si="17"/>
        <v>#DIV/0!</v>
      </c>
      <c r="Q58" s="4" t="e">
        <f t="shared" si="17"/>
        <v>#DIV/0!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</row>
    <row r="59" spans="1:97" ht="12.7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</row>
    <row r="60" spans="1:97" ht="12.75">
      <c r="A60" t="s">
        <v>45</v>
      </c>
      <c r="B60" s="4">
        <v>50000</v>
      </c>
      <c r="C60" s="4">
        <v>50000</v>
      </c>
      <c r="D60" s="4">
        <v>50000</v>
      </c>
      <c r="E60" s="4">
        <v>50000</v>
      </c>
      <c r="F60" s="4">
        <v>50000</v>
      </c>
      <c r="G60" s="4">
        <v>50000</v>
      </c>
      <c r="H60" s="4">
        <v>50000</v>
      </c>
      <c r="I60" s="4">
        <v>50000</v>
      </c>
      <c r="J60" s="4">
        <v>50000</v>
      </c>
      <c r="K60" s="4">
        <v>50000</v>
      </c>
      <c r="L60" s="4">
        <v>50000</v>
      </c>
      <c r="M60" s="4">
        <v>50000</v>
      </c>
      <c r="N60" s="4">
        <v>50000</v>
      </c>
      <c r="O60" s="4">
        <v>50000</v>
      </c>
      <c r="P60" s="4">
        <v>50000</v>
      </c>
      <c r="Q60" s="4">
        <v>50000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</row>
    <row r="61" spans="2:97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</row>
    <row r="62" spans="2:38" ht="12.75">
      <c r="B62" s="9" t="s">
        <v>16</v>
      </c>
      <c r="C62" s="9" t="s">
        <v>5</v>
      </c>
      <c r="D62" s="9" t="s">
        <v>6</v>
      </c>
      <c r="E62" s="9" t="s">
        <v>7</v>
      </c>
      <c r="F62" s="9" t="s">
        <v>8</v>
      </c>
      <c r="G62" s="9" t="s">
        <v>9</v>
      </c>
      <c r="H62" s="9" t="s">
        <v>10</v>
      </c>
      <c r="I62" s="9" t="s">
        <v>11</v>
      </c>
      <c r="J62" s="9" t="s">
        <v>12</v>
      </c>
      <c r="K62" s="9" t="s">
        <v>13</v>
      </c>
      <c r="L62" s="9" t="s">
        <v>14</v>
      </c>
      <c r="M62" s="9" t="s">
        <v>15</v>
      </c>
      <c r="N62" s="9" t="s">
        <v>16</v>
      </c>
      <c r="O62" s="9" t="s">
        <v>5</v>
      </c>
      <c r="P62" s="9" t="s">
        <v>6</v>
      </c>
      <c r="Q62" s="9" t="s">
        <v>7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2:38" ht="12.75">
      <c r="B63" s="30">
        <v>395121.84705140966</v>
      </c>
      <c r="C63" s="30">
        <v>265300.7753815758</v>
      </c>
      <c r="D63" s="30">
        <v>42636.414659323986</v>
      </c>
      <c r="E63" s="30">
        <v>0</v>
      </c>
      <c r="F63" s="30" t="e">
        <f>F50</f>
        <v>#DIV/0!</v>
      </c>
      <c r="G63" s="30" t="e">
        <f aca="true" t="shared" si="18" ref="G63:P63">G50</f>
        <v>#DIV/0!</v>
      </c>
      <c r="H63" s="30" t="e">
        <f t="shared" si="18"/>
        <v>#DIV/0!</v>
      </c>
      <c r="I63" s="30" t="e">
        <f t="shared" si="18"/>
        <v>#DIV/0!</v>
      </c>
      <c r="J63" s="30" t="e">
        <f t="shared" si="18"/>
        <v>#DIV/0!</v>
      </c>
      <c r="K63" s="30" t="e">
        <f t="shared" si="18"/>
        <v>#DIV/0!</v>
      </c>
      <c r="L63" s="30" t="e">
        <f t="shared" si="18"/>
        <v>#DIV/0!</v>
      </c>
      <c r="M63" s="30" t="e">
        <f t="shared" si="18"/>
        <v>#DIV/0!</v>
      </c>
      <c r="N63" s="30" t="e">
        <f t="shared" si="18"/>
        <v>#DIV/0!</v>
      </c>
      <c r="O63" s="30" t="e">
        <f t="shared" si="18"/>
        <v>#DIV/0!</v>
      </c>
      <c r="P63" s="30" t="e">
        <f t="shared" si="18"/>
        <v>#DIV/0!</v>
      </c>
      <c r="Q63" s="30" t="e">
        <f>Q50</f>
        <v>#DIV/0!</v>
      </c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2:38" ht="12.75">
      <c r="B64" s="30">
        <v>0</v>
      </c>
      <c r="C64" s="30">
        <v>0</v>
      </c>
      <c r="D64" s="30">
        <v>0</v>
      </c>
      <c r="E64" s="30">
        <v>467261.20069970225</v>
      </c>
      <c r="F64" s="30" t="e">
        <f>F51</f>
        <v>#DIV/0!</v>
      </c>
      <c r="G64" s="30" t="e">
        <f aca="true" t="shared" si="19" ref="G64:P64">G51</f>
        <v>#DIV/0!</v>
      </c>
      <c r="H64" s="30" t="e">
        <f t="shared" si="19"/>
        <v>#DIV/0!</v>
      </c>
      <c r="I64" s="30" t="e">
        <f t="shared" si="19"/>
        <v>#DIV/0!</v>
      </c>
      <c r="J64" s="30" t="e">
        <f t="shared" si="19"/>
        <v>#DIV/0!</v>
      </c>
      <c r="K64" s="30" t="e">
        <f t="shared" si="19"/>
        <v>#DIV/0!</v>
      </c>
      <c r="L64" s="30" t="e">
        <f t="shared" si="19"/>
        <v>#DIV/0!</v>
      </c>
      <c r="M64" s="30" t="e">
        <f t="shared" si="19"/>
        <v>#DIV/0!</v>
      </c>
      <c r="N64" s="30" t="e">
        <f t="shared" si="19"/>
        <v>#DIV/0!</v>
      </c>
      <c r="O64" s="30" t="e">
        <f t="shared" si="19"/>
        <v>#DIV/0!</v>
      </c>
      <c r="P64" s="30" t="e">
        <f t="shared" si="19"/>
        <v>#DIV/0!</v>
      </c>
      <c r="Q64" s="30" t="e">
        <f>Q51</f>
        <v>#DIV/0!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spans="2:2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2.75">
      <c r="B66" s="9" t="s">
        <v>16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H66" s="9" t="s">
        <v>10</v>
      </c>
      <c r="I66" s="9" t="s">
        <v>11</v>
      </c>
      <c r="J66" s="9" t="s">
        <v>12</v>
      </c>
      <c r="K66" s="9" t="s">
        <v>13</v>
      </c>
      <c r="L66" s="9" t="s">
        <v>14</v>
      </c>
      <c r="M66" s="9" t="s">
        <v>15</v>
      </c>
      <c r="N66" s="9" t="s">
        <v>16</v>
      </c>
      <c r="O66" s="9" t="s">
        <v>5</v>
      </c>
      <c r="P66" s="9" t="s">
        <v>6</v>
      </c>
      <c r="Q66" s="9" t="s">
        <v>7</v>
      </c>
      <c r="R66" s="2"/>
      <c r="S66" s="2"/>
      <c r="T66" s="2"/>
      <c r="U66" s="2"/>
      <c r="V66" s="2"/>
    </row>
    <row r="67" spans="2:22" ht="12.75">
      <c r="B67" s="2">
        <v>-27239.683020764962</v>
      </c>
      <c r="C67" s="2">
        <v>129821.07166983385</v>
      </c>
      <c r="D67" s="2">
        <v>222664.36072225182</v>
      </c>
      <c r="E67" s="2">
        <v>509897.61535902624</v>
      </c>
      <c r="F67" s="2" t="e">
        <f>F45</f>
        <v>#DIV/0!</v>
      </c>
      <c r="G67" s="2" t="e">
        <f aca="true" t="shared" si="20" ref="G67:Q67">G45</f>
        <v>#DIV/0!</v>
      </c>
      <c r="H67" s="2" t="e">
        <f t="shared" si="20"/>
        <v>#DIV/0!</v>
      </c>
      <c r="I67" s="2" t="e">
        <f t="shared" si="20"/>
        <v>#DIV/0!</v>
      </c>
      <c r="J67" s="2" t="e">
        <f t="shared" si="20"/>
        <v>#DIV/0!</v>
      </c>
      <c r="K67" s="2" t="e">
        <f t="shared" si="20"/>
        <v>#DIV/0!</v>
      </c>
      <c r="L67" s="2" t="e">
        <f t="shared" si="20"/>
        <v>#DIV/0!</v>
      </c>
      <c r="M67" s="2" t="e">
        <f t="shared" si="20"/>
        <v>#DIV/0!</v>
      </c>
      <c r="N67" s="2" t="e">
        <f t="shared" si="20"/>
        <v>#DIV/0!</v>
      </c>
      <c r="O67" s="2" t="e">
        <f t="shared" si="20"/>
        <v>#DIV/0!</v>
      </c>
      <c r="P67" s="2" t="e">
        <f t="shared" si="20"/>
        <v>#DIV/0!</v>
      </c>
      <c r="Q67" s="2" t="e">
        <f t="shared" si="20"/>
        <v>#DIV/0!</v>
      </c>
      <c r="R67" s="2"/>
      <c r="S67" s="2"/>
      <c r="T67" s="2"/>
      <c r="U67" s="2"/>
      <c r="V67" s="2"/>
    </row>
    <row r="68" spans="2:2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6:22" ht="12.7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6:22" ht="12.75"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</row>
    <row r="71" spans="6:22" ht="12.7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6:22" ht="12.7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6:22" ht="12.7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6:22" ht="12.7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6:22" ht="12.7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6:22" ht="12.7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</sheetData>
  <printOptions/>
  <pageMargins left="0.75" right="0.75" top="1" bottom="1" header="0.5" footer="0.5"/>
  <pageSetup fitToHeight="1" fitToWidth="1" horizontalDpi="600" verticalDpi="600" orientation="landscape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workbookViewId="0" topLeftCell="A1">
      <selection activeCell="A1" sqref="A1"/>
    </sheetView>
  </sheetViews>
  <sheetFormatPr defaultColWidth="9.140625" defaultRowHeight="12.75"/>
  <cols>
    <col min="2" max="2" width="31.8515625" style="0" customWidth="1"/>
    <col min="3" max="8" width="12.7109375" style="0" customWidth="1"/>
  </cols>
  <sheetData>
    <row r="2" ht="12.75">
      <c r="B2" s="11" t="s">
        <v>312</v>
      </c>
    </row>
    <row r="3" ht="12.75">
      <c r="B3" s="9"/>
    </row>
    <row r="4" spans="1:7" ht="12.75">
      <c r="A4" s="9"/>
      <c r="B4" s="9" t="s">
        <v>73</v>
      </c>
      <c r="C4" s="9"/>
      <c r="D4" s="9"/>
      <c r="E4" s="9"/>
      <c r="F4" s="9"/>
      <c r="G4" s="9"/>
    </row>
    <row r="5" spans="1:7" ht="12.75">
      <c r="A5" s="9"/>
      <c r="B5" s="9"/>
      <c r="C5" s="9" t="s">
        <v>51</v>
      </c>
      <c r="D5" s="9" t="s">
        <v>74</v>
      </c>
      <c r="E5" s="9" t="s">
        <v>51</v>
      </c>
      <c r="F5" s="9" t="s">
        <v>74</v>
      </c>
      <c r="G5" s="9"/>
    </row>
    <row r="6" spans="1:8" ht="12.75">
      <c r="A6" s="9"/>
      <c r="B6" s="11" t="s">
        <v>75</v>
      </c>
      <c r="C6" s="9" t="s">
        <v>87</v>
      </c>
      <c r="D6" s="9">
        <v>2018</v>
      </c>
      <c r="E6" s="9" t="s">
        <v>87</v>
      </c>
      <c r="F6" s="9">
        <v>2017</v>
      </c>
      <c r="G6" s="9" t="s">
        <v>169</v>
      </c>
      <c r="H6" s="9" t="s">
        <v>170</v>
      </c>
    </row>
    <row r="7" spans="2:8" ht="12.75">
      <c r="B7" s="10" t="s">
        <v>96</v>
      </c>
      <c r="C7" s="10" t="s">
        <v>54</v>
      </c>
      <c r="D7" s="10" t="s">
        <v>54</v>
      </c>
      <c r="E7" s="10" t="s">
        <v>54</v>
      </c>
      <c r="F7" s="10" t="s">
        <v>54</v>
      </c>
      <c r="G7" s="10" t="s">
        <v>54</v>
      </c>
      <c r="H7" s="10" t="s">
        <v>54</v>
      </c>
    </row>
    <row r="8" spans="2:8" ht="12.75">
      <c r="B8" s="12" t="s">
        <v>76</v>
      </c>
      <c r="C8" s="22" t="e">
        <f>D8/D19</f>
        <v>#DIV/0!</v>
      </c>
      <c r="D8" s="2">
        <f>'Cash Budget'!$Q$48</f>
        <v>50000</v>
      </c>
      <c r="E8" s="15">
        <v>0.009878778558300728</v>
      </c>
      <c r="F8" s="2">
        <v>50000</v>
      </c>
      <c r="G8" s="2">
        <f>IF((D8-F8)&gt;0,0,F8-D8)</f>
        <v>0</v>
      </c>
      <c r="H8" s="2">
        <f>IF((D8-F8)&gt;0,D8-F8,0)</f>
        <v>0</v>
      </c>
    </row>
    <row r="9" spans="2:8" ht="12.75">
      <c r="B9" s="12" t="s">
        <v>43</v>
      </c>
      <c r="C9" s="22" t="e">
        <f>D9/D19</f>
        <v>#DIV/0!</v>
      </c>
      <c r="D9" s="2" t="e">
        <f>'Cash Budget'!$Q$51</f>
        <v>#DIV/0!</v>
      </c>
      <c r="E9" s="15">
        <v>0.09231939861196144</v>
      </c>
      <c r="F9" s="2">
        <v>458353.7491090442</v>
      </c>
      <c r="G9" s="2" t="e">
        <f>IF((D9-F9)&gt;0,0,F9-D9)</f>
        <v>#DIV/0!</v>
      </c>
      <c r="H9" s="2" t="e">
        <f>IF((D9-F9)&gt;0,D9-F9,0)</f>
        <v>#DIV/0!</v>
      </c>
    </row>
    <row r="10" spans="2:8" ht="12.75">
      <c r="B10" s="12" t="s">
        <v>77</v>
      </c>
      <c r="C10" s="22" t="e">
        <f>D10/D19</f>
        <v>#DIV/0!</v>
      </c>
      <c r="D10" s="2">
        <f>'Cash Budget'!$Q$10</f>
        <v>988789.8736147537</v>
      </c>
      <c r="E10" s="15">
        <v>0.1388348089830863</v>
      </c>
      <c r="F10" s="2">
        <v>988789.8736147537</v>
      </c>
      <c r="G10" s="2">
        <f>IF((D10-F10)&gt;0,0,F10-D10)</f>
        <v>0</v>
      </c>
      <c r="H10" s="2">
        <f>IF((D10-F10)&gt;0,D10-F10,0)</f>
        <v>0</v>
      </c>
    </row>
    <row r="11" spans="2:8" ht="12.75">
      <c r="B11" s="12" t="s">
        <v>78</v>
      </c>
      <c r="C11" s="22" t="e">
        <f>D11/D19</f>
        <v>#DIV/0!</v>
      </c>
      <c r="D11" s="2">
        <f>'Cash Budget'!$Q$21</f>
        <v>315964.2000000009</v>
      </c>
      <c r="E11" s="15">
        <v>0.17191615256927953</v>
      </c>
      <c r="F11" s="2">
        <v>1255042.151990517</v>
      </c>
      <c r="G11" s="2">
        <f>IF((D11-F11)&gt;0,0,F11-D11)</f>
        <v>939077.9519905162</v>
      </c>
      <c r="H11" s="2">
        <f>IF((D11-F11)&gt;0,D11-F11,0)</f>
        <v>0</v>
      </c>
    </row>
    <row r="12" spans="2:6" ht="12.75">
      <c r="B12" s="12"/>
      <c r="C12" s="23" t="s">
        <v>54</v>
      </c>
      <c r="D12" s="14" t="s">
        <v>54</v>
      </c>
      <c r="E12" s="21" t="s">
        <v>54</v>
      </c>
      <c r="F12" s="14" t="s">
        <v>54</v>
      </c>
    </row>
    <row r="13" spans="2:6" ht="12.75">
      <c r="B13" s="11" t="s">
        <v>79</v>
      </c>
      <c r="C13" s="22" t="e">
        <f>D13/D19</f>
        <v>#DIV/0!</v>
      </c>
      <c r="D13" s="2" t="e">
        <f>SUM(D8:D11)</f>
        <v>#DIV/0!</v>
      </c>
      <c r="E13" s="15">
        <v>0.41294913872262806</v>
      </c>
      <c r="F13" s="2">
        <v>2752185.774714315</v>
      </c>
    </row>
    <row r="14" spans="2:6" ht="12.75">
      <c r="B14" s="12"/>
      <c r="C14" s="22"/>
      <c r="D14" s="2"/>
      <c r="E14" s="15"/>
      <c r="F14" s="2"/>
    </row>
    <row r="15" spans="2:8" ht="12.75">
      <c r="B15" s="12" t="s">
        <v>145</v>
      </c>
      <c r="C15" s="22"/>
      <c r="D15" s="2">
        <f>Back!$F$146</f>
        <v>10201678</v>
      </c>
      <c r="E15" s="15"/>
      <c r="F15" s="2">
        <v>10201678</v>
      </c>
      <c r="G15" s="2">
        <f>IF((D15-F15)&gt;0,0,F15-D15)</f>
        <v>0</v>
      </c>
      <c r="H15" s="2">
        <f>IF((D15-F15)&gt;0,D15-F15,0)</f>
        <v>0</v>
      </c>
    </row>
    <row r="16" spans="2:8" ht="12.75">
      <c r="B16" s="12" t="s">
        <v>80</v>
      </c>
      <c r="C16" s="22"/>
      <c r="D16" s="2">
        <f>Back!$F$155</f>
        <v>5799533.05</v>
      </c>
      <c r="E16" s="15"/>
      <c r="F16" s="2">
        <v>5034407.2</v>
      </c>
      <c r="G16" s="2">
        <f>IF((D16&gt;F16),D16-F16,0)</f>
        <v>765125.8499999996</v>
      </c>
      <c r="H16">
        <v>0</v>
      </c>
    </row>
    <row r="17" spans="2:8" ht="12.75">
      <c r="B17" s="12" t="s">
        <v>81</v>
      </c>
      <c r="C17" s="22" t="e">
        <f>D17/D19</f>
        <v>#DIV/0!</v>
      </c>
      <c r="D17" s="2">
        <f>D15-D16</f>
        <v>4402144.95</v>
      </c>
      <c r="E17" s="15">
        <v>0.587050861277372</v>
      </c>
      <c r="F17" s="2">
        <v>5167270.8</v>
      </c>
      <c r="G17" s="2"/>
      <c r="H17" s="2"/>
    </row>
    <row r="18" spans="2:6" ht="12.75">
      <c r="B18" s="12"/>
      <c r="C18" s="23" t="s">
        <v>54</v>
      </c>
      <c r="D18" s="14" t="s">
        <v>54</v>
      </c>
      <c r="E18" s="21" t="s">
        <v>54</v>
      </c>
      <c r="F18" s="14" t="s">
        <v>54</v>
      </c>
    </row>
    <row r="19" spans="2:6" ht="12.75">
      <c r="B19" s="11" t="s">
        <v>82</v>
      </c>
      <c r="C19" s="22" t="e">
        <f>C13+C17</f>
        <v>#DIV/0!</v>
      </c>
      <c r="D19" s="2" t="e">
        <f>D13+D17</f>
        <v>#DIV/0!</v>
      </c>
      <c r="E19" s="15">
        <v>1</v>
      </c>
      <c r="F19" s="2">
        <v>7919456.574714316</v>
      </c>
    </row>
    <row r="20" spans="2:6" ht="12.75">
      <c r="B20" s="12"/>
      <c r="C20" s="10" t="s">
        <v>68</v>
      </c>
      <c r="D20" s="14" t="s">
        <v>68</v>
      </c>
      <c r="E20" s="10" t="s">
        <v>68</v>
      </c>
      <c r="F20" s="14" t="s">
        <v>68</v>
      </c>
    </row>
    <row r="21" spans="2:6" ht="12.75">
      <c r="B21" s="12"/>
      <c r="D21" s="2"/>
      <c r="F21" s="2"/>
    </row>
    <row r="22" spans="2:6" ht="12.75">
      <c r="B22" s="12"/>
      <c r="C22" s="9" t="s">
        <v>51</v>
      </c>
      <c r="D22" s="18" t="s">
        <v>74</v>
      </c>
      <c r="E22" s="9" t="s">
        <v>51</v>
      </c>
      <c r="F22" s="18" t="s">
        <v>74</v>
      </c>
    </row>
    <row r="23" spans="2:6" ht="12.75">
      <c r="B23" s="11" t="s">
        <v>83</v>
      </c>
      <c r="C23" s="9" t="s">
        <v>87</v>
      </c>
      <c r="D23" s="19">
        <v>2018</v>
      </c>
      <c r="E23" s="9" t="s">
        <v>87</v>
      </c>
      <c r="F23" s="19">
        <v>2017</v>
      </c>
    </row>
    <row r="24" spans="2:6" ht="12.75">
      <c r="B24" s="20" t="s">
        <v>96</v>
      </c>
      <c r="C24" s="10" t="s">
        <v>54</v>
      </c>
      <c r="D24" s="14" t="s">
        <v>54</v>
      </c>
      <c r="E24" s="10" t="s">
        <v>54</v>
      </c>
      <c r="F24" s="14" t="s">
        <v>54</v>
      </c>
    </row>
    <row r="25" spans="2:8" ht="12.75">
      <c r="B25" s="12" t="s">
        <v>84</v>
      </c>
      <c r="C25" s="15" t="e">
        <f>D25/D41</f>
        <v>#DIV/0!</v>
      </c>
      <c r="D25" s="2" t="e">
        <f>'Cash Budget'!$Q$50</f>
        <v>#DIV/0!</v>
      </c>
      <c r="E25" s="15">
        <v>0</v>
      </c>
      <c r="F25" s="2">
        <v>0</v>
      </c>
      <c r="G25" s="2" t="e">
        <f>IF((D25-F25)&gt;0,D25-F25,0)</f>
        <v>#DIV/0!</v>
      </c>
      <c r="H25" s="2" t="e">
        <f>IF((D25-F25)&gt;0,0,-(D25-F25))</f>
        <v>#DIV/0!</v>
      </c>
    </row>
    <row r="26" spans="2:8" ht="12.75">
      <c r="B26" s="12" t="s">
        <v>85</v>
      </c>
      <c r="C26" s="15" t="e">
        <f>D26/D41</f>
        <v>#DIV/0!</v>
      </c>
      <c r="D26" s="2" t="e">
        <f>Back!F108+Back!F133</f>
        <v>#DIV/0!</v>
      </c>
      <c r="E26" s="15">
        <v>0.02796799658033843</v>
      </c>
      <c r="F26" s="2">
        <v>278115.3992263047</v>
      </c>
      <c r="G26" s="2" t="e">
        <f>IF((D26-F26)&gt;0,D26-F26,0)</f>
        <v>#DIV/0!</v>
      </c>
      <c r="H26" s="2" t="e">
        <f>IF((D26-F26)&gt;0,0,-(D26-F26))</f>
        <v>#DIV/0!</v>
      </c>
    </row>
    <row r="27" spans="2:8" ht="12.75">
      <c r="B27" s="12" t="s">
        <v>26</v>
      </c>
      <c r="C27" s="15" t="e">
        <f>D27/D41</f>
        <v>#DIV/0!</v>
      </c>
      <c r="D27" s="2">
        <f>'Cash Budget'!$Q$23</f>
        <v>249264.02000000025</v>
      </c>
      <c r="E27" s="15">
        <v>0.12002947150368169</v>
      </c>
      <c r="F27" s="2">
        <v>843726.2097921618</v>
      </c>
      <c r="G27" s="2">
        <f>IF((D27-F27)&gt;0,D27-F27,0)</f>
        <v>0</v>
      </c>
      <c r="H27" s="2">
        <f>IF((D27-F27)&gt;0,0,-(D27-F27))</f>
        <v>594462.1897921616</v>
      </c>
    </row>
    <row r="28" spans="2:8" ht="12.75">
      <c r="B28" s="12" t="s">
        <v>86</v>
      </c>
      <c r="C28" s="15" t="e">
        <f>D28/D41</f>
        <v>#DIV/0!</v>
      </c>
      <c r="D28" s="2">
        <f>Back!$H$36+F28</f>
        <v>129840.8</v>
      </c>
      <c r="E28" s="15">
        <v>0.003920057375699</v>
      </c>
      <c r="F28" s="2">
        <v>129840.8</v>
      </c>
      <c r="G28" s="2">
        <f>IF((D28-F28)&gt;0,D28-F28,0)</f>
        <v>0</v>
      </c>
      <c r="H28" s="2">
        <f>IF((D28-F28)&gt;0,0,-(D28-F28))</f>
        <v>0</v>
      </c>
    </row>
    <row r="29" spans="2:6" ht="12.75">
      <c r="B29" s="12"/>
      <c r="C29" s="15"/>
      <c r="D29" s="14" t="s">
        <v>54</v>
      </c>
      <c r="E29" s="15"/>
      <c r="F29" s="14" t="s">
        <v>54</v>
      </c>
    </row>
    <row r="30" spans="2:6" ht="12.75">
      <c r="B30" s="11" t="s">
        <v>88</v>
      </c>
      <c r="C30" s="39" t="e">
        <f>D30/D41</f>
        <v>#DIV/0!</v>
      </c>
      <c r="D30" s="40" t="e">
        <f>SUM(D25:D28)</f>
        <v>#DIV/0!</v>
      </c>
      <c r="E30" s="39">
        <v>0.15191752545971912</v>
      </c>
      <c r="F30" s="40">
        <v>1251682.4090184665</v>
      </c>
    </row>
    <row r="31" spans="2:6" ht="12.75">
      <c r="B31" s="12"/>
      <c r="C31" s="39"/>
      <c r="D31" s="40"/>
      <c r="E31" s="39"/>
      <c r="F31" s="40"/>
    </row>
    <row r="32" spans="2:8" ht="12.75">
      <c r="B32" s="11" t="s">
        <v>89</v>
      </c>
      <c r="C32" s="39" t="e">
        <f>D32/D41</f>
        <v>#DIV/0!</v>
      </c>
      <c r="D32" s="40" t="e">
        <f>Back!I62+F32+F26-D26-Back!F107</f>
        <v>#DIV/0!</v>
      </c>
      <c r="E32" s="39">
        <v>0.6492748116533065</v>
      </c>
      <c r="F32" s="40">
        <v>4742537.567468059</v>
      </c>
      <c r="G32" s="2" t="e">
        <f>IF((D32-F32)&gt;0,D32-F32,0)</f>
        <v>#DIV/0!</v>
      </c>
      <c r="H32" s="2" t="e">
        <f>IF((D32-F32)&gt;0,0,-(D32-F32))</f>
        <v>#DIV/0!</v>
      </c>
    </row>
    <row r="33" spans="2:6" ht="12.75">
      <c r="B33" s="12"/>
      <c r="C33" s="39"/>
      <c r="D33" s="40"/>
      <c r="E33" s="39"/>
      <c r="F33" s="40"/>
    </row>
    <row r="34" spans="2:6" ht="12.75">
      <c r="B34" s="11" t="s">
        <v>90</v>
      </c>
      <c r="C34" s="39"/>
      <c r="D34" s="40"/>
      <c r="E34" s="39"/>
      <c r="F34" s="40"/>
    </row>
    <row r="35" spans="2:8" ht="12.75">
      <c r="B35" s="24" t="s">
        <v>91</v>
      </c>
      <c r="C35" s="39" t="e">
        <f>D35/D41</f>
        <v>#DIV/0!</v>
      </c>
      <c r="D35" s="40">
        <f>Back!$I$42+Back!I43</f>
        <v>200000</v>
      </c>
      <c r="E35" s="39">
        <v>0.019757557032473488</v>
      </c>
      <c r="F35" s="40">
        <v>200000</v>
      </c>
      <c r="G35" s="2">
        <f>IF((D35-F35)&gt;0,D35-F35,0)</f>
        <v>0</v>
      </c>
      <c r="H35" s="2">
        <f>IF((D35-F35)&gt;0,0,-(D35-F35))</f>
        <v>0</v>
      </c>
    </row>
    <row r="36" spans="2:8" ht="12.75">
      <c r="B36" s="24" t="s">
        <v>92</v>
      </c>
      <c r="C36" s="39" t="e">
        <f>D36/D41</f>
        <v>#DIV/0!</v>
      </c>
      <c r="D36" s="40">
        <f>Back!I48</f>
        <v>850000</v>
      </c>
      <c r="E36" s="39">
        <v>0.02963633554871023</v>
      </c>
      <c r="F36" s="40">
        <v>850000</v>
      </c>
      <c r="G36" s="2">
        <f>IF((D36-F36)&gt;0,D36-F36,0)</f>
        <v>0</v>
      </c>
      <c r="H36" s="2">
        <f>IF((D36-F36)&gt;0,0,-(D36-F36))</f>
        <v>0</v>
      </c>
    </row>
    <row r="37" spans="2:8" ht="12.75">
      <c r="B37" s="24" t="s">
        <v>93</v>
      </c>
      <c r="C37" s="39" t="e">
        <f>D37/D41</f>
        <v>#DIV/0!</v>
      </c>
      <c r="D37" s="40" t="e">
        <f>'Income Statement'!$D$40+F37</f>
        <v>#DIV/0!</v>
      </c>
      <c r="E37" s="39">
        <v>0.14941377030579076</v>
      </c>
      <c r="F37" s="40">
        <v>875236.6210942938</v>
      </c>
      <c r="G37" s="2" t="e">
        <f>IF((D37-F37)&gt;0,D37-F37,0)</f>
        <v>#DIV/0!</v>
      </c>
      <c r="H37" s="2" t="e">
        <f>IF((D37-F37)&gt;0,0,-(D37-F37))</f>
        <v>#DIV/0!</v>
      </c>
    </row>
    <row r="38" spans="3:6" ht="12.75">
      <c r="C38" s="39"/>
      <c r="D38" s="26" t="s">
        <v>54</v>
      </c>
      <c r="E38" s="39"/>
      <c r="F38" s="26" t="s">
        <v>54</v>
      </c>
    </row>
    <row r="39" spans="2:6" ht="12.75">
      <c r="B39" s="11" t="s">
        <v>94</v>
      </c>
      <c r="C39" s="39" t="e">
        <f>D39/D41</f>
        <v>#DIV/0!</v>
      </c>
      <c r="D39" s="40" t="e">
        <f>SUM(D35:D37)</f>
        <v>#DIV/0!</v>
      </c>
      <c r="E39" s="39">
        <v>0.1988076628869745</v>
      </c>
      <c r="F39" s="40">
        <v>1925236.621094294</v>
      </c>
    </row>
    <row r="40" spans="2:8" ht="12.75">
      <c r="B40" s="11"/>
      <c r="C40" s="41" t="s">
        <v>54</v>
      </c>
      <c r="D40" s="26" t="s">
        <v>54</v>
      </c>
      <c r="E40" s="42" t="s">
        <v>54</v>
      </c>
      <c r="F40" s="26" t="s">
        <v>54</v>
      </c>
      <c r="G40" s="10" t="s">
        <v>54</v>
      </c>
      <c r="H40" s="10" t="s">
        <v>54</v>
      </c>
    </row>
    <row r="41" spans="2:8" ht="12.75">
      <c r="B41" s="11" t="s">
        <v>95</v>
      </c>
      <c r="C41" s="39" t="e">
        <f>C30+C32+C39</f>
        <v>#DIV/0!</v>
      </c>
      <c r="D41" s="40" t="e">
        <f>D30+D32+D39</f>
        <v>#DIV/0!</v>
      </c>
      <c r="E41" s="39">
        <v>1</v>
      </c>
      <c r="F41" s="40">
        <v>7919456.597580819</v>
      </c>
      <c r="G41" s="2" t="e">
        <f>SUM(G8:G37)</f>
        <v>#DIV/0!</v>
      </c>
      <c r="H41" s="2" t="e">
        <f>SUM(H8:H37)</f>
        <v>#DIV/0!</v>
      </c>
    </row>
    <row r="42" spans="3:8" ht="12.75">
      <c r="C42" s="41" t="s">
        <v>68</v>
      </c>
      <c r="D42" s="26" t="s">
        <v>68</v>
      </c>
      <c r="E42" s="42" t="s">
        <v>68</v>
      </c>
      <c r="F42" s="26" t="s">
        <v>68</v>
      </c>
      <c r="G42" s="10" t="s">
        <v>68</v>
      </c>
      <c r="H42" s="10" t="s">
        <v>68</v>
      </c>
    </row>
    <row r="43" spans="2:6" ht="12.75">
      <c r="B43" s="17"/>
      <c r="D43" s="14"/>
      <c r="F43" s="2"/>
    </row>
    <row r="44" spans="2:6" ht="12.75">
      <c r="B44" s="25"/>
      <c r="D44" s="2"/>
      <c r="F44" s="2"/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workbookViewId="0" topLeftCell="A1">
      <selection activeCell="A1" sqref="A1"/>
    </sheetView>
  </sheetViews>
  <sheetFormatPr defaultColWidth="9.140625" defaultRowHeight="12.75"/>
  <cols>
    <col min="2" max="2" width="29.28125" style="0" customWidth="1"/>
    <col min="3" max="3" width="13.7109375" style="0" customWidth="1"/>
    <col min="4" max="6" width="12.7109375" style="0" customWidth="1"/>
  </cols>
  <sheetData>
    <row r="2" spans="2:7" ht="12.75">
      <c r="B2" s="11" t="str">
        <f>Back!B2</f>
        <v>T &amp; M Energy Inc.</v>
      </c>
      <c r="C2" s="9"/>
      <c r="D2" s="9"/>
      <c r="E2" s="9"/>
      <c r="F2" s="9"/>
      <c r="G2" s="9"/>
    </row>
    <row r="3" spans="2:7" ht="12.75">
      <c r="B3" s="11"/>
      <c r="C3" s="9"/>
      <c r="D3" s="9"/>
      <c r="E3" s="9"/>
      <c r="F3" s="9"/>
      <c r="G3" s="9"/>
    </row>
    <row r="4" spans="2:7" ht="12.75">
      <c r="B4" s="9"/>
      <c r="C4" s="9" t="s">
        <v>51</v>
      </c>
      <c r="D4" s="9"/>
      <c r="E4" s="9" t="s">
        <v>51</v>
      </c>
      <c r="F4" s="9"/>
      <c r="G4" s="9"/>
    </row>
    <row r="5" spans="2:7" ht="12.75">
      <c r="B5" s="9" t="s">
        <v>52</v>
      </c>
      <c r="C5" s="9" t="s">
        <v>1</v>
      </c>
      <c r="D5" s="9">
        <v>2018</v>
      </c>
      <c r="E5" s="9" t="s">
        <v>1</v>
      </c>
      <c r="F5" s="9">
        <v>2017</v>
      </c>
      <c r="G5" s="9"/>
    </row>
    <row r="6" spans="2:6" ht="12.75">
      <c r="B6" s="10" t="s">
        <v>53</v>
      </c>
      <c r="C6" s="10" t="s">
        <v>54</v>
      </c>
      <c r="D6" s="10" t="s">
        <v>54</v>
      </c>
      <c r="E6" s="10" t="s">
        <v>54</v>
      </c>
      <c r="F6" s="10" t="s">
        <v>54</v>
      </c>
    </row>
    <row r="7" spans="2:6" ht="12.75">
      <c r="B7" s="12" t="s">
        <v>121</v>
      </c>
      <c r="C7" s="15">
        <f>D7/D$7</f>
        <v>1</v>
      </c>
      <c r="D7" s="2">
        <f>'Cash Budget'!$R$6</f>
        <v>12884437.769130904</v>
      </c>
      <c r="E7" s="15">
        <v>1</v>
      </c>
      <c r="F7" s="2">
        <v>12884437.769130904</v>
      </c>
    </row>
    <row r="8" spans="2:6" ht="12.75">
      <c r="B8" s="12" t="s">
        <v>55</v>
      </c>
      <c r="C8" s="15">
        <f aca="true" t="shared" si="0" ref="C8:C19">D8/D$7</f>
        <v>0.07288466666666665</v>
      </c>
      <c r="D8" s="2">
        <f>'Cash Budget'!$R$22</f>
        <v>939077.9519905162</v>
      </c>
      <c r="E8" s="15">
        <v>0.6689855654761905</v>
      </c>
      <c r="F8" s="2">
        <v>8720951.813201899</v>
      </c>
    </row>
    <row r="9" spans="2:6" ht="12.75">
      <c r="B9" s="12"/>
      <c r="C9" s="15"/>
      <c r="D9" s="14" t="s">
        <v>54</v>
      </c>
      <c r="E9" s="15"/>
      <c r="F9" s="14" t="s">
        <v>54</v>
      </c>
    </row>
    <row r="10" spans="2:6" ht="12.75">
      <c r="B10" s="12" t="s">
        <v>56</v>
      </c>
      <c r="C10" s="15">
        <f t="shared" si="0"/>
        <v>0.9271153333333333</v>
      </c>
      <c r="D10" s="2">
        <f>D7-D8</f>
        <v>11945359.817140387</v>
      </c>
      <c r="E10" s="15">
        <v>0.33101443452380946</v>
      </c>
      <c r="F10" s="2">
        <v>4163485.9559290055</v>
      </c>
    </row>
    <row r="11" spans="2:6" ht="12.75">
      <c r="B11" s="12"/>
      <c r="C11" s="15"/>
      <c r="D11" s="2"/>
      <c r="E11" s="15"/>
      <c r="F11" s="2"/>
    </row>
    <row r="12" spans="2:6" ht="12.75">
      <c r="B12" s="11" t="s">
        <v>57</v>
      </c>
      <c r="C12" s="15"/>
      <c r="D12" s="2"/>
      <c r="E12" s="15"/>
      <c r="F12" s="2"/>
    </row>
    <row r="13" spans="2:6" ht="12.75">
      <c r="B13" s="12"/>
      <c r="C13" s="15"/>
      <c r="D13" s="2"/>
      <c r="E13" s="15"/>
      <c r="F13" s="2"/>
    </row>
    <row r="14" spans="2:8" ht="12.75">
      <c r="B14" s="12" t="s">
        <v>29</v>
      </c>
      <c r="C14" s="15">
        <f t="shared" si="0"/>
        <v>0</v>
      </c>
      <c r="D14" s="2">
        <f>'Cash Budget'!$R$28</f>
        <v>0</v>
      </c>
      <c r="E14" s="15">
        <v>0.05586584474213753</v>
      </c>
      <c r="F14" s="2">
        <v>620000</v>
      </c>
      <c r="G14" s="2"/>
      <c r="H14" s="2"/>
    </row>
    <row r="15" spans="2:8" ht="12.75">
      <c r="B15" s="12" t="s">
        <v>32</v>
      </c>
      <c r="C15" s="15">
        <f t="shared" si="0"/>
        <v>0</v>
      </c>
      <c r="D15" s="2">
        <f>'Cash Budget'!$R$31</f>
        <v>0</v>
      </c>
      <c r="E15" s="15">
        <v>0.023353754769254213</v>
      </c>
      <c r="F15" s="2">
        <v>260000</v>
      </c>
      <c r="G15" s="2"/>
      <c r="H15" s="2"/>
    </row>
    <row r="16" spans="2:8" ht="12.75">
      <c r="B16" s="12" t="s">
        <v>28</v>
      </c>
      <c r="C16" s="15">
        <f t="shared" si="0"/>
        <v>0</v>
      </c>
      <c r="D16" s="2">
        <f>'Cash Budget'!$R$25</f>
        <v>0</v>
      </c>
      <c r="E16" s="15">
        <v>0.06</v>
      </c>
      <c r="F16" s="2">
        <v>773066.2661478542</v>
      </c>
      <c r="G16" s="2"/>
      <c r="H16" s="2"/>
    </row>
    <row r="17" spans="2:8" ht="12.75">
      <c r="B17" s="12" t="s">
        <v>58</v>
      </c>
      <c r="C17" s="15">
        <f t="shared" si="0"/>
        <v>0</v>
      </c>
      <c r="D17" s="2">
        <f>'Cash Budget'!$R$30</f>
        <v>0</v>
      </c>
      <c r="E17" s="15">
        <v>0.02747500561088731</v>
      </c>
      <c r="F17" s="2">
        <v>300000</v>
      </c>
      <c r="G17" s="2"/>
      <c r="H17" s="2"/>
    </row>
    <row r="18" spans="2:8" ht="12.75">
      <c r="B18" s="12" t="s">
        <v>59</v>
      </c>
      <c r="C18" s="15">
        <f t="shared" si="0"/>
        <v>0.05938372040052238</v>
      </c>
      <c r="D18" s="2">
        <f>Back!$F$153</f>
        <v>765125.85</v>
      </c>
      <c r="E18" s="15">
        <v>0.05393122427622011</v>
      </c>
      <c r="F18" s="2">
        <v>941375.85</v>
      </c>
      <c r="G18" s="2"/>
      <c r="H18" s="2"/>
    </row>
    <row r="19" spans="2:8" ht="12.75">
      <c r="B19" s="12" t="s">
        <v>60</v>
      </c>
      <c r="C19" s="15">
        <f t="shared" si="0"/>
        <v>0</v>
      </c>
      <c r="D19" s="2">
        <f>Back!$I$34</f>
        <v>0</v>
      </c>
      <c r="E19" s="15">
        <v>0.013737502805443655</v>
      </c>
      <c r="F19" s="2">
        <v>135000</v>
      </c>
      <c r="G19" s="2"/>
      <c r="H19" s="2"/>
    </row>
    <row r="20" spans="2:8" ht="12.75">
      <c r="B20" s="12" t="s">
        <v>308</v>
      </c>
      <c r="C20" s="15">
        <f>D20/D$7</f>
        <v>0</v>
      </c>
      <c r="D20" s="56">
        <f>'Cash Budget'!$R$32</f>
        <v>0</v>
      </c>
      <c r="E20" s="15">
        <v>0.010990002244354924</v>
      </c>
      <c r="F20" s="56">
        <v>150000</v>
      </c>
      <c r="G20" s="2"/>
      <c r="H20" s="56"/>
    </row>
    <row r="21" spans="2:8" ht="12.75">
      <c r="B21" s="12" t="s">
        <v>122</v>
      </c>
      <c r="C21" s="15">
        <f>D21/D$7</f>
        <v>0</v>
      </c>
      <c r="D21" s="2">
        <f>'Cash Budget'!$R$14</f>
        <v>0</v>
      </c>
      <c r="E21" s="15">
        <v>0.014529910714285712</v>
      </c>
      <c r="F21" s="2">
        <v>184643.27439444565</v>
      </c>
      <c r="G21" s="2"/>
      <c r="H21" s="2"/>
    </row>
    <row r="22" spans="2:8" ht="12.75">
      <c r="B22" s="12" t="s">
        <v>120</v>
      </c>
      <c r="C22" s="15">
        <f>D22/D$7</f>
        <v>0</v>
      </c>
      <c r="D22" s="2">
        <f>'Cash Budget'!$R$36</f>
        <v>0</v>
      </c>
      <c r="E22" s="15">
        <v>0.007749285714285715</v>
      </c>
      <c r="F22" s="2">
        <v>98476.41301037103</v>
      </c>
      <c r="G22" s="2"/>
      <c r="H22" s="2"/>
    </row>
    <row r="23" spans="2:8" ht="12.75">
      <c r="B23" s="12" t="s">
        <v>123</v>
      </c>
      <c r="C23" s="15">
        <f>D23/D$7</f>
        <v>0</v>
      </c>
      <c r="D23" s="2">
        <f>'Cash Budget'!$R$34</f>
        <v>0</v>
      </c>
      <c r="E23" s="15">
        <v>0.0004800000000000001</v>
      </c>
      <c r="F23" s="2">
        <v>6184.5301291828355</v>
      </c>
      <c r="G23" s="2"/>
      <c r="H23" s="2"/>
    </row>
    <row r="24" spans="2:8" ht="12.75">
      <c r="B24" s="12" t="s">
        <v>119</v>
      </c>
      <c r="C24" s="15">
        <f>D24/D$7</f>
        <v>0</v>
      </c>
      <c r="D24" s="2">
        <f>'Cash Budget'!$R$35</f>
        <v>0</v>
      </c>
      <c r="E24" s="15">
        <v>0.008000000000000002</v>
      </c>
      <c r="F24" s="2">
        <v>103075.50215304723</v>
      </c>
      <c r="G24" s="2"/>
      <c r="H24" s="2"/>
    </row>
    <row r="25" spans="2:6" ht="12.75">
      <c r="B25" s="12"/>
      <c r="C25" s="15"/>
      <c r="D25" s="14" t="s">
        <v>54</v>
      </c>
      <c r="E25" s="15"/>
      <c r="F25" s="14" t="s">
        <v>54</v>
      </c>
    </row>
    <row r="26" spans="2:8" ht="12.75">
      <c r="B26" s="11" t="s">
        <v>61</v>
      </c>
      <c r="C26" s="15">
        <f>D26/D$7</f>
        <v>0.05938372040052238</v>
      </c>
      <c r="D26" s="2">
        <f>SUM(D14:D24)</f>
        <v>765125.85</v>
      </c>
      <c r="E26" s="15">
        <v>0.2761125308768692</v>
      </c>
      <c r="F26" s="2">
        <v>3395571.835834901</v>
      </c>
      <c r="G26" s="2"/>
      <c r="H26" s="2"/>
    </row>
    <row r="27" spans="2:6" ht="12.75">
      <c r="B27" s="12"/>
      <c r="C27" s="15"/>
      <c r="D27" s="2"/>
      <c r="E27" s="15"/>
      <c r="F27" s="2"/>
    </row>
    <row r="28" spans="2:6" ht="12.75">
      <c r="B28" s="11" t="s">
        <v>62</v>
      </c>
      <c r="C28" s="15">
        <f>D28/D$7</f>
        <v>0.867731612932811</v>
      </c>
      <c r="D28" s="2">
        <f>D10-D26</f>
        <v>11180233.967140388</v>
      </c>
      <c r="E28" s="15">
        <v>0.05490190364694028</v>
      </c>
      <c r="F28" s="2">
        <v>767914.1200941047</v>
      </c>
    </row>
    <row r="29" spans="2:6" ht="12.75">
      <c r="B29" s="12"/>
      <c r="C29" s="15"/>
      <c r="D29" s="2"/>
      <c r="E29" s="15"/>
      <c r="F29" s="2"/>
    </row>
    <row r="30" spans="2:6" ht="12.75">
      <c r="B30" s="12" t="s">
        <v>63</v>
      </c>
      <c r="C30" s="15" t="e">
        <f>D30/D$7</f>
        <v>#DIV/0!</v>
      </c>
      <c r="D30" s="2" t="e">
        <f>'Cash Budget'!$S$40</f>
        <v>#DIV/0!</v>
      </c>
      <c r="E30" s="15">
        <v>0.028638887340215042</v>
      </c>
      <c r="F30" s="2">
        <v>387584.08941293263</v>
      </c>
    </row>
    <row r="31" spans="2:6" ht="12.75">
      <c r="B31" s="12" t="s">
        <v>64</v>
      </c>
      <c r="C31" s="15" t="e">
        <f>D31/D$7</f>
        <v>#DIV/0!</v>
      </c>
      <c r="D31" s="2" t="e">
        <f>'Cash Budget'!$R$15</f>
        <v>#DIV/0!</v>
      </c>
      <c r="E31" s="15">
        <v>2.408210455222562E-05</v>
      </c>
      <c r="F31" s="2">
        <v>209.0754765509582</v>
      </c>
    </row>
    <row r="32" spans="2:6" ht="12.75">
      <c r="B32" s="12"/>
      <c r="C32" s="15"/>
      <c r="D32" s="14" t="s">
        <v>54</v>
      </c>
      <c r="E32" s="15"/>
      <c r="F32" s="14" t="s">
        <v>54</v>
      </c>
    </row>
    <row r="33" spans="2:6" ht="12.75">
      <c r="B33" s="11" t="s">
        <v>65</v>
      </c>
      <c r="C33" s="15" t="e">
        <f>D33/D$7</f>
        <v>#DIV/0!</v>
      </c>
      <c r="D33" s="2" t="e">
        <f>D28-D30+D31</f>
        <v>#DIV/0!</v>
      </c>
      <c r="E33" s="15">
        <v>0.026287098411277462</v>
      </c>
      <c r="F33" s="2">
        <v>380539.106157723</v>
      </c>
    </row>
    <row r="34" spans="2:6" ht="12.75">
      <c r="B34" s="12" t="s">
        <v>66</v>
      </c>
      <c r="C34" s="15" t="e">
        <f>D34/D$7</f>
        <v>#DIV/0!</v>
      </c>
      <c r="D34" s="2" t="e">
        <f>D33*0.26</f>
        <v>#DIV/0!</v>
      </c>
      <c r="E34" s="15">
        <v>0.00683464558693214</v>
      </c>
      <c r="F34" s="2">
        <v>98940.16760100798</v>
      </c>
    </row>
    <row r="35" spans="2:6" ht="15">
      <c r="B35" s="13"/>
      <c r="C35" s="15"/>
      <c r="D35" s="14" t="s">
        <v>54</v>
      </c>
      <c r="E35" s="15"/>
      <c r="F35" s="14" t="s">
        <v>54</v>
      </c>
    </row>
    <row r="36" spans="2:6" ht="12.75">
      <c r="B36" s="12" t="s">
        <v>67</v>
      </c>
      <c r="C36" s="15" t="e">
        <f>D36/D$7</f>
        <v>#DIV/0!</v>
      </c>
      <c r="D36" s="2" t="e">
        <f>D33-D34</f>
        <v>#DIV/0!</v>
      </c>
      <c r="E36" s="15">
        <v>0.01945245282434532</v>
      </c>
      <c r="F36" s="2">
        <v>281598.93855671503</v>
      </c>
    </row>
    <row r="37" spans="2:6" ht="15">
      <c r="B37" s="13"/>
      <c r="C37" s="15"/>
      <c r="D37" s="14" t="s">
        <v>68</v>
      </c>
      <c r="E37" s="15"/>
      <c r="F37" s="14" t="s">
        <v>68</v>
      </c>
    </row>
    <row r="38" spans="2:6" ht="15">
      <c r="B38" s="13"/>
      <c r="C38" s="15"/>
      <c r="D38" s="14"/>
      <c r="E38" s="15"/>
      <c r="F38" s="14"/>
    </row>
    <row r="39" spans="2:6" ht="12.75">
      <c r="B39" s="12" t="s">
        <v>69</v>
      </c>
      <c r="C39" s="15"/>
      <c r="D39" s="2">
        <f>'Cash Budget'!$R$41</f>
        <v>0</v>
      </c>
      <c r="E39" s="15" t="s">
        <v>228</v>
      </c>
      <c r="F39" s="2">
        <f>200000*1.75</f>
        <v>350000</v>
      </c>
    </row>
    <row r="40" spans="2:6" ht="12.75">
      <c r="B40" s="12" t="s">
        <v>70</v>
      </c>
      <c r="C40" s="15"/>
      <c r="D40" s="30" t="e">
        <f>D36-D39</f>
        <v>#DIV/0!</v>
      </c>
      <c r="E40" s="15"/>
      <c r="F40" s="30">
        <v>37401.62531545086</v>
      </c>
    </row>
    <row r="41" spans="2:6" ht="12.75">
      <c r="B41" s="12" t="s">
        <v>71</v>
      </c>
      <c r="C41" s="15"/>
      <c r="D41" s="16">
        <f>Back!I44</f>
        <v>0</v>
      </c>
      <c r="E41" s="15"/>
      <c r="F41" s="16">
        <v>1.75</v>
      </c>
    </row>
    <row r="42" spans="2:6" ht="12.75">
      <c r="B42" s="12" t="s">
        <v>72</v>
      </c>
      <c r="C42" s="15"/>
      <c r="D42" s="16" t="e">
        <f>D36/(210000+Back!E43)</f>
        <v>#DIV/0!</v>
      </c>
      <c r="E42" s="15"/>
      <c r="F42" s="16">
        <f>F36/200000</f>
        <v>1.4079946927835751</v>
      </c>
    </row>
    <row r="43" spans="2:6" ht="15">
      <c r="B43" s="13"/>
      <c r="C43" s="15"/>
      <c r="D43" s="2"/>
      <c r="E43" s="15"/>
      <c r="F43" s="2"/>
    </row>
    <row r="45" ht="15">
      <c r="B45" s="83" t="s">
        <v>305</v>
      </c>
    </row>
    <row r="46" ht="15">
      <c r="B46" s="83"/>
    </row>
    <row r="47" spans="3:6" ht="15">
      <c r="C47" s="82"/>
      <c r="D47" s="86">
        <v>2018</v>
      </c>
      <c r="F47" s="86"/>
    </row>
    <row r="48" spans="3:6" ht="15">
      <c r="C48" s="82" t="s">
        <v>306</v>
      </c>
      <c r="D48" s="85" t="e">
        <f>(D50+D51-D52)/(D53+D54+D55)</f>
        <v>#DIV/0!</v>
      </c>
      <c r="F48" s="85"/>
    </row>
    <row r="49" spans="2:5" ht="15">
      <c r="B49" s="82"/>
      <c r="C49" s="82"/>
      <c r="D49" s="82"/>
      <c r="E49" s="82"/>
    </row>
    <row r="50" spans="2:6" ht="15">
      <c r="B50" s="82" t="s">
        <v>297</v>
      </c>
      <c r="C50" s="82" t="s">
        <v>62</v>
      </c>
      <c r="D50" s="84">
        <f>D28</f>
        <v>11180233.967140388</v>
      </c>
      <c r="E50" s="82"/>
      <c r="F50" s="84"/>
    </row>
    <row r="51" spans="2:6" ht="15">
      <c r="B51" s="82"/>
      <c r="C51" s="82" t="s">
        <v>298</v>
      </c>
      <c r="D51" s="84">
        <f>D18</f>
        <v>765125.85</v>
      </c>
      <c r="E51" s="82"/>
      <c r="F51" s="84"/>
    </row>
    <row r="52" spans="2:6" ht="15">
      <c r="B52" s="82"/>
      <c r="C52" s="82" t="s">
        <v>69</v>
      </c>
      <c r="D52" s="84">
        <f>D39</f>
        <v>0</v>
      </c>
      <c r="E52" s="82"/>
      <c r="F52" s="84"/>
    </row>
    <row r="53" spans="2:6" ht="15">
      <c r="B53" s="82"/>
      <c r="C53" s="82" t="s">
        <v>299</v>
      </c>
      <c r="D53" s="84" t="e">
        <f>Back!F107</f>
        <v>#DIV/0!</v>
      </c>
      <c r="E53" s="82"/>
      <c r="F53" s="84"/>
    </row>
    <row r="54" spans="2:6" ht="15">
      <c r="B54" s="82"/>
      <c r="C54" s="82" t="s">
        <v>205</v>
      </c>
      <c r="D54" s="84" t="e">
        <f>D30</f>
        <v>#DIV/0!</v>
      </c>
      <c r="E54" s="82"/>
      <c r="F54" s="84"/>
    </row>
    <row r="55" spans="2:6" ht="15">
      <c r="B55" s="82"/>
      <c r="C55" s="82" t="s">
        <v>300</v>
      </c>
      <c r="D55" s="84" t="e">
        <f>D34</f>
        <v>#DIV/0!</v>
      </c>
      <c r="E55" s="82"/>
      <c r="F55" s="84"/>
    </row>
    <row r="56" spans="2:5" ht="15">
      <c r="B56" s="82"/>
      <c r="C56" s="82"/>
      <c r="D56" s="82"/>
      <c r="E56" s="82"/>
    </row>
    <row r="59" spans="2:5" ht="15">
      <c r="B59" s="82"/>
      <c r="C59" s="82"/>
      <c r="D59" s="82"/>
      <c r="E59" s="82"/>
    </row>
    <row r="60" spans="2:5" ht="15">
      <c r="B60" s="83"/>
      <c r="C60" s="82"/>
      <c r="D60" s="82"/>
      <c r="E60" s="85"/>
    </row>
    <row r="61" spans="2:5" ht="15">
      <c r="B61" s="82"/>
      <c r="C61" s="82"/>
      <c r="D61" s="82"/>
      <c r="E61" s="82"/>
    </row>
    <row r="62" spans="2:5" ht="15">
      <c r="B62" s="82"/>
      <c r="C62" s="82"/>
      <c r="D62" s="84"/>
      <c r="E62" s="82"/>
    </row>
    <row r="63" spans="2:5" ht="15">
      <c r="B63" s="82"/>
      <c r="C63" s="82"/>
      <c r="D63" s="84"/>
      <c r="E63" s="82"/>
    </row>
    <row r="64" spans="2:5" ht="15">
      <c r="B64" s="82"/>
      <c r="C64" s="82"/>
      <c r="D64" s="84"/>
      <c r="E64" s="82"/>
    </row>
    <row r="65" spans="2:5" ht="15">
      <c r="B65" s="82"/>
      <c r="C65" s="82"/>
      <c r="D65" s="84"/>
      <c r="E65" s="82"/>
    </row>
    <row r="66" spans="2:5" ht="15">
      <c r="B66" s="82"/>
      <c r="C66" s="82"/>
      <c r="D66" s="84"/>
      <c r="E66" s="82"/>
    </row>
    <row r="67" spans="2:5" ht="15">
      <c r="B67" s="82"/>
      <c r="C67" s="82"/>
      <c r="D67" s="84"/>
      <c r="E67" s="82"/>
    </row>
    <row r="68" spans="2:5" ht="15">
      <c r="B68" s="82"/>
      <c r="C68" s="82"/>
      <c r="D68" s="82"/>
      <c r="E68" s="82"/>
    </row>
    <row r="70" spans="2:5" ht="15">
      <c r="B70" s="82"/>
      <c r="C70" s="82"/>
      <c r="D70" s="82"/>
      <c r="E70" s="82"/>
    </row>
    <row r="71" spans="2:5" ht="15">
      <c r="B71" s="83"/>
      <c r="C71" s="82"/>
      <c r="D71" s="82"/>
      <c r="E71" s="85"/>
    </row>
    <row r="72" spans="2:5" ht="15">
      <c r="B72" s="82"/>
      <c r="C72" s="82"/>
      <c r="D72" s="82"/>
      <c r="E72" s="82"/>
    </row>
    <row r="73" spans="2:5" ht="15">
      <c r="B73" s="82"/>
      <c r="C73" s="82"/>
      <c r="D73" s="84"/>
      <c r="E73" s="82"/>
    </row>
    <row r="74" spans="2:5" ht="15">
      <c r="B74" s="82"/>
      <c r="C74" s="82"/>
      <c r="D74" s="84"/>
      <c r="E74" s="82"/>
    </row>
    <row r="75" spans="2:5" ht="15">
      <c r="B75" s="82"/>
      <c r="C75" s="82"/>
      <c r="D75" s="84"/>
      <c r="E75" s="82"/>
    </row>
    <row r="76" spans="2:5" ht="15">
      <c r="B76" s="82"/>
      <c r="C76" s="82"/>
      <c r="D76" s="84"/>
      <c r="E76" s="82"/>
    </row>
    <row r="77" spans="2:5" ht="15">
      <c r="B77" s="82"/>
      <c r="C77" s="82"/>
      <c r="D77" s="84"/>
      <c r="E77" s="82"/>
    </row>
    <row r="78" spans="2:5" ht="15">
      <c r="B78" s="82"/>
      <c r="C78" s="82"/>
      <c r="D78" s="84"/>
      <c r="E78" s="82"/>
    </row>
    <row r="79" spans="2:5" ht="15">
      <c r="B79" s="82"/>
      <c r="C79" s="82"/>
      <c r="D79" s="82"/>
      <c r="E79" s="82"/>
    </row>
  </sheetData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4"/>
  <sheetViews>
    <sheetView workbookViewId="0" topLeftCell="A1">
      <selection activeCell="D3" sqref="D3"/>
    </sheetView>
  </sheetViews>
  <sheetFormatPr defaultColWidth="9.140625" defaultRowHeight="12.75"/>
  <cols>
    <col min="2" max="2" width="31.28125" style="0" customWidth="1"/>
    <col min="3" max="3" width="13.00390625" style="0" customWidth="1"/>
    <col min="4" max="4" width="13.28125" style="0" customWidth="1"/>
    <col min="11" max="11" width="27.7109375" style="0" customWidth="1"/>
  </cols>
  <sheetData>
    <row r="2" spans="2:8" ht="12.75">
      <c r="B2" s="11"/>
      <c r="C2" s="9"/>
      <c r="D2" s="9"/>
      <c r="E2" s="9"/>
      <c r="F2" s="9"/>
      <c r="G2" s="9"/>
      <c r="H2" s="9"/>
    </row>
    <row r="3" spans="2:8" ht="12.75">
      <c r="B3" s="11"/>
      <c r="C3" s="9"/>
      <c r="D3" s="9" t="s">
        <v>133</v>
      </c>
      <c r="E3" s="11" t="s">
        <v>312</v>
      </c>
      <c r="F3" s="9"/>
      <c r="G3" s="9"/>
      <c r="H3" s="9"/>
    </row>
    <row r="4" spans="2:17" ht="12.75">
      <c r="B4" s="9"/>
      <c r="C4" s="9" t="s">
        <v>225</v>
      </c>
      <c r="D4" s="9"/>
      <c r="F4" s="9"/>
      <c r="G4" s="9"/>
      <c r="H4" s="9"/>
      <c r="K4" s="9"/>
      <c r="L4" s="9"/>
      <c r="M4" s="9"/>
      <c r="N4" s="9"/>
      <c r="O4" s="9"/>
      <c r="P4" s="9"/>
      <c r="Q4" s="9"/>
    </row>
    <row r="5" spans="2:18" ht="12.75">
      <c r="B5" s="9" t="s">
        <v>97</v>
      </c>
      <c r="C5" s="9" t="s">
        <v>227</v>
      </c>
      <c r="D5" s="9">
        <v>2018</v>
      </c>
      <c r="E5" s="9">
        <v>2017</v>
      </c>
      <c r="F5" s="9">
        <v>2016</v>
      </c>
      <c r="G5" s="9">
        <v>2015</v>
      </c>
      <c r="H5" s="9">
        <v>2014</v>
      </c>
      <c r="I5" s="9">
        <v>2013</v>
      </c>
      <c r="J5" s="9"/>
      <c r="K5" s="9"/>
      <c r="L5" s="9"/>
      <c r="M5" s="9"/>
      <c r="N5" s="9"/>
      <c r="O5" s="9"/>
      <c r="P5" s="9"/>
      <c r="Q5" s="9"/>
      <c r="R5" s="9"/>
    </row>
    <row r="6" spans="2:18" ht="12.75">
      <c r="B6" s="10" t="s">
        <v>98</v>
      </c>
      <c r="C6" s="10" t="s">
        <v>99</v>
      </c>
      <c r="D6" s="10" t="s">
        <v>99</v>
      </c>
      <c r="E6" s="10" t="s">
        <v>99</v>
      </c>
      <c r="F6" s="10" t="s">
        <v>99</v>
      </c>
      <c r="G6" s="10" t="s">
        <v>99</v>
      </c>
      <c r="H6" s="10" t="s">
        <v>99</v>
      </c>
      <c r="I6" s="10" t="s">
        <v>99</v>
      </c>
      <c r="J6" s="10"/>
      <c r="K6" s="10"/>
      <c r="L6" s="10"/>
      <c r="M6" s="10"/>
      <c r="N6" s="10"/>
      <c r="O6" s="10"/>
      <c r="P6" s="10"/>
      <c r="Q6" s="10"/>
      <c r="R6" s="10"/>
    </row>
    <row r="7" spans="2:18" ht="12.75">
      <c r="B7" s="12" t="s">
        <v>100</v>
      </c>
      <c r="C7" s="27">
        <v>1.9</v>
      </c>
      <c r="D7" s="27" t="e">
        <f>D27</f>
        <v>#DIV/0!</v>
      </c>
      <c r="E7" s="27">
        <v>2.198789209534789</v>
      </c>
      <c r="F7" s="27">
        <v>2.3654719961854136</v>
      </c>
      <c r="G7" s="27">
        <v>2.7182455461583848</v>
      </c>
      <c r="H7" s="27">
        <v>2.5266727837057763</v>
      </c>
      <c r="I7" s="27">
        <v>2.489086274374948</v>
      </c>
      <c r="J7" s="27"/>
      <c r="K7" s="12"/>
      <c r="L7" s="27"/>
      <c r="M7" s="27"/>
      <c r="N7" s="27"/>
      <c r="O7" s="27"/>
      <c r="P7" s="27"/>
      <c r="Q7" s="27"/>
      <c r="R7" s="27"/>
    </row>
    <row r="8" spans="2:18" ht="12.75">
      <c r="B8" s="12" t="s">
        <v>101</v>
      </c>
      <c r="C8" s="27">
        <v>0.92</v>
      </c>
      <c r="D8" s="27" t="e">
        <f>D31</f>
        <v>#DIV/0!</v>
      </c>
      <c r="E8" s="27">
        <v>1.1961050278703005</v>
      </c>
      <c r="F8" s="27">
        <v>1.313011677777797</v>
      </c>
      <c r="G8" s="27">
        <v>1.586604207760982</v>
      </c>
      <c r="H8" s="27">
        <v>1.2392842355547746</v>
      </c>
      <c r="I8" s="27">
        <v>1.1445533779492618</v>
      </c>
      <c r="J8" s="27"/>
      <c r="K8" s="12"/>
      <c r="L8" s="27"/>
      <c r="M8" s="27"/>
      <c r="N8" s="27"/>
      <c r="O8" s="27"/>
      <c r="P8" s="27"/>
      <c r="Q8" s="27"/>
      <c r="R8" s="27"/>
    </row>
    <row r="9" spans="2:18" ht="12.75">
      <c r="B9" s="12" t="s">
        <v>102</v>
      </c>
      <c r="C9" s="27">
        <v>12.45</v>
      </c>
      <c r="D9" s="27">
        <f>D36</f>
        <v>13.030511449342432</v>
      </c>
      <c r="E9" s="27">
        <v>13.030511449342432</v>
      </c>
      <c r="F9" s="27">
        <v>13.489507461133822</v>
      </c>
      <c r="G9" s="27">
        <v>13.87395626971052</v>
      </c>
      <c r="H9" s="27">
        <v>14.369093966243499</v>
      </c>
      <c r="I9" s="27">
        <v>14.712809962704801</v>
      </c>
      <c r="J9" s="27"/>
      <c r="K9" s="12"/>
      <c r="L9" s="27"/>
      <c r="M9" s="27"/>
      <c r="N9" s="27"/>
      <c r="O9" s="27"/>
      <c r="P9" s="27"/>
      <c r="Q9" s="27"/>
      <c r="R9" s="27"/>
    </row>
    <row r="10" spans="2:18" ht="12.75">
      <c r="B10" s="12" t="s">
        <v>103</v>
      </c>
      <c r="C10" s="15">
        <v>0.722</v>
      </c>
      <c r="D10" s="15">
        <f>D40</f>
        <v>0.07288466666666665</v>
      </c>
      <c r="E10" s="15">
        <v>0.6768593220338984</v>
      </c>
      <c r="F10" s="15">
        <v>0.6689855654761905</v>
      </c>
      <c r="G10" s="15">
        <v>0.6744750000000003</v>
      </c>
      <c r="H10" s="15">
        <v>0.6642293209876543</v>
      </c>
      <c r="I10" s="15">
        <v>0.6801512631975868</v>
      </c>
      <c r="J10" s="15"/>
      <c r="K10" s="12"/>
      <c r="L10" s="15"/>
      <c r="M10" s="15"/>
      <c r="N10" s="15"/>
      <c r="O10" s="15"/>
      <c r="P10" s="15"/>
      <c r="Q10" s="15"/>
      <c r="R10" s="15"/>
    </row>
    <row r="11" spans="2:18" ht="12.75">
      <c r="B11" s="12" t="s">
        <v>104</v>
      </c>
      <c r="C11" s="27">
        <v>5.28</v>
      </c>
      <c r="D11" s="27">
        <f>D44</f>
        <v>2.9721023837210465</v>
      </c>
      <c r="E11" s="27">
        <v>6.948732199448703</v>
      </c>
      <c r="F11" s="27">
        <v>6.8183316211309215</v>
      </c>
      <c r="G11" s="27">
        <v>7.556972850519756</v>
      </c>
      <c r="H11" s="27">
        <v>5.670384813198635</v>
      </c>
      <c r="I11" s="27">
        <v>5.397251811407182</v>
      </c>
      <c r="J11" s="27"/>
      <c r="K11" s="12"/>
      <c r="L11" s="27"/>
      <c r="M11" s="27"/>
      <c r="N11" s="27"/>
      <c r="O11" s="27"/>
      <c r="P11" s="27"/>
      <c r="Q11" s="27"/>
      <c r="R11" s="27"/>
    </row>
    <row r="12" spans="2:18" ht="12.75">
      <c r="B12" s="12" t="s">
        <v>105</v>
      </c>
      <c r="C12" s="27">
        <v>8</v>
      </c>
      <c r="D12" s="27">
        <f>D48</f>
        <v>3.7674027402370998</v>
      </c>
      <c r="E12" s="27">
        <v>10.336234328136094</v>
      </c>
      <c r="F12" s="27">
        <v>10.041747259094269</v>
      </c>
      <c r="G12" s="27">
        <v>10.82372250518608</v>
      </c>
      <c r="H12" s="27">
        <v>9.37820457365168</v>
      </c>
      <c r="I12" s="27">
        <v>8.922055964190191</v>
      </c>
      <c r="J12" s="27"/>
      <c r="K12" s="12"/>
      <c r="L12" s="27"/>
      <c r="M12" s="27"/>
      <c r="N12" s="27"/>
      <c r="O12" s="27"/>
      <c r="P12" s="27"/>
      <c r="Q12" s="27"/>
      <c r="R12" s="27"/>
    </row>
    <row r="13" spans="2:18" ht="12.75">
      <c r="B13" s="12" t="s">
        <v>106</v>
      </c>
      <c r="C13" s="27">
        <v>8.86</v>
      </c>
      <c r="D13" s="27" t="e">
        <f>D52</f>
        <v>#DIV/0!</v>
      </c>
      <c r="E13" s="27">
        <v>8.586743664620727</v>
      </c>
      <c r="F13" s="27">
        <v>7.855689426397306</v>
      </c>
      <c r="G13" s="27">
        <v>7.379137144504533</v>
      </c>
      <c r="H13" s="27">
        <v>7.198767846481333</v>
      </c>
      <c r="I13" s="27">
        <v>7.165042053361596</v>
      </c>
      <c r="J13" s="27"/>
      <c r="K13" s="12"/>
      <c r="L13" s="27"/>
      <c r="M13" s="27"/>
      <c r="N13" s="27"/>
      <c r="O13" s="27"/>
      <c r="P13" s="27"/>
      <c r="Q13" s="27"/>
      <c r="R13" s="27"/>
    </row>
    <row r="14" spans="2:18" ht="12.75">
      <c r="B14" s="12" t="s">
        <v>107</v>
      </c>
      <c r="C14" s="27">
        <v>2.31</v>
      </c>
      <c r="D14" s="27" t="e">
        <f>D56</f>
        <v>#DIV/0!</v>
      </c>
      <c r="E14" s="27">
        <v>1.9812839099181079</v>
      </c>
      <c r="F14" s="27">
        <v>1.917040386197072</v>
      </c>
      <c r="G14" s="27">
        <v>1.8282275578313154</v>
      </c>
      <c r="H14" s="27">
        <v>1.5786407318742224</v>
      </c>
      <c r="I14" s="27">
        <v>1.9250750929383542</v>
      </c>
      <c r="J14" s="27"/>
      <c r="K14" s="12"/>
      <c r="L14" s="27"/>
      <c r="M14" s="27"/>
      <c r="N14" s="27"/>
      <c r="O14" s="27"/>
      <c r="P14" s="27"/>
      <c r="Q14" s="27"/>
      <c r="R14" s="27"/>
    </row>
    <row r="15" spans="2:18" ht="12.75">
      <c r="B15" s="12" t="s">
        <v>108</v>
      </c>
      <c r="C15" s="27">
        <v>1.46</v>
      </c>
      <c r="D15" s="27" t="e">
        <f>D60</f>
        <v>#DIV/0!</v>
      </c>
      <c r="E15" s="27">
        <v>2.683966606173818</v>
      </c>
      <c r="F15" s="27">
        <v>3.4326056925134143</v>
      </c>
      <c r="G15" s="27">
        <v>2.9528583066310135</v>
      </c>
      <c r="H15" s="27">
        <v>2.104281445974581</v>
      </c>
      <c r="I15" s="27">
        <v>1.6712898331828439</v>
      </c>
      <c r="J15" s="27"/>
      <c r="K15" s="12"/>
      <c r="L15" s="27"/>
      <c r="M15" s="27"/>
      <c r="N15" s="27"/>
      <c r="O15" s="27"/>
      <c r="P15" s="27"/>
      <c r="Q15" s="27"/>
      <c r="R15" s="27"/>
    </row>
    <row r="16" spans="2:18" ht="12.75">
      <c r="B16" s="12" t="s">
        <v>109</v>
      </c>
      <c r="C16" s="27">
        <v>2.23</v>
      </c>
      <c r="D16" s="27" t="e">
        <f>D64</f>
        <v>#DIV/0!</v>
      </c>
      <c r="E16" s="27">
        <v>3.1134977959641366</v>
      </c>
      <c r="F16" s="27">
        <v>4.739801346950799</v>
      </c>
      <c r="G16" s="27">
        <v>4.029987202095509</v>
      </c>
      <c r="H16" s="27">
        <v>3.2029411690698186</v>
      </c>
      <c r="I16" s="27">
        <v>2.5233852220025126</v>
      </c>
      <c r="J16" s="27"/>
      <c r="K16" s="12"/>
      <c r="L16" s="27"/>
      <c r="M16" s="27"/>
      <c r="N16" s="27"/>
      <c r="O16" s="27"/>
      <c r="P16" s="27"/>
      <c r="Q16" s="27"/>
      <c r="R16" s="27"/>
    </row>
    <row r="17" spans="2:18" ht="12.75">
      <c r="B17" s="12" t="s">
        <v>124</v>
      </c>
      <c r="C17" s="15">
        <v>0.0372</v>
      </c>
      <c r="D17" s="15" t="e">
        <f>D68</f>
        <v>#DIV/0!</v>
      </c>
      <c r="E17" s="15">
        <v>0.03555786121016635</v>
      </c>
      <c r="F17" s="15">
        <v>0.03545775395677845</v>
      </c>
      <c r="G17" s="15">
        <v>0.034318039175135574</v>
      </c>
      <c r="H17" s="15">
        <v>0.025941166125792</v>
      </c>
      <c r="I17" s="15">
        <v>0.03715770072586839</v>
      </c>
      <c r="J17" s="15"/>
      <c r="K17" s="12"/>
      <c r="L17" s="15"/>
      <c r="M17" s="15"/>
      <c r="N17" s="15"/>
      <c r="O17" s="15"/>
      <c r="P17" s="15"/>
      <c r="Q17" s="15"/>
      <c r="R17" s="15"/>
    </row>
    <row r="18" spans="2:18" ht="12.75">
      <c r="B18" s="12" t="s">
        <v>125</v>
      </c>
      <c r="C18" s="15">
        <v>0.12</v>
      </c>
      <c r="D18" s="15" t="e">
        <f>D72</f>
        <v>#DIV/0!</v>
      </c>
      <c r="E18" s="15">
        <v>0.14626718371721797</v>
      </c>
      <c r="F18" s="15">
        <v>0.20352046392096695</v>
      </c>
      <c r="G18" s="15">
        <v>0.17261929785194427</v>
      </c>
      <c r="H18" s="15">
        <v>0.1090291950837706</v>
      </c>
      <c r="I18" s="15">
        <v>0.1309208936211167</v>
      </c>
      <c r="J18" s="15"/>
      <c r="K18" s="12"/>
      <c r="L18" s="15"/>
      <c r="M18" s="15"/>
      <c r="N18" s="15"/>
      <c r="O18" s="15"/>
      <c r="P18" s="15"/>
      <c r="Q18" s="15"/>
      <c r="R18" s="15"/>
    </row>
    <row r="19" spans="2:18" ht="12.75">
      <c r="B19" s="12" t="s">
        <v>110</v>
      </c>
      <c r="C19" s="27">
        <v>5.08</v>
      </c>
      <c r="D19" s="27">
        <f>D76</f>
        <v>2.9268545028556825</v>
      </c>
      <c r="E19" s="27">
        <v>2.4934705897610208</v>
      </c>
      <c r="F19" s="27">
        <v>3.047963730812866</v>
      </c>
      <c r="G19" s="27">
        <v>3.281126382054416</v>
      </c>
      <c r="H19" s="27">
        <v>4.338037747974758</v>
      </c>
      <c r="I19" s="27">
        <v>4.7501817623740985</v>
      </c>
      <c r="J19" s="27"/>
      <c r="K19" s="12"/>
      <c r="L19" s="27"/>
      <c r="M19" s="27"/>
      <c r="N19" s="27"/>
      <c r="O19" s="27"/>
      <c r="P19" s="27"/>
      <c r="Q19" s="27"/>
      <c r="R19" s="27"/>
    </row>
    <row r="20" spans="2:18" ht="12.75">
      <c r="B20" s="12" t="s">
        <v>111</v>
      </c>
      <c r="C20" s="27">
        <v>2.3</v>
      </c>
      <c r="D20" s="27" t="e">
        <f>D80</f>
        <v>#DIV/0!</v>
      </c>
      <c r="E20" s="27">
        <v>1.6269345769338206</v>
      </c>
      <c r="F20" s="27">
        <v>1.822790898246108</v>
      </c>
      <c r="G20" s="27">
        <v>1.9261880603432153</v>
      </c>
      <c r="H20" s="27">
        <v>2.1719200859099623</v>
      </c>
      <c r="I20" s="27">
        <v>2.2532110413729645</v>
      </c>
      <c r="J20" s="27"/>
      <c r="K20" s="12"/>
      <c r="L20" s="27"/>
      <c r="M20" s="27"/>
      <c r="N20" s="27"/>
      <c r="O20" s="27"/>
      <c r="P20" s="27"/>
      <c r="Q20" s="27"/>
      <c r="R20" s="27"/>
    </row>
    <row r="21" spans="2:18" ht="12.75">
      <c r="B21" s="12" t="s">
        <v>112</v>
      </c>
      <c r="C21" s="15">
        <v>0.042</v>
      </c>
      <c r="D21" s="15">
        <f>D84</f>
        <v>0.05938372040052238</v>
      </c>
      <c r="E21" s="15">
        <v>0.05938372040052238</v>
      </c>
      <c r="F21" s="15">
        <v>0.05393122427622011</v>
      </c>
      <c r="G21" s="15">
        <v>0.051171369304108386</v>
      </c>
      <c r="H21" s="15">
        <v>0.04323296621418456</v>
      </c>
      <c r="I21" s="15">
        <v>0.04030656606738053</v>
      </c>
      <c r="J21" s="15"/>
      <c r="K21" s="12"/>
      <c r="L21" s="15"/>
      <c r="M21" s="15"/>
      <c r="N21" s="15"/>
      <c r="O21" s="15"/>
      <c r="P21" s="15"/>
      <c r="Q21" s="15"/>
      <c r="R21" s="15"/>
    </row>
    <row r="22" spans="2:18" ht="12.75">
      <c r="B22" s="12" t="s">
        <v>113</v>
      </c>
      <c r="C22" s="15">
        <v>0.053</v>
      </c>
      <c r="D22" s="15">
        <f>D88</f>
        <v>0</v>
      </c>
      <c r="E22" s="15">
        <v>0.04812006632415292</v>
      </c>
      <c r="F22" s="15">
        <v>0.05586584474213753</v>
      </c>
      <c r="G22" s="15">
        <v>0.05590247808295206</v>
      </c>
      <c r="H22" s="15">
        <v>0.05708207165717946</v>
      </c>
      <c r="I22" s="15">
        <v>0.05725690588808373</v>
      </c>
      <c r="J22" s="15"/>
      <c r="K22" s="12"/>
      <c r="L22" s="15"/>
      <c r="M22" s="15"/>
      <c r="N22" s="15"/>
      <c r="O22" s="15"/>
      <c r="P22" s="15"/>
      <c r="Q22" s="15"/>
      <c r="R22" s="15"/>
    </row>
    <row r="23" spans="2:18" ht="12.75">
      <c r="B23" s="12" t="s">
        <v>143</v>
      </c>
      <c r="C23" s="15">
        <v>0.0162</v>
      </c>
      <c r="D23" s="15" t="e">
        <f>D92</f>
        <v>#DIV/0!</v>
      </c>
      <c r="E23" s="15">
        <v>0.021855741290580953</v>
      </c>
      <c r="F23" s="15">
        <v>0.01945245282434532</v>
      </c>
      <c r="G23" s="15">
        <v>0.017816556898925362</v>
      </c>
      <c r="H23" s="15">
        <v>0.011943886100635933</v>
      </c>
      <c r="I23" s="15">
        <v>0.016490998864991727</v>
      </c>
      <c r="J23" s="15"/>
      <c r="K23" s="12"/>
      <c r="L23" s="15"/>
      <c r="M23" s="15"/>
      <c r="N23" s="15"/>
      <c r="O23" s="15"/>
      <c r="P23" s="15"/>
      <c r="Q23" s="15"/>
      <c r="R23" s="15"/>
    </row>
    <row r="24" ht="12.75">
      <c r="B24" s="12"/>
    </row>
    <row r="25" ht="12.75">
      <c r="B25" s="12"/>
    </row>
    <row r="27" spans="2:5" ht="12.75">
      <c r="B27" s="12" t="s">
        <v>100</v>
      </c>
      <c r="D27" s="27" t="e">
        <f>C28/C29</f>
        <v>#DIV/0!</v>
      </c>
      <c r="E27" s="2"/>
    </row>
    <row r="28" spans="2:5" ht="12.75">
      <c r="B28" s="24" t="s">
        <v>126</v>
      </c>
      <c r="C28" s="2" t="e">
        <f>'Balance Sheet'!$D$13</f>
        <v>#DIV/0!</v>
      </c>
      <c r="E28" s="2"/>
    </row>
    <row r="29" spans="2:3" ht="12.75">
      <c r="B29" s="24" t="s">
        <v>127</v>
      </c>
      <c r="C29" s="2" t="e">
        <f>'Balance Sheet'!$D$30</f>
        <v>#DIV/0!</v>
      </c>
    </row>
    <row r="30" ht="12.75">
      <c r="B30" s="12"/>
    </row>
    <row r="31" spans="2:4" ht="12.75">
      <c r="B31" s="12" t="s">
        <v>128</v>
      </c>
      <c r="D31" s="31" t="e">
        <f>(C32-C33)/C34</f>
        <v>#DIV/0!</v>
      </c>
    </row>
    <row r="32" spans="2:3" ht="12.75">
      <c r="B32" s="24" t="s">
        <v>126</v>
      </c>
      <c r="C32" s="14" t="e">
        <f>'Balance Sheet'!$D$13</f>
        <v>#DIV/0!</v>
      </c>
    </row>
    <row r="33" spans="2:3" ht="12.75">
      <c r="B33" s="24" t="s">
        <v>78</v>
      </c>
      <c r="C33" s="2">
        <f>'Balance Sheet'!$D$11</f>
        <v>315964.2000000009</v>
      </c>
    </row>
    <row r="34" spans="2:3" ht="12.75">
      <c r="B34" s="24" t="s">
        <v>127</v>
      </c>
      <c r="C34" s="2" t="e">
        <f>C29</f>
        <v>#DIV/0!</v>
      </c>
    </row>
    <row r="35" ht="12.75">
      <c r="B35" s="12"/>
    </row>
    <row r="36" spans="2:4" ht="12.75">
      <c r="B36" s="12" t="s">
        <v>102</v>
      </c>
      <c r="D36" s="32">
        <f>C37/C38</f>
        <v>13.030511449342432</v>
      </c>
    </row>
    <row r="37" spans="2:3" ht="12.75">
      <c r="B37" s="24" t="s">
        <v>129</v>
      </c>
      <c r="C37" s="2">
        <f>'Income Statement'!$D$7</f>
        <v>12884437.769130904</v>
      </c>
    </row>
    <row r="38" spans="2:3" ht="12.75">
      <c r="B38" s="24" t="s">
        <v>77</v>
      </c>
      <c r="C38" s="2">
        <f>'Balance Sheet'!$D$10</f>
        <v>988789.8736147537</v>
      </c>
    </row>
    <row r="39" ht="12.75">
      <c r="B39" s="12"/>
    </row>
    <row r="40" spans="2:4" ht="12.75">
      <c r="B40" s="12" t="s">
        <v>130</v>
      </c>
      <c r="D40" s="15">
        <f>+C41/C42</f>
        <v>0.07288466666666665</v>
      </c>
    </row>
    <row r="41" spans="2:3" ht="12.75">
      <c r="B41" s="24" t="s">
        <v>131</v>
      </c>
      <c r="C41" s="2">
        <f>'Income Statement'!$D$8</f>
        <v>939077.9519905162</v>
      </c>
    </row>
    <row r="42" spans="2:3" ht="12.75">
      <c r="B42" s="24" t="s">
        <v>1</v>
      </c>
      <c r="C42" s="2">
        <f>'Income Statement'!$D$7</f>
        <v>12884437.769130904</v>
      </c>
    </row>
    <row r="43" ht="12.75">
      <c r="B43" s="12"/>
    </row>
    <row r="44" spans="2:4" ht="12.75">
      <c r="B44" s="12" t="s">
        <v>132</v>
      </c>
      <c r="D44" s="27">
        <f>C45/C46</f>
        <v>2.9721023837210465</v>
      </c>
    </row>
    <row r="45" spans="2:3" ht="12.75">
      <c r="B45" s="24" t="s">
        <v>131</v>
      </c>
      <c r="C45" s="2">
        <f>'Income Statement'!$D$8</f>
        <v>939077.9519905162</v>
      </c>
    </row>
    <row r="46" spans="2:3" ht="12.75">
      <c r="B46" s="24" t="s">
        <v>78</v>
      </c>
      <c r="C46" s="2">
        <f>'Balance Sheet'!$D$11</f>
        <v>315964.2000000009</v>
      </c>
    </row>
    <row r="48" spans="2:4" ht="12.75">
      <c r="B48" s="12" t="s">
        <v>105</v>
      </c>
      <c r="D48" s="27">
        <f>C49/C50</f>
        <v>3.7674027402370998</v>
      </c>
    </row>
    <row r="49" spans="2:3" ht="12.75">
      <c r="B49" s="33" t="s">
        <v>55</v>
      </c>
      <c r="C49" s="2">
        <f>'Income Statement'!$D$8</f>
        <v>939077.9519905162</v>
      </c>
    </row>
    <row r="50" spans="2:3" ht="12.75">
      <c r="B50" s="33" t="s">
        <v>26</v>
      </c>
      <c r="C50" s="2">
        <f>'Balance Sheet'!$D$27</f>
        <v>249264.02000000025</v>
      </c>
    </row>
    <row r="51" ht="12.75">
      <c r="B51" t="s">
        <v>133</v>
      </c>
    </row>
    <row r="52" spans="2:4" ht="12.75">
      <c r="B52" t="s">
        <v>106</v>
      </c>
      <c r="D52" s="27" t="e">
        <f>C53/C54</f>
        <v>#DIV/0!</v>
      </c>
    </row>
    <row r="53" spans="2:3" ht="12.75">
      <c r="B53" s="33" t="s">
        <v>1</v>
      </c>
      <c r="C53" s="2">
        <f>'Income Statement'!$D$7</f>
        <v>12884437.769130904</v>
      </c>
    </row>
    <row r="54" spans="2:3" ht="12.75">
      <c r="B54" s="33" t="s">
        <v>134</v>
      </c>
      <c r="C54" s="2" t="e">
        <f>'Balance Sheet'!$D$13-'Balance Sheet'!$D$30</f>
        <v>#DIV/0!</v>
      </c>
    </row>
    <row r="56" spans="2:4" ht="12.75">
      <c r="B56" t="s">
        <v>107</v>
      </c>
      <c r="D56" s="27" t="e">
        <f>C57/C58</f>
        <v>#DIV/0!</v>
      </c>
    </row>
    <row r="57" spans="2:3" ht="12.75">
      <c r="B57" s="33" t="s">
        <v>135</v>
      </c>
      <c r="C57" s="2">
        <f>'Income Statement'!$D$28</f>
        <v>11180233.967140388</v>
      </c>
    </row>
    <row r="58" spans="2:3" ht="12.75">
      <c r="B58" s="33" t="s">
        <v>63</v>
      </c>
      <c r="C58" s="2" t="e">
        <f>'Income Statement'!$D$30</f>
        <v>#DIV/0!</v>
      </c>
    </row>
    <row r="60" spans="2:4" ht="12.75">
      <c r="B60" t="s">
        <v>108</v>
      </c>
      <c r="D60" s="27" t="e">
        <f>C61/C62</f>
        <v>#DIV/0!</v>
      </c>
    </row>
    <row r="61" spans="2:3" ht="12.75">
      <c r="B61" s="33" t="s">
        <v>136</v>
      </c>
      <c r="C61" s="2">
        <f>'Balance Sheet'!$D$17</f>
        <v>4402144.95</v>
      </c>
    </row>
    <row r="62" spans="2:3" ht="12.75">
      <c r="B62" s="33" t="s">
        <v>137</v>
      </c>
      <c r="C62" s="2" t="e">
        <f>'Balance Sheet'!$D$39</f>
        <v>#DIV/0!</v>
      </c>
    </row>
    <row r="64" spans="2:4" ht="12.75">
      <c r="B64" t="s">
        <v>109</v>
      </c>
      <c r="D64" s="27" t="e">
        <f>C65/C66</f>
        <v>#DIV/0!</v>
      </c>
    </row>
    <row r="65" spans="2:3" ht="12.75">
      <c r="B65" s="33" t="s">
        <v>138</v>
      </c>
      <c r="C65" s="2" t="e">
        <f>'Balance Sheet'!$D$30+'Balance Sheet'!$D$32</f>
        <v>#DIV/0!</v>
      </c>
    </row>
    <row r="66" spans="2:3" ht="12.75">
      <c r="B66" s="33" t="s">
        <v>137</v>
      </c>
      <c r="C66" s="2" t="e">
        <f>'Balance Sheet'!$D$39</f>
        <v>#DIV/0!</v>
      </c>
    </row>
    <row r="68" spans="2:4" ht="12.75">
      <c r="B68" t="s">
        <v>124</v>
      </c>
      <c r="D68" s="15" t="e">
        <f>C69/C70</f>
        <v>#DIV/0!</v>
      </c>
    </row>
    <row r="69" spans="2:3" ht="12.75">
      <c r="B69" s="33" t="s">
        <v>139</v>
      </c>
      <c r="C69" s="2" t="e">
        <f>'Income Statement'!$D$36</f>
        <v>#DIV/0!</v>
      </c>
    </row>
    <row r="70" spans="2:3" ht="12.75">
      <c r="B70" s="33" t="s">
        <v>82</v>
      </c>
      <c r="C70" s="2" t="e">
        <f>'Balance Sheet'!$D$41</f>
        <v>#DIV/0!</v>
      </c>
    </row>
    <row r="72" spans="2:4" ht="12.75">
      <c r="B72" t="s">
        <v>125</v>
      </c>
      <c r="D72" s="15" t="e">
        <f>C73/C74</f>
        <v>#DIV/0!</v>
      </c>
    </row>
    <row r="73" spans="2:3" ht="12.75">
      <c r="B73" s="33" t="s">
        <v>139</v>
      </c>
      <c r="C73" s="2" t="e">
        <f>'Income Statement'!$D$36</f>
        <v>#DIV/0!</v>
      </c>
    </row>
    <row r="74" spans="2:3" ht="12.75">
      <c r="B74" s="33" t="s">
        <v>90</v>
      </c>
      <c r="C74" s="2" t="e">
        <f>'Balance Sheet'!$D$39</f>
        <v>#DIV/0!</v>
      </c>
    </row>
    <row r="76" spans="2:4" ht="12.75">
      <c r="B76" t="s">
        <v>110</v>
      </c>
      <c r="D76" s="27">
        <f>C77/C78</f>
        <v>2.9268545028556825</v>
      </c>
    </row>
    <row r="77" spans="2:3" ht="12.75">
      <c r="B77" s="33" t="s">
        <v>129</v>
      </c>
      <c r="C77" s="2">
        <f>'Income Statement'!$D$7</f>
        <v>12884437.769130904</v>
      </c>
    </row>
    <row r="78" spans="2:3" ht="12.75">
      <c r="B78" s="33" t="s">
        <v>81</v>
      </c>
      <c r="C78" s="2">
        <f>'Balance Sheet'!$D$17</f>
        <v>4402144.95</v>
      </c>
    </row>
    <row r="80" spans="2:4" ht="12.75">
      <c r="B80" t="s">
        <v>111</v>
      </c>
      <c r="D80" s="27" t="e">
        <f>C81/C82</f>
        <v>#DIV/0!</v>
      </c>
    </row>
    <row r="81" spans="2:3" ht="12.75">
      <c r="B81" s="33" t="s">
        <v>1</v>
      </c>
      <c r="C81" s="2">
        <f>'Income Statement'!$D$7</f>
        <v>12884437.769130904</v>
      </c>
    </row>
    <row r="82" spans="2:3" ht="12.75">
      <c r="B82" s="33" t="s">
        <v>82</v>
      </c>
      <c r="C82" s="2" t="e">
        <f>'Balance Sheet'!$D$41</f>
        <v>#DIV/0!</v>
      </c>
    </row>
    <row r="84" spans="2:4" ht="12.75">
      <c r="B84" t="s">
        <v>140</v>
      </c>
      <c r="D84" s="15">
        <f>C85/C86</f>
        <v>0.05938372040052238</v>
      </c>
    </row>
    <row r="85" spans="2:3" ht="12.75">
      <c r="B85" s="33" t="s">
        <v>141</v>
      </c>
      <c r="C85" s="2">
        <f>'Income Statement'!$D$18</f>
        <v>765125.85</v>
      </c>
    </row>
    <row r="86" spans="2:3" ht="12.75">
      <c r="B86" s="33" t="s">
        <v>1</v>
      </c>
      <c r="C86" s="2">
        <f>'Income Statement'!$D$7</f>
        <v>12884437.769130904</v>
      </c>
    </row>
    <row r="88" spans="2:4" ht="12.75">
      <c r="B88" t="s">
        <v>142</v>
      </c>
      <c r="D88" s="15">
        <f>C89/C90</f>
        <v>0</v>
      </c>
    </row>
    <row r="89" spans="2:3" ht="12.75">
      <c r="B89" s="33" t="s">
        <v>29</v>
      </c>
      <c r="C89" s="2">
        <f>'Income Statement'!$D$14</f>
        <v>0</v>
      </c>
    </row>
    <row r="90" spans="2:3" ht="12.75">
      <c r="B90" s="33" t="s">
        <v>1</v>
      </c>
      <c r="C90" s="2">
        <f>'Income Statement'!$D$7</f>
        <v>12884437.769130904</v>
      </c>
    </row>
    <row r="92" spans="2:4" ht="12.75">
      <c r="B92" t="s">
        <v>143</v>
      </c>
      <c r="D92" s="15" t="e">
        <f>C93/C94</f>
        <v>#DIV/0!</v>
      </c>
    </row>
    <row r="93" spans="2:3" ht="12.75">
      <c r="B93" s="33" t="s">
        <v>144</v>
      </c>
      <c r="C93" s="2" t="e">
        <f>'Income Statement'!$D$36</f>
        <v>#DIV/0!</v>
      </c>
    </row>
    <row r="94" spans="2:3" ht="12.75">
      <c r="B94" s="33" t="s">
        <v>1</v>
      </c>
      <c r="C94" s="2">
        <f>'Income Statement'!$D$7</f>
        <v>12884437.769130904</v>
      </c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3.7109375" style="0" customWidth="1"/>
    <col min="6" max="6" width="24.7109375" style="0" customWidth="1"/>
    <col min="7" max="7" width="10.7109375" style="0" customWidth="1"/>
    <col min="8" max="8" width="2.7109375" style="0" customWidth="1"/>
    <col min="9" max="9" width="10.7109375" style="0" customWidth="1"/>
  </cols>
  <sheetData>
    <row r="2" ht="12.75">
      <c r="B2" s="17" t="str">
        <f>Back!B2</f>
        <v>T &amp; M Energy Inc.</v>
      </c>
    </row>
    <row r="3" spans="2:4" ht="12.75">
      <c r="B3" s="17"/>
      <c r="C3" s="17"/>
      <c r="D3" s="17"/>
    </row>
    <row r="4" spans="2:9" ht="12.75">
      <c r="B4" s="17" t="s">
        <v>146</v>
      </c>
      <c r="C4" s="17"/>
      <c r="D4" s="17"/>
      <c r="E4" s="17"/>
      <c r="F4" s="34"/>
      <c r="G4" s="9">
        <f>Back!$E$2</f>
        <v>2018</v>
      </c>
      <c r="H4" s="9"/>
      <c r="I4" s="9">
        <v>2017</v>
      </c>
    </row>
    <row r="5" spans="7:9" ht="12.75">
      <c r="G5" s="10" t="s">
        <v>49</v>
      </c>
      <c r="H5" s="10"/>
      <c r="I5" s="10" t="s">
        <v>49</v>
      </c>
    </row>
    <row r="6" ht="12.75">
      <c r="B6" t="s">
        <v>147</v>
      </c>
    </row>
    <row r="7" spans="3:11" ht="12.75">
      <c r="C7" t="s">
        <v>148</v>
      </c>
      <c r="G7" s="30" t="e">
        <f>'Income Statement'!$D$36</f>
        <v>#DIV/0!</v>
      </c>
      <c r="H7" s="30"/>
      <c r="I7" s="30">
        <v>281598.93855671503</v>
      </c>
      <c r="J7" s="30"/>
      <c r="K7" s="30"/>
    </row>
    <row r="8" spans="3:11" ht="12.75">
      <c r="C8" t="s">
        <v>149</v>
      </c>
      <c r="G8" s="30"/>
      <c r="H8" s="30"/>
      <c r="I8" s="30"/>
      <c r="J8" s="30"/>
      <c r="K8" s="30"/>
    </row>
    <row r="9" spans="3:11" ht="12.75">
      <c r="C9" t="s">
        <v>150</v>
      </c>
      <c r="G9" s="30"/>
      <c r="H9" s="30"/>
      <c r="I9" s="30"/>
      <c r="J9" s="30"/>
      <c r="K9" s="30"/>
    </row>
    <row r="10" spans="3:11" ht="12.75">
      <c r="C10" t="s">
        <v>151</v>
      </c>
      <c r="D10" t="s">
        <v>59</v>
      </c>
      <c r="G10" s="30">
        <f>'Income Statement'!$D$18</f>
        <v>765125.85</v>
      </c>
      <c r="H10" s="30"/>
      <c r="I10" s="30">
        <v>765125.85</v>
      </c>
      <c r="J10" s="30"/>
      <c r="K10" s="30"/>
    </row>
    <row r="11" spans="7:11" ht="12.75">
      <c r="G11" s="30"/>
      <c r="H11" s="30"/>
      <c r="I11" s="30"/>
      <c r="J11" s="30"/>
      <c r="K11" s="30"/>
    </row>
    <row r="12" spans="3:11" ht="12.75">
      <c r="C12" t="s">
        <v>152</v>
      </c>
      <c r="G12" s="30"/>
      <c r="H12" s="30"/>
      <c r="I12" s="30"/>
      <c r="J12" s="30"/>
      <c r="K12" s="30"/>
    </row>
    <row r="13" spans="4:11" ht="12.75">
      <c r="D13" t="s">
        <v>77</v>
      </c>
      <c r="G13" s="30">
        <f>-('Balance Sheet'!$D$10-'Balance Sheet'!$F$10)</f>
        <v>0</v>
      </c>
      <c r="H13" s="30"/>
      <c r="I13" s="30">
        <v>-179344.82233726652</v>
      </c>
      <c r="J13" s="30"/>
      <c r="K13" s="30"/>
    </row>
    <row r="14" spans="4:11" ht="12.75">
      <c r="D14" t="s">
        <v>78</v>
      </c>
      <c r="G14" s="30">
        <f>-('Balance Sheet'!$D$11-'Balance Sheet'!$F$11)</f>
        <v>939077.9519905162</v>
      </c>
      <c r="H14" s="30"/>
      <c r="I14" s="30">
        <v>-183715.04892431526</v>
      </c>
      <c r="J14" s="30"/>
      <c r="K14" s="30"/>
    </row>
    <row r="15" spans="4:11" ht="12.75">
      <c r="D15" t="s">
        <v>26</v>
      </c>
      <c r="G15" s="30">
        <f>'Balance Sheet'!$D$27-'Balance Sheet'!$F$27</f>
        <v>-594462.1897921616</v>
      </c>
      <c r="H15" s="30"/>
      <c r="I15" s="30">
        <v>116296.68234658416</v>
      </c>
      <c r="K15" s="30"/>
    </row>
    <row r="16" spans="4:11" ht="12.75">
      <c r="D16" t="s">
        <v>86</v>
      </c>
      <c r="G16" s="30">
        <f>'Balance Sheet'!$D$28-'Balance Sheet'!$F$28</f>
        <v>0</v>
      </c>
      <c r="H16" s="30"/>
      <c r="I16" s="30">
        <v>15000</v>
      </c>
      <c r="J16" s="30"/>
      <c r="K16" s="30"/>
    </row>
    <row r="17" spans="7:11" ht="12.75">
      <c r="G17" s="37" t="s">
        <v>49</v>
      </c>
      <c r="H17" s="37"/>
      <c r="I17" s="37" t="s">
        <v>49</v>
      </c>
      <c r="J17" s="30"/>
      <c r="K17" s="30"/>
    </row>
    <row r="18" spans="3:11" ht="12.75">
      <c r="C18" t="s">
        <v>153</v>
      </c>
      <c r="G18" s="30" t="e">
        <f>SUM(G7:G16)</f>
        <v>#DIV/0!</v>
      </c>
      <c r="H18" s="30"/>
      <c r="I18" s="30">
        <v>814961.5996417174</v>
      </c>
      <c r="J18" s="30"/>
      <c r="K18" s="30"/>
    </row>
    <row r="19" spans="7:11" ht="12.75">
      <c r="G19" s="30"/>
      <c r="H19" s="30"/>
      <c r="I19" s="30"/>
      <c r="J19" s="30"/>
      <c r="K19" s="30"/>
    </row>
    <row r="20" spans="2:11" ht="12.75">
      <c r="B20" t="s">
        <v>154</v>
      </c>
      <c r="G20" s="30"/>
      <c r="H20" s="30"/>
      <c r="I20" s="30"/>
      <c r="J20" s="30"/>
      <c r="K20" s="30"/>
    </row>
    <row r="21" spans="3:11" ht="12.75">
      <c r="C21" t="s">
        <v>155</v>
      </c>
      <c r="G21" s="30">
        <f>-'Cash Budget'!$F$33</f>
        <v>0</v>
      </c>
      <c r="H21" s="30"/>
      <c r="I21" s="30">
        <v>-2350000</v>
      </c>
      <c r="J21" s="30"/>
      <c r="K21" s="30"/>
    </row>
    <row r="22" spans="7:11" ht="12.75">
      <c r="G22" s="37" t="s">
        <v>49</v>
      </c>
      <c r="H22" s="37"/>
      <c r="I22" s="37" t="s">
        <v>49</v>
      </c>
      <c r="J22" s="30"/>
      <c r="K22" s="30"/>
    </row>
    <row r="23" spans="3:11" ht="12.75">
      <c r="C23" t="s">
        <v>156</v>
      </c>
      <c r="G23" s="30">
        <f>SUM(G21:G21)</f>
        <v>0</v>
      </c>
      <c r="H23" s="30"/>
      <c r="I23" s="30">
        <v>-2350000</v>
      </c>
      <c r="J23" s="30"/>
      <c r="K23" s="30"/>
    </row>
    <row r="24" spans="7:11" ht="12.75">
      <c r="G24" s="30"/>
      <c r="H24" s="30"/>
      <c r="I24" s="30"/>
      <c r="J24" s="30"/>
      <c r="K24" s="30"/>
    </row>
    <row r="25" spans="2:11" ht="12.75">
      <c r="B25" t="s">
        <v>157</v>
      </c>
      <c r="G25" s="30"/>
      <c r="H25" s="30"/>
      <c r="I25" s="30"/>
      <c r="J25" s="30"/>
      <c r="K25" s="30"/>
    </row>
    <row r="26" spans="3:11" ht="12.75">
      <c r="C26" t="s">
        <v>158</v>
      </c>
      <c r="G26" s="30">
        <f>'Balance Sheet'!G35+'Balance Sheet'!G36</f>
        <v>0</v>
      </c>
      <c r="H26" s="30"/>
      <c r="I26" s="30">
        <v>800000</v>
      </c>
      <c r="J26" s="30"/>
      <c r="K26" s="30"/>
    </row>
    <row r="27" spans="3:11" ht="12.75">
      <c r="C27" t="s">
        <v>159</v>
      </c>
      <c r="G27" s="30" t="e">
        <f>'Balance Sheet'!$G$25</f>
        <v>#DIV/0!</v>
      </c>
      <c r="H27" s="30"/>
      <c r="I27" s="30">
        <v>0</v>
      </c>
      <c r="J27" s="30"/>
      <c r="K27" s="30"/>
    </row>
    <row r="28" spans="3:11" ht="12.75">
      <c r="C28" t="s">
        <v>160</v>
      </c>
      <c r="G28" s="30">
        <f>'Cash Budget'!$F$16</f>
        <v>0</v>
      </c>
      <c r="H28" s="30"/>
      <c r="I28" s="30">
        <v>1175000</v>
      </c>
      <c r="J28" s="30"/>
      <c r="K28" s="30"/>
    </row>
    <row r="29" spans="3:11" ht="12.75">
      <c r="C29" t="s">
        <v>161</v>
      </c>
      <c r="G29" s="30" t="e">
        <f>-('Cash Budget'!$R$26+'Cash Budget'!$R27)</f>
        <v>#DIV/0!</v>
      </c>
      <c r="H29" s="30"/>
      <c r="I29" s="30">
        <v>-258711.9992802834</v>
      </c>
      <c r="J29" s="30"/>
      <c r="K29" s="30"/>
    </row>
    <row r="30" spans="3:11" ht="12.75">
      <c r="C30" t="s">
        <v>162</v>
      </c>
      <c r="G30" s="30">
        <f>-'Income Statement'!$D$39</f>
        <v>0</v>
      </c>
      <c r="H30" s="30"/>
      <c r="I30" s="30">
        <v>-200000</v>
      </c>
      <c r="J30" s="30"/>
      <c r="K30" s="30"/>
    </row>
    <row r="31" spans="7:11" ht="12.75">
      <c r="G31" s="37" t="s">
        <v>49</v>
      </c>
      <c r="H31" s="37"/>
      <c r="I31" s="37" t="s">
        <v>49</v>
      </c>
      <c r="J31" s="30"/>
      <c r="K31" s="30"/>
    </row>
    <row r="32" spans="3:11" ht="12.75">
      <c r="C32" t="s">
        <v>163</v>
      </c>
      <c r="G32" s="30" t="e">
        <f>SUM(G26:G30)</f>
        <v>#DIV/0!</v>
      </c>
      <c r="H32" s="30"/>
      <c r="I32" s="30">
        <v>1516288.0007197165</v>
      </c>
      <c r="J32" s="30"/>
      <c r="K32" s="30"/>
    </row>
    <row r="33" spans="7:11" ht="12.75">
      <c r="G33" s="30"/>
      <c r="H33" s="30"/>
      <c r="I33" s="30"/>
      <c r="J33" s="30"/>
      <c r="K33" s="30"/>
    </row>
    <row r="34" spans="2:11" ht="12.75">
      <c r="B34" t="s">
        <v>164</v>
      </c>
      <c r="G34" s="30" t="e">
        <f>G18+G23+G32</f>
        <v>#DIV/0!</v>
      </c>
      <c r="H34" s="30"/>
      <c r="I34" s="30">
        <v>-18750.399638565956</v>
      </c>
      <c r="J34" s="30"/>
      <c r="K34" s="30"/>
    </row>
    <row r="35" spans="7:11" ht="12.75">
      <c r="G35" s="37" t="s">
        <v>48</v>
      </c>
      <c r="H35" s="30"/>
      <c r="I35" s="37" t="s">
        <v>48</v>
      </c>
      <c r="J35" s="30"/>
      <c r="K35" s="30"/>
    </row>
    <row r="36" spans="7:11" ht="12.75">
      <c r="G36" s="37"/>
      <c r="H36" s="30"/>
      <c r="I36" s="37"/>
      <c r="J36" s="30"/>
      <c r="K36" s="30"/>
    </row>
    <row r="37" spans="2:11" ht="12.75">
      <c r="B37" t="s">
        <v>165</v>
      </c>
      <c r="G37" s="30">
        <f>'Balance Sheet'!$F$8+'Balance Sheet'!$F$9</f>
        <v>508353.7491090442</v>
      </c>
      <c r="H37" s="30"/>
      <c r="I37" s="30">
        <v>527104.1491466004</v>
      </c>
      <c r="J37" s="30"/>
      <c r="K37" s="30"/>
    </row>
    <row r="38" spans="2:11" ht="12.75">
      <c r="B38" t="s">
        <v>167</v>
      </c>
      <c r="F38" t="s">
        <v>166</v>
      </c>
      <c r="G38" s="30" t="e">
        <f>'Balance Sheet'!$D$8+'Balance Sheet'!$D$9</f>
        <v>#DIV/0!</v>
      </c>
      <c r="H38" s="30"/>
      <c r="I38" s="30">
        <v>508353.7491090442</v>
      </c>
      <c r="J38" s="30"/>
      <c r="K38" s="30"/>
    </row>
    <row r="39" spans="5:11" ht="12.75">
      <c r="E39" t="s">
        <v>218</v>
      </c>
      <c r="G39" s="30" t="e">
        <f>G38-G37</f>
        <v>#DIV/0!</v>
      </c>
      <c r="H39" s="30"/>
      <c r="I39" s="30">
        <v>-18750.40003755619</v>
      </c>
      <c r="J39" s="30"/>
      <c r="K39" s="30"/>
    </row>
    <row r="40" spans="7:11" ht="12.75">
      <c r="G40" s="30"/>
      <c r="H40" s="30"/>
      <c r="I40" s="30"/>
      <c r="J40" s="30"/>
      <c r="K40" s="30"/>
    </row>
    <row r="41" spans="2:11" ht="12.75">
      <c r="B41" s="38" t="s">
        <v>168</v>
      </c>
      <c r="C41" s="38"/>
      <c r="D41" s="38"/>
      <c r="E41" s="38"/>
      <c r="F41" s="38"/>
      <c r="G41" s="30"/>
      <c r="H41" s="30"/>
      <c r="I41" s="30"/>
      <c r="J41" s="30"/>
      <c r="K41" s="30"/>
    </row>
    <row r="42" spans="7:11" ht="12.75">
      <c r="G42" s="30"/>
      <c r="H42" s="30"/>
      <c r="I42" s="30"/>
      <c r="J42" s="30"/>
      <c r="K42" s="30"/>
    </row>
    <row r="43" spans="7:11" ht="12.75">
      <c r="G43" s="30"/>
      <c r="H43" s="30"/>
      <c r="I43" s="30"/>
      <c r="J43" s="30"/>
      <c r="K43" s="30"/>
    </row>
    <row r="44" spans="7:11" ht="12.75">
      <c r="G44" s="30"/>
      <c r="H44" s="30"/>
      <c r="I44" s="30"/>
      <c r="J44" s="30"/>
      <c r="K44" s="30"/>
    </row>
    <row r="45" spans="7:11" ht="12.75">
      <c r="G45" s="30"/>
      <c r="H45" s="30"/>
      <c r="I45" s="30"/>
      <c r="J45" s="30"/>
      <c r="K45" s="30"/>
    </row>
    <row r="46" spans="7:11" ht="12.75">
      <c r="G46" s="30"/>
      <c r="H46" s="30"/>
      <c r="I46" s="30"/>
      <c r="J46" s="30"/>
      <c r="K46" s="30"/>
    </row>
    <row r="47" spans="7:11" ht="12.75">
      <c r="G47" s="30"/>
      <c r="H47" s="30"/>
      <c r="I47" s="30"/>
      <c r="J47" s="30"/>
      <c r="K47" s="30"/>
    </row>
    <row r="48" spans="7:11" ht="12.75">
      <c r="G48" s="30"/>
      <c r="H48" s="30"/>
      <c r="I48" s="30"/>
      <c r="J48" s="30"/>
      <c r="K48" s="30"/>
    </row>
    <row r="49" spans="7:11" ht="12.75">
      <c r="G49" s="30"/>
      <c r="H49" s="30"/>
      <c r="I49" s="30"/>
      <c r="J49" s="30"/>
      <c r="K49" s="30"/>
    </row>
    <row r="50" spans="7:11" ht="12.75">
      <c r="G50" s="30"/>
      <c r="H50" s="30"/>
      <c r="I50" s="30"/>
      <c r="J50" s="30"/>
      <c r="K50" s="30"/>
    </row>
    <row r="51" spans="7:11" ht="12.75">
      <c r="G51" s="30"/>
      <c r="H51" s="30"/>
      <c r="I51" s="30"/>
      <c r="J51" s="30"/>
      <c r="K51" s="30"/>
    </row>
    <row r="52" spans="7:11" ht="12.75">
      <c r="G52" s="30"/>
      <c r="H52" s="30"/>
      <c r="I52" s="30"/>
      <c r="J52" s="30"/>
      <c r="K52" s="30"/>
    </row>
    <row r="53" spans="7:10" ht="12.75">
      <c r="G53" s="36"/>
      <c r="H53" s="36"/>
      <c r="I53" s="36"/>
      <c r="J53" s="36"/>
    </row>
    <row r="54" spans="7:10" ht="12.75">
      <c r="G54" s="36"/>
      <c r="H54" s="36"/>
      <c r="I54" s="36"/>
      <c r="J54" s="36"/>
    </row>
    <row r="55" spans="7:10" ht="12.75">
      <c r="G55" s="36"/>
      <c r="H55" s="36"/>
      <c r="I55" s="36"/>
      <c r="J55" s="36"/>
    </row>
    <row r="56" spans="7:10" ht="12.75">
      <c r="G56" s="36"/>
      <c r="H56" s="36"/>
      <c r="I56" s="36"/>
      <c r="J56" s="36"/>
    </row>
    <row r="57" spans="7:10" ht="12.75">
      <c r="G57" s="36"/>
      <c r="H57" s="36"/>
      <c r="I57" s="36"/>
      <c r="J57" s="36"/>
    </row>
    <row r="58" spans="7:10" ht="12.75">
      <c r="G58" s="36"/>
      <c r="H58" s="36"/>
      <c r="I58" s="36"/>
      <c r="J58" s="36"/>
    </row>
    <row r="59" spans="7:10" ht="12.75">
      <c r="G59" s="36"/>
      <c r="H59" s="36"/>
      <c r="I59" s="36"/>
      <c r="J59" s="36"/>
    </row>
    <row r="60" spans="7:10" ht="12.75">
      <c r="G60" s="36"/>
      <c r="H60" s="36"/>
      <c r="I60" s="36"/>
      <c r="J60" s="36"/>
    </row>
    <row r="61" spans="7:10" ht="12.75">
      <c r="G61" s="36"/>
      <c r="H61" s="36"/>
      <c r="I61" s="36"/>
      <c r="J61" s="36"/>
    </row>
    <row r="62" spans="7:10" ht="12.75">
      <c r="G62" s="36"/>
      <c r="H62" s="36"/>
      <c r="I62" s="36"/>
      <c r="J62" s="36"/>
    </row>
    <row r="63" spans="7:10" ht="12.75">
      <c r="G63" s="36"/>
      <c r="H63" s="36"/>
      <c r="I63" s="36"/>
      <c r="J63" s="36"/>
    </row>
    <row r="64" spans="7:10" ht="12.75">
      <c r="G64" s="36"/>
      <c r="H64" s="36"/>
      <c r="I64" s="36"/>
      <c r="J64" s="36"/>
    </row>
    <row r="65" spans="7:10" ht="12.75">
      <c r="G65" s="36"/>
      <c r="H65" s="36"/>
      <c r="I65" s="36"/>
      <c r="J65" s="36"/>
    </row>
    <row r="66" spans="7:10" ht="12.75">
      <c r="G66" s="36"/>
      <c r="H66" s="36"/>
      <c r="I66" s="36"/>
      <c r="J66" s="36"/>
    </row>
    <row r="67" spans="7:10" ht="12.75">
      <c r="G67" s="36"/>
      <c r="H67" s="36"/>
      <c r="I67" s="36"/>
      <c r="J67" s="36"/>
    </row>
    <row r="68" spans="7:10" ht="12.75">
      <c r="G68" s="36"/>
      <c r="H68" s="36"/>
      <c r="I68" s="36"/>
      <c r="J68" s="36"/>
    </row>
    <row r="69" spans="7:10" ht="12.75">
      <c r="G69" s="36"/>
      <c r="H69" s="36"/>
      <c r="I69" s="36"/>
      <c r="J69" s="36"/>
    </row>
    <row r="70" spans="7:10" ht="12.75">
      <c r="G70" s="36"/>
      <c r="H70" s="36"/>
      <c r="I70" s="36"/>
      <c r="J70" s="36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9"/>
  <sheetViews>
    <sheetView workbookViewId="0" topLeftCell="A1">
      <selection activeCell="G37" sqref="G37"/>
    </sheetView>
  </sheetViews>
  <sheetFormatPr defaultColWidth="9.140625" defaultRowHeight="12.75"/>
  <cols>
    <col min="3" max="3" width="20.7109375" style="0" customWidth="1"/>
    <col min="5" max="5" width="12.7109375" style="0" customWidth="1"/>
    <col min="6" max="6" width="3.7109375" style="0" customWidth="1"/>
    <col min="7" max="7" width="12.7109375" style="0" customWidth="1"/>
    <col min="9" max="9" width="12.7109375" style="0" customWidth="1"/>
    <col min="10" max="10" width="3.7109375" style="0" customWidth="1"/>
    <col min="11" max="11" width="12.7109375" style="0" customWidth="1"/>
  </cols>
  <sheetData>
    <row r="2" spans="2:3" ht="12.75">
      <c r="B2" s="17" t="s">
        <v>312</v>
      </c>
      <c r="C2" s="17"/>
    </row>
    <row r="4" spans="2:6" ht="12.75">
      <c r="B4" s="17" t="s">
        <v>261</v>
      </c>
      <c r="C4" s="17"/>
      <c r="D4" s="17"/>
      <c r="E4" s="17"/>
      <c r="F4" s="17"/>
    </row>
    <row r="5" spans="3:6" ht="12.75">
      <c r="C5" s="17"/>
      <c r="D5" s="17"/>
      <c r="E5" s="17"/>
      <c r="F5" s="17"/>
    </row>
    <row r="6" spans="2:11" ht="12.75">
      <c r="B6" s="17"/>
      <c r="C6" s="17"/>
      <c r="D6" s="17"/>
      <c r="E6" s="9">
        <v>2018</v>
      </c>
      <c r="F6" s="9"/>
      <c r="G6" s="9">
        <v>2017</v>
      </c>
      <c r="H6" s="9"/>
      <c r="I6" s="9">
        <v>2017</v>
      </c>
      <c r="J6" s="9"/>
      <c r="K6" s="9">
        <v>2016</v>
      </c>
    </row>
    <row r="8" spans="5:11" ht="12.75">
      <c r="E8" s="9" t="s">
        <v>169</v>
      </c>
      <c r="F8" s="9"/>
      <c r="G8" s="9" t="s">
        <v>170</v>
      </c>
      <c r="H8" s="9"/>
      <c r="I8" s="9" t="s">
        <v>169</v>
      </c>
      <c r="J8" s="9"/>
      <c r="K8" s="9" t="s">
        <v>170</v>
      </c>
    </row>
    <row r="9" spans="5:11" ht="12.75">
      <c r="E9" s="10" t="s">
        <v>49</v>
      </c>
      <c r="G9" s="10" t="s">
        <v>49</v>
      </c>
      <c r="I9" s="10" t="s">
        <v>49</v>
      </c>
      <c r="K9" s="10" t="s">
        <v>49</v>
      </c>
    </row>
    <row r="10" ht="12.75">
      <c r="B10" t="s">
        <v>262</v>
      </c>
    </row>
    <row r="12" spans="3:11" ht="12.75">
      <c r="C12" t="s">
        <v>76</v>
      </c>
      <c r="E12" s="30">
        <f>'Balance Sheet'!$G$8</f>
        <v>0</v>
      </c>
      <c r="F12" s="30"/>
      <c r="G12" s="30">
        <f>'Balance Sheet'!$H$8</f>
        <v>0</v>
      </c>
      <c r="H12" s="30"/>
      <c r="I12" s="30">
        <f>History1!E8-History1!D8</f>
        <v>0</v>
      </c>
      <c r="J12" s="30"/>
      <c r="K12" s="30">
        <f>History1!D8-History1!E8</f>
        <v>0</v>
      </c>
    </row>
    <row r="13" spans="3:11" ht="12.75">
      <c r="C13" t="s">
        <v>43</v>
      </c>
      <c r="E13" s="30" t="e">
        <f>'Balance Sheet'!$G$9</f>
        <v>#DIV/0!</v>
      </c>
      <c r="F13" s="30"/>
      <c r="G13" s="30" t="e">
        <f>'Balance Sheet'!H9</f>
        <v>#DIV/0!</v>
      </c>
      <c r="H13" s="30"/>
      <c r="I13" s="30">
        <f>History1!E9-History1!D9</f>
        <v>18750.40003755619</v>
      </c>
      <c r="J13" s="30"/>
      <c r="K13" s="30"/>
    </row>
    <row r="14" spans="3:11" ht="12.75">
      <c r="C14" t="s">
        <v>77</v>
      </c>
      <c r="E14" s="30">
        <f>'Balance Sheet'!$G$10</f>
        <v>0</v>
      </c>
      <c r="F14" s="30"/>
      <c r="G14" s="30">
        <f>'Balance Sheet'!H10</f>
        <v>0</v>
      </c>
      <c r="H14" s="30"/>
      <c r="I14" s="30"/>
      <c r="J14" s="30"/>
      <c r="K14" s="30">
        <f>History1!D10-History1!E10</f>
        <v>179344.82233726652</v>
      </c>
    </row>
    <row r="15" spans="3:11" ht="12.75">
      <c r="C15" t="s">
        <v>78</v>
      </c>
      <c r="E15" s="30">
        <f>'Balance Sheet'!$G$11</f>
        <v>939077.9519905162</v>
      </c>
      <c r="F15" s="30"/>
      <c r="G15" s="30">
        <f>'Balance Sheet'!H11</f>
        <v>0</v>
      </c>
      <c r="H15" s="30"/>
      <c r="I15" s="30"/>
      <c r="J15" s="30"/>
      <c r="K15" s="30">
        <f>History1!D11-History1!E11</f>
        <v>183715.04892431526</v>
      </c>
    </row>
    <row r="16" spans="3:11" ht="12.75">
      <c r="C16" t="s">
        <v>263</v>
      </c>
      <c r="E16" s="30" t="e">
        <f>'Balance Sheet'!$G$25</f>
        <v>#DIV/0!</v>
      </c>
      <c r="F16" s="30"/>
      <c r="G16" s="30" t="e">
        <f>'Balance Sheet'!H25</f>
        <v>#DIV/0!</v>
      </c>
      <c r="H16" s="30"/>
      <c r="I16" s="30">
        <f>History1!E25-History1!D25</f>
        <v>0</v>
      </c>
      <c r="J16" s="30"/>
      <c r="K16" s="30">
        <f>History1!D25-History1!E25</f>
        <v>0</v>
      </c>
    </row>
    <row r="17" spans="3:11" ht="12.75">
      <c r="C17" t="s">
        <v>264</v>
      </c>
      <c r="E17" s="30" t="e">
        <f>'Balance Sheet'!$G$26</f>
        <v>#DIV/0!</v>
      </c>
      <c r="F17" s="30"/>
      <c r="G17" s="30" t="e">
        <f>'Balance Sheet'!H26</f>
        <v>#DIV/0!</v>
      </c>
      <c r="H17" s="30"/>
      <c r="I17" s="30">
        <f>History1!D26-History1!E26</f>
        <v>102459.36467171603</v>
      </c>
      <c r="J17" s="30"/>
      <c r="K17" s="30"/>
    </row>
    <row r="18" spans="3:11" ht="12.75">
      <c r="C18" t="s">
        <v>26</v>
      </c>
      <c r="E18" s="30">
        <f>'Balance Sheet'!$G$27</f>
        <v>0</v>
      </c>
      <c r="F18" s="30"/>
      <c r="G18" s="30">
        <f>'Balance Sheet'!H27</f>
        <v>594462.1897921616</v>
      </c>
      <c r="H18" s="30"/>
      <c r="I18" s="30">
        <f>History1!D27-History1!E27</f>
        <v>116296.68234658416</v>
      </c>
      <c r="J18" s="30"/>
      <c r="K18" s="30"/>
    </row>
    <row r="19" spans="3:11" ht="12.75">
      <c r="C19" t="s">
        <v>86</v>
      </c>
      <c r="E19" s="30">
        <f>'Balance Sheet'!$G$28</f>
        <v>0</v>
      </c>
      <c r="F19" s="30"/>
      <c r="G19" s="30">
        <f>'Balance Sheet'!H28</f>
        <v>0</v>
      </c>
      <c r="H19" s="30"/>
      <c r="I19" s="30">
        <f>History1!D28-History1!E28</f>
        <v>15000</v>
      </c>
      <c r="J19" s="30"/>
      <c r="K19" s="30"/>
    </row>
    <row r="20" spans="5:11" ht="12.75">
      <c r="E20" s="37" t="s">
        <v>295</v>
      </c>
      <c r="F20" s="30"/>
      <c r="G20" s="37" t="s">
        <v>50</v>
      </c>
      <c r="H20" s="30"/>
      <c r="I20" s="37" t="s">
        <v>295</v>
      </c>
      <c r="J20" s="30"/>
      <c r="K20" s="37" t="s">
        <v>50</v>
      </c>
    </row>
    <row r="21" spans="5:11" ht="12.75">
      <c r="E21" s="30" t="e">
        <f>SUM(E12:E19)</f>
        <v>#DIV/0!</v>
      </c>
      <c r="F21" s="30"/>
      <c r="G21" s="30" t="e">
        <f>SUM(G12:G19)</f>
        <v>#DIV/0!</v>
      </c>
      <c r="H21" s="30"/>
      <c r="I21" s="30">
        <f>SUM(I12:I19)</f>
        <v>252506.44705585638</v>
      </c>
      <c r="J21" s="30"/>
      <c r="K21" s="30">
        <f>SUM(K12:K19)</f>
        <v>363059.8712615818</v>
      </c>
    </row>
    <row r="22" spans="5:11" ht="12.75">
      <c r="E22" s="37" t="s">
        <v>48</v>
      </c>
      <c r="F22" s="30"/>
      <c r="G22" s="37" t="s">
        <v>48</v>
      </c>
      <c r="H22" s="30"/>
      <c r="I22" s="37" t="s">
        <v>48</v>
      </c>
      <c r="J22" s="30"/>
      <c r="K22" s="37" t="s">
        <v>48</v>
      </c>
    </row>
    <row r="23" spans="3:11" ht="12.75">
      <c r="C23" t="s">
        <v>265</v>
      </c>
      <c r="E23" s="30" t="e">
        <f>SUM(E12:E19)-SUM(G12:G19)</f>
        <v>#DIV/0!</v>
      </c>
      <c r="F23" s="30"/>
      <c r="G23" s="30"/>
      <c r="H23" s="30"/>
      <c r="I23" s="30">
        <f>SUM(I12:I19)-SUM(K12:K19)</f>
        <v>-110553.4242057254</v>
      </c>
      <c r="J23" s="30"/>
      <c r="K23" s="30"/>
    </row>
    <row r="24" spans="5:11" ht="12.75">
      <c r="E24" s="30"/>
      <c r="F24" s="30"/>
      <c r="G24" s="30"/>
      <c r="H24" s="30"/>
      <c r="I24" s="30"/>
      <c r="J24" s="30"/>
      <c r="K24" s="30"/>
    </row>
    <row r="25" spans="2:11" ht="12.75">
      <c r="B25" t="s">
        <v>266</v>
      </c>
      <c r="E25" s="30"/>
      <c r="F25" s="30"/>
      <c r="G25" s="30"/>
      <c r="H25" s="30"/>
      <c r="I25" s="30"/>
      <c r="J25" s="30"/>
      <c r="K25" s="30"/>
    </row>
    <row r="26" spans="5:11" ht="12.75">
      <c r="E26" s="30"/>
      <c r="F26" s="30"/>
      <c r="G26" s="30"/>
      <c r="H26" s="30"/>
      <c r="I26" s="30"/>
      <c r="J26" s="30"/>
      <c r="K26" s="30"/>
    </row>
    <row r="27" spans="3:11" ht="12.75">
      <c r="C27" t="s">
        <v>267</v>
      </c>
      <c r="E27" s="30">
        <f>'Balance Sheet'!$G$15</f>
        <v>0</v>
      </c>
      <c r="F27" s="30"/>
      <c r="G27" s="30">
        <f>'Balance Sheet'!$H$15</f>
        <v>0</v>
      </c>
      <c r="H27" s="30"/>
      <c r="I27" s="30"/>
      <c r="J27" s="30"/>
      <c r="K27" s="30">
        <f>History1!D15-History1!E15</f>
        <v>2350000</v>
      </c>
    </row>
    <row r="28" spans="3:11" ht="12.75">
      <c r="C28" t="s">
        <v>80</v>
      </c>
      <c r="E28" s="30">
        <f>'Balance Sheet'!$G$16</f>
        <v>765125.8499999996</v>
      </c>
      <c r="F28" s="30"/>
      <c r="G28" s="30">
        <f>'Balance Sheet'!$H$16</f>
        <v>0</v>
      </c>
      <c r="H28" s="30"/>
      <c r="I28" s="30">
        <f>History1!D16-History1!E16</f>
        <v>765125.8500000006</v>
      </c>
      <c r="J28" s="30"/>
      <c r="K28" s="30">
        <v>0</v>
      </c>
    </row>
    <row r="29" spans="3:11" ht="12.75">
      <c r="C29" t="s">
        <v>268</v>
      </c>
      <c r="E29" s="30" t="e">
        <f>'Balance Sheet'!$G$32</f>
        <v>#DIV/0!</v>
      </c>
      <c r="F29" s="30"/>
      <c r="G29" s="30" t="e">
        <f>'Balance Sheet'!$H$32</f>
        <v>#DIV/0!</v>
      </c>
      <c r="H29" s="30"/>
      <c r="I29" s="30">
        <f>History1!D32-History1!E32</f>
        <v>813828.6360480003</v>
      </c>
      <c r="J29" s="30"/>
      <c r="K29" s="30">
        <v>0</v>
      </c>
    </row>
    <row r="30" spans="3:11" ht="12.75">
      <c r="C30" t="s">
        <v>93</v>
      </c>
      <c r="E30" s="30" t="e">
        <f>'Balance Sheet'!$G$37</f>
        <v>#DIV/0!</v>
      </c>
      <c r="F30" s="30"/>
      <c r="G30" s="30" t="e">
        <f>'Balance Sheet'!$H$37</f>
        <v>#DIV/0!</v>
      </c>
      <c r="H30" s="30"/>
      <c r="I30" s="30">
        <f>History1!D37-History1!E37</f>
        <v>81598.93855671503</v>
      </c>
      <c r="J30" s="30"/>
      <c r="K30" s="30">
        <v>0</v>
      </c>
    </row>
    <row r="31" spans="3:11" ht="12.75">
      <c r="C31" t="s">
        <v>269</v>
      </c>
      <c r="E31" s="30">
        <f>'Balance Sheet'!$G$35</f>
        <v>0</v>
      </c>
      <c r="F31" s="30"/>
      <c r="G31" s="30">
        <f>'Balance Sheet'!$H$36</f>
        <v>0</v>
      </c>
      <c r="H31" s="30"/>
      <c r="I31" s="30">
        <f>History1!D35-History1!E35</f>
        <v>100000</v>
      </c>
      <c r="J31" s="30"/>
      <c r="K31" s="30">
        <v>0</v>
      </c>
    </row>
    <row r="32" spans="3:11" ht="12.75">
      <c r="C32" t="s">
        <v>92</v>
      </c>
      <c r="E32" s="30">
        <f>'Balance Sheet'!$G$36</f>
        <v>0</v>
      </c>
      <c r="F32" s="30"/>
      <c r="G32" s="30">
        <f>'Balance Sheet'!$H$36</f>
        <v>0</v>
      </c>
      <c r="H32" s="30"/>
      <c r="I32" s="30">
        <f>History1!D36-History1!E36</f>
        <v>700000</v>
      </c>
      <c r="J32" s="30"/>
      <c r="K32" s="30">
        <v>0</v>
      </c>
    </row>
    <row r="33" spans="5:11" ht="12.75">
      <c r="E33" s="37" t="s">
        <v>49</v>
      </c>
      <c r="F33" s="30"/>
      <c r="G33" s="37" t="s">
        <v>49</v>
      </c>
      <c r="H33" s="30"/>
      <c r="I33" s="37" t="s">
        <v>49</v>
      </c>
      <c r="J33" s="30"/>
      <c r="K33" s="37" t="s">
        <v>49</v>
      </c>
    </row>
    <row r="34" spans="5:11" ht="12.75">
      <c r="E34" s="30" t="e">
        <f>SUM(E27:E32)</f>
        <v>#DIV/0!</v>
      </c>
      <c r="F34" s="30"/>
      <c r="G34" s="30" t="e">
        <f>SUM(G27:G32)</f>
        <v>#DIV/0!</v>
      </c>
      <c r="H34" s="30"/>
      <c r="I34" s="30">
        <f>SUM(I27:I32)</f>
        <v>2460553.424604716</v>
      </c>
      <c r="J34" s="30"/>
      <c r="K34" s="30">
        <f>SUM(K27:K32)</f>
        <v>2350000</v>
      </c>
    </row>
    <row r="35" spans="5:11" ht="12.75">
      <c r="E35" s="37" t="s">
        <v>48</v>
      </c>
      <c r="F35" s="30"/>
      <c r="G35" s="37" t="s">
        <v>48</v>
      </c>
      <c r="H35" s="30"/>
      <c r="I35" s="37" t="s">
        <v>48</v>
      </c>
      <c r="J35" s="30"/>
      <c r="K35" s="37" t="s">
        <v>48</v>
      </c>
    </row>
    <row r="36" spans="3:11" ht="12.75">
      <c r="C36" t="s">
        <v>270</v>
      </c>
      <c r="E36" s="30" t="e">
        <f>E34-G34</f>
        <v>#DIV/0!</v>
      </c>
      <c r="F36" s="30"/>
      <c r="G36" s="30"/>
      <c r="H36" s="30"/>
      <c r="I36" s="30">
        <f>I34-K34</f>
        <v>110553.42460471578</v>
      </c>
      <c r="J36" s="30"/>
      <c r="K36" s="30"/>
    </row>
    <row r="37" spans="5:11" ht="12.75">
      <c r="E37" s="30"/>
      <c r="F37" s="30"/>
      <c r="G37" s="30"/>
      <c r="H37" s="30"/>
      <c r="I37" s="30"/>
      <c r="J37" s="30"/>
      <c r="K37" s="30"/>
    </row>
    <row r="39" spans="5:9" ht="12.75">
      <c r="E39" s="30"/>
      <c r="I39" s="30"/>
    </row>
    <row r="40" spans="5:9" ht="12.75">
      <c r="E40" s="30"/>
      <c r="I40" s="30"/>
    </row>
    <row r="41" spans="5:9" ht="12.75">
      <c r="E41" s="10"/>
      <c r="I41" s="10"/>
    </row>
    <row r="42" spans="5:9" ht="12.75">
      <c r="E42" s="30"/>
      <c r="I42" s="30"/>
    </row>
    <row r="43" spans="5:9" ht="12.75">
      <c r="E43" s="2"/>
      <c r="I43" s="2"/>
    </row>
    <row r="44" spans="5:9" ht="12.75">
      <c r="E44" s="10"/>
      <c r="I44" s="10"/>
    </row>
    <row r="45" spans="5:9" ht="12.75">
      <c r="E45" s="2"/>
      <c r="I45" s="2"/>
    </row>
    <row r="46" spans="5:9" ht="12.75">
      <c r="E46" s="2"/>
      <c r="I46" s="2"/>
    </row>
    <row r="47" spans="5:9" ht="12.75">
      <c r="E47" s="10"/>
      <c r="I47" s="10"/>
    </row>
    <row r="48" spans="5:9" ht="12.75">
      <c r="E48" s="2"/>
      <c r="I48" s="2"/>
    </row>
    <row r="49" spans="5:9" ht="12.75">
      <c r="E49" s="10"/>
      <c r="I49" s="10"/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workbookViewId="0" topLeftCell="A1">
      <selection activeCell="A4" sqref="A4"/>
    </sheetView>
  </sheetViews>
  <sheetFormatPr defaultColWidth="9.140625" defaultRowHeight="12.75"/>
  <cols>
    <col min="2" max="2" width="31.7109375" style="0" customWidth="1"/>
    <col min="3" max="10" width="12.7109375" style="0" customWidth="1"/>
  </cols>
  <sheetData>
    <row r="2" ht="12.75">
      <c r="B2" s="17" t="str">
        <f>Back!B2</f>
        <v>T &amp; M Energy Inc.</v>
      </c>
    </row>
    <row r="3" ht="12.75">
      <c r="B3" s="17"/>
    </row>
    <row r="4" ht="12.75">
      <c r="B4" s="17" t="str">
        <f>'Balance Sheet'!B4</f>
        <v>Balance Sheet</v>
      </c>
    </row>
    <row r="5" spans="2:9" ht="12.75">
      <c r="B5" s="17"/>
      <c r="C5" s="9" t="str">
        <f>'Balance Sheet'!D5</f>
        <v>Dec. 31</v>
      </c>
      <c r="D5" s="9" t="s">
        <v>74</v>
      </c>
      <c r="E5" s="9" t="s">
        <v>74</v>
      </c>
      <c r="F5" s="9" t="s">
        <v>74</v>
      </c>
      <c r="G5" s="9" t="s">
        <v>74</v>
      </c>
      <c r="H5" s="9" t="s">
        <v>74</v>
      </c>
      <c r="I5" s="9"/>
    </row>
    <row r="6" spans="2:9" ht="12.75">
      <c r="B6" s="17" t="str">
        <f>'Balance Sheet'!B6</f>
        <v>Assets</v>
      </c>
      <c r="C6" s="9">
        <f>Back!$E2</f>
        <v>2018</v>
      </c>
      <c r="D6" s="9">
        <v>2017</v>
      </c>
      <c r="E6" s="9">
        <v>2016</v>
      </c>
      <c r="F6" s="9">
        <v>2015</v>
      </c>
      <c r="G6" s="9">
        <v>2014</v>
      </c>
      <c r="H6" s="9">
        <v>2013</v>
      </c>
      <c r="I6" s="9"/>
    </row>
    <row r="7" spans="2:8" ht="12.75">
      <c r="B7" t="str">
        <f>'Balance Sheet'!B7</f>
        <v>------------------------------------------------------</v>
      </c>
      <c r="C7" t="str">
        <f>'Balance Sheet'!D7</f>
        <v>--------------------</v>
      </c>
      <c r="D7" s="10" t="s">
        <v>54</v>
      </c>
      <c r="E7" t="s">
        <v>54</v>
      </c>
      <c r="F7" t="s">
        <v>54</v>
      </c>
      <c r="G7" t="s">
        <v>54</v>
      </c>
      <c r="H7" t="s">
        <v>54</v>
      </c>
    </row>
    <row r="8" spans="2:8" ht="12.75">
      <c r="B8" t="str">
        <f>'Balance Sheet'!B8</f>
        <v>Cash</v>
      </c>
      <c r="C8" s="2">
        <f>'Balance Sheet'!D8</f>
        <v>50000</v>
      </c>
      <c r="D8" s="2">
        <v>50000</v>
      </c>
      <c r="E8" s="2">
        <v>50000</v>
      </c>
      <c r="F8" s="2">
        <v>50000</v>
      </c>
      <c r="G8" s="2">
        <v>50000</v>
      </c>
      <c r="H8" s="30">
        <v>50000</v>
      </c>
    </row>
    <row r="9" spans="2:8" ht="12.75">
      <c r="B9" t="str">
        <f>'Balance Sheet'!B9</f>
        <v>Short-term securities</v>
      </c>
      <c r="C9" s="2" t="e">
        <f>'Balance Sheet'!D9</f>
        <v>#DIV/0!</v>
      </c>
      <c r="D9" s="2">
        <v>458353.7491090442</v>
      </c>
      <c r="E9" s="2">
        <v>477104.1491466004</v>
      </c>
      <c r="F9" s="2">
        <v>467261.20069970225</v>
      </c>
      <c r="G9" s="2">
        <v>347039.6900972931</v>
      </c>
      <c r="H9" s="30">
        <v>284736.43348099</v>
      </c>
    </row>
    <row r="10" spans="2:8" ht="12.75">
      <c r="B10" t="str">
        <f>'Balance Sheet'!B10</f>
        <v>Accounts receivable</v>
      </c>
      <c r="C10" s="2">
        <f>'Balance Sheet'!D10</f>
        <v>988789.8736147537</v>
      </c>
      <c r="D10" s="2">
        <v>988789.8736147537</v>
      </c>
      <c r="E10" s="2">
        <v>809445.0512774872</v>
      </c>
      <c r="F10" s="2">
        <v>702692.180838638</v>
      </c>
      <c r="G10" s="2">
        <v>640074.0085083344</v>
      </c>
      <c r="H10" s="30">
        <v>578815.5580396848</v>
      </c>
    </row>
    <row r="11" spans="2:8" ht="12.75">
      <c r="B11" t="str">
        <f>'Balance Sheet'!B11</f>
        <v>Inventory</v>
      </c>
      <c r="C11" s="2">
        <f>'Balance Sheet'!D11</f>
        <v>315964.2000000009</v>
      </c>
      <c r="D11" s="2">
        <v>1255042.151990517</v>
      </c>
      <c r="E11" s="2">
        <v>1071327.1030662018</v>
      </c>
      <c r="F11" s="2">
        <v>870128.5870246858</v>
      </c>
      <c r="G11" s="2">
        <v>1077370.5179245798</v>
      </c>
      <c r="H11" s="30">
        <v>1073170.3115459217</v>
      </c>
    </row>
    <row r="12" spans="3:8" ht="12.75">
      <c r="C12" s="2" t="str">
        <f>'Balance Sheet'!D12</f>
        <v>--------------------</v>
      </c>
      <c r="D12" s="14" t="s">
        <v>54</v>
      </c>
      <c r="E12" s="2" t="s">
        <v>54</v>
      </c>
      <c r="F12" s="2" t="s">
        <v>54</v>
      </c>
      <c r="G12" s="2" t="s">
        <v>54</v>
      </c>
      <c r="H12" s="30" t="s">
        <v>54</v>
      </c>
    </row>
    <row r="13" spans="2:8" ht="12.75">
      <c r="B13" t="str">
        <f>'Balance Sheet'!B13</f>
        <v>Total current assets</v>
      </c>
      <c r="C13" s="2" t="e">
        <f>'Balance Sheet'!D13</f>
        <v>#DIV/0!</v>
      </c>
      <c r="D13" s="2">
        <v>2752185.774714315</v>
      </c>
      <c r="E13" s="2">
        <v>2407876.3034902895</v>
      </c>
      <c r="F13" s="2">
        <v>2090081.9685630263</v>
      </c>
      <c r="G13" s="2">
        <v>2114484.2165302075</v>
      </c>
      <c r="H13" s="30">
        <v>1986722.3030665964</v>
      </c>
    </row>
    <row r="14" spans="3:8" ht="12.75">
      <c r="C14" s="2"/>
      <c r="D14" s="2"/>
      <c r="E14" s="2"/>
      <c r="F14" s="2"/>
      <c r="G14" s="2"/>
      <c r="H14" s="30"/>
    </row>
    <row r="15" spans="2:8" ht="12.75">
      <c r="B15" t="str">
        <f>'Balance Sheet'!B15</f>
        <v>Gross fixed assets</v>
      </c>
      <c r="C15" s="2">
        <f>'Balance Sheet'!D15</f>
        <v>10201678</v>
      </c>
      <c r="D15" s="2">
        <v>10201678</v>
      </c>
      <c r="E15" s="2">
        <v>7851678</v>
      </c>
      <c r="F15" s="2">
        <v>6651678</v>
      </c>
      <c r="G15" s="2">
        <v>5301678</v>
      </c>
      <c r="H15" s="30">
        <v>4576678</v>
      </c>
    </row>
    <row r="16" spans="2:8" ht="12.75">
      <c r="B16" t="str">
        <f>'Balance Sheet'!B16</f>
        <v>Accumulated depreciation</v>
      </c>
      <c r="C16" s="2">
        <f>'Balance Sheet'!D16</f>
        <v>5799533.05</v>
      </c>
      <c r="D16" s="2">
        <v>5034407.2</v>
      </c>
      <c r="E16" s="2">
        <v>4269281.35</v>
      </c>
      <c r="F16" s="2">
        <v>3680405.5</v>
      </c>
      <c r="G16" s="2">
        <v>3181529.65</v>
      </c>
      <c r="H16" s="30">
        <v>2783903.8</v>
      </c>
    </row>
    <row r="17" spans="2:8" ht="12.75">
      <c r="B17" t="str">
        <f>'Balance Sheet'!B17</f>
        <v>Net fixed assets</v>
      </c>
      <c r="C17" s="2">
        <f>'Balance Sheet'!D17</f>
        <v>4402144.95</v>
      </c>
      <c r="D17" s="2">
        <v>5167270.8</v>
      </c>
      <c r="E17" s="2">
        <v>3582396.65</v>
      </c>
      <c r="F17" s="2">
        <v>2971272.5</v>
      </c>
      <c r="G17" s="2">
        <v>2120148.35</v>
      </c>
      <c r="H17" s="30">
        <v>1792774.2</v>
      </c>
    </row>
    <row r="18" spans="3:8" ht="12.75">
      <c r="C18" s="2" t="str">
        <f>'Balance Sheet'!D18</f>
        <v>--------------------</v>
      </c>
      <c r="D18" s="14" t="s">
        <v>54</v>
      </c>
      <c r="E18" s="2" t="s">
        <v>54</v>
      </c>
      <c r="F18" s="2" t="s">
        <v>54</v>
      </c>
      <c r="G18" s="2" t="s">
        <v>54</v>
      </c>
      <c r="H18" s="30" t="s">
        <v>54</v>
      </c>
    </row>
    <row r="19" spans="2:8" ht="12.75">
      <c r="B19" t="str">
        <f>'Balance Sheet'!B19</f>
        <v>Total assets</v>
      </c>
      <c r="C19" s="2" t="e">
        <f>'Balance Sheet'!D19</f>
        <v>#DIV/0!</v>
      </c>
      <c r="D19" s="2">
        <v>7919456.574714316</v>
      </c>
      <c r="E19" s="2">
        <v>5990272.95349029</v>
      </c>
      <c r="F19" s="2">
        <v>5061354.468563026</v>
      </c>
      <c r="G19" s="2">
        <v>4234632.566530207</v>
      </c>
      <c r="H19" s="30">
        <v>3779496.503066596</v>
      </c>
    </row>
    <row r="20" spans="3:8" ht="12.75">
      <c r="C20" s="2" t="str">
        <f>'Balance Sheet'!D20</f>
        <v>==========</v>
      </c>
      <c r="D20" s="14" t="s">
        <v>68</v>
      </c>
      <c r="E20" s="2" t="s">
        <v>68</v>
      </c>
      <c r="F20" s="2" t="s">
        <v>68</v>
      </c>
      <c r="G20" s="2" t="s">
        <v>68</v>
      </c>
      <c r="H20" s="30" t="s">
        <v>68</v>
      </c>
    </row>
    <row r="21" ht="12.75">
      <c r="D21" s="2"/>
    </row>
    <row r="22" spans="3:9" ht="12.75">
      <c r="C22" s="9" t="str">
        <f>'Balance Sheet'!D22</f>
        <v>Dec. 31</v>
      </c>
      <c r="D22" s="18" t="s">
        <v>74</v>
      </c>
      <c r="E22" s="9" t="s">
        <v>74</v>
      </c>
      <c r="F22" s="9" t="s">
        <v>74</v>
      </c>
      <c r="G22" s="9" t="s">
        <v>74</v>
      </c>
      <c r="H22" s="9" t="s">
        <v>74</v>
      </c>
      <c r="I22" s="9"/>
    </row>
    <row r="23" spans="2:9" ht="12.75">
      <c r="B23" s="17" t="str">
        <f>'Balance Sheet'!B23</f>
        <v>Liabilities and Equity Capital</v>
      </c>
      <c r="C23" s="9">
        <f>Back!$E2</f>
        <v>2018</v>
      </c>
      <c r="D23" s="19">
        <v>2017</v>
      </c>
      <c r="E23" s="9">
        <v>2016</v>
      </c>
      <c r="F23" s="9">
        <v>2015</v>
      </c>
      <c r="G23" s="9">
        <v>2014</v>
      </c>
      <c r="H23" s="9">
        <v>2013</v>
      </c>
      <c r="I23" s="9"/>
    </row>
    <row r="24" spans="2:8" ht="12.75">
      <c r="B24" t="str">
        <f>'Balance Sheet'!B24</f>
        <v>------------------------------------------------------</v>
      </c>
      <c r="C24" t="str">
        <f>'Balance Sheet'!D24</f>
        <v>--------------------</v>
      </c>
      <c r="D24" s="14" t="s">
        <v>54</v>
      </c>
      <c r="E24" t="s">
        <v>54</v>
      </c>
      <c r="F24" t="s">
        <v>54</v>
      </c>
      <c r="G24" t="s">
        <v>54</v>
      </c>
      <c r="H24" t="s">
        <v>54</v>
      </c>
    </row>
    <row r="25" spans="2:8" ht="12.75">
      <c r="B25" t="str">
        <f>'Balance Sheet'!B25</f>
        <v>Notes payable, short-term loan</v>
      </c>
      <c r="C25" s="2" t="e">
        <f>'Balance Sheet'!D25</f>
        <v>#DIV/0!</v>
      </c>
      <c r="D25" s="2">
        <v>0</v>
      </c>
      <c r="E25" s="2">
        <v>0</v>
      </c>
      <c r="F25" s="2">
        <v>0</v>
      </c>
      <c r="G25" s="2">
        <v>0</v>
      </c>
      <c r="H25" s="30">
        <v>0</v>
      </c>
    </row>
    <row r="26" spans="2:8" ht="12.75">
      <c r="B26" t="str">
        <f>'Balance Sheet'!B26</f>
        <v>Current portion of long-term debt</v>
      </c>
      <c r="C26" s="2" t="e">
        <f>'Balance Sheet'!D26</f>
        <v>#DIV/0!</v>
      </c>
      <c r="D26" s="2">
        <v>278115.3992263047</v>
      </c>
      <c r="E26" s="2">
        <v>175656.0345545887</v>
      </c>
      <c r="F26" s="2">
        <v>141555.94507139863</v>
      </c>
      <c r="G26" s="2">
        <v>88609.03386825298</v>
      </c>
      <c r="H26" s="30">
        <v>70755.71376257984</v>
      </c>
    </row>
    <row r="27" spans="2:8" ht="12.75">
      <c r="B27" t="str">
        <f>'Balance Sheet'!B27</f>
        <v>Accounts payable</v>
      </c>
      <c r="C27" s="2">
        <f>'Balance Sheet'!D27</f>
        <v>249264.02000000025</v>
      </c>
      <c r="D27" s="2">
        <v>843726.2097921618</v>
      </c>
      <c r="E27" s="2">
        <v>727429.5274455777</v>
      </c>
      <c r="F27" s="2">
        <v>607511.7045412115</v>
      </c>
      <c r="G27" s="2">
        <v>651415.2442559403</v>
      </c>
      <c r="H27" s="30">
        <v>649196.8253939732</v>
      </c>
    </row>
    <row r="28" spans="2:8" ht="12.75">
      <c r="B28" t="str">
        <f>'Balance Sheet'!B28</f>
        <v>Accrued expenses</v>
      </c>
      <c r="C28" s="2">
        <f>'Balance Sheet'!D28</f>
        <v>129840.8</v>
      </c>
      <c r="D28" s="2">
        <v>129840.8</v>
      </c>
      <c r="E28" s="2">
        <v>114840.8</v>
      </c>
      <c r="F28" s="2">
        <v>19840.8</v>
      </c>
      <c r="G28" s="2">
        <v>96840.8</v>
      </c>
      <c r="H28" s="30">
        <v>78220.8</v>
      </c>
    </row>
    <row r="29" spans="3:8" ht="12.75">
      <c r="C29" s="2" t="str">
        <f>'Balance Sheet'!D29</f>
        <v>--------------------</v>
      </c>
      <c r="D29" s="14" t="s">
        <v>54</v>
      </c>
      <c r="E29" s="2" t="s">
        <v>54</v>
      </c>
      <c r="F29" s="2" t="s">
        <v>54</v>
      </c>
      <c r="G29" s="2" t="s">
        <v>54</v>
      </c>
      <c r="H29" s="30" t="s">
        <v>54</v>
      </c>
    </row>
    <row r="30" spans="2:8" ht="12.75">
      <c r="B30" t="str">
        <f>'Balance Sheet'!B30</f>
        <v>Total current liabilities</v>
      </c>
      <c r="C30" s="2" t="e">
        <f>'Balance Sheet'!D30</f>
        <v>#DIV/0!</v>
      </c>
      <c r="D30" s="40">
        <v>1251682.4090184665</v>
      </c>
      <c r="E30" s="2">
        <v>1017926.3620001664</v>
      </c>
      <c r="F30" s="2">
        <v>768908.4496126102</v>
      </c>
      <c r="G30" s="2">
        <v>836865.0781241934</v>
      </c>
      <c r="H30" s="30">
        <v>798173.339156553</v>
      </c>
    </row>
    <row r="31" spans="3:8" ht="12.75">
      <c r="C31" s="2"/>
      <c r="D31" s="40"/>
      <c r="E31" s="2"/>
      <c r="F31" s="2"/>
      <c r="G31" s="2"/>
      <c r="H31" s="30"/>
    </row>
    <row r="32" spans="2:8" ht="12.75">
      <c r="B32" t="str">
        <f>'Balance Sheet'!B32</f>
        <v>Long-term debt</v>
      </c>
      <c r="C32" s="2" t="e">
        <f>'Balance Sheet'!D32</f>
        <v>#DIV/0!</v>
      </c>
      <c r="D32" s="40">
        <v>4742537.567468059</v>
      </c>
      <c r="E32" s="2">
        <v>3928708.931420059</v>
      </c>
      <c r="F32" s="2">
        <v>3286209.9832796105</v>
      </c>
      <c r="G32" s="2">
        <v>2390227.213993311</v>
      </c>
      <c r="H32" s="30">
        <v>1908634.201251941</v>
      </c>
    </row>
    <row r="33" spans="3:8" ht="12.75">
      <c r="C33" s="2"/>
      <c r="D33" s="40"/>
      <c r="E33" s="2"/>
      <c r="F33" s="2"/>
      <c r="G33" s="2"/>
      <c r="H33" s="30"/>
    </row>
    <row r="34" spans="2:8" ht="12.75">
      <c r="B34" t="str">
        <f>'Balance Sheet'!B34</f>
        <v>Equity capital</v>
      </c>
      <c r="C34" s="2"/>
      <c r="D34" s="40"/>
      <c r="E34" s="2"/>
      <c r="F34" s="2"/>
      <c r="G34" s="2"/>
      <c r="H34" s="30"/>
    </row>
    <row r="35" spans="2:8" ht="12.75">
      <c r="B35" t="str">
        <f>'Balance Sheet'!B35</f>
        <v>Common stock, total par value</v>
      </c>
      <c r="C35" s="2">
        <f>'Balance Sheet'!D35</f>
        <v>200000</v>
      </c>
      <c r="D35" s="40">
        <v>200000</v>
      </c>
      <c r="E35" s="2">
        <v>100000</v>
      </c>
      <c r="F35" s="2">
        <v>100000</v>
      </c>
      <c r="G35" s="2">
        <v>100000</v>
      </c>
      <c r="H35" s="30">
        <v>100000</v>
      </c>
    </row>
    <row r="36" spans="2:8" ht="12.75">
      <c r="B36" t="str">
        <f>'Balance Sheet'!B36</f>
        <v>Capital surplus</v>
      </c>
      <c r="C36" s="2">
        <f>'Balance Sheet'!D36</f>
        <v>850000</v>
      </c>
      <c r="D36" s="40">
        <v>850000</v>
      </c>
      <c r="E36" s="2">
        <v>150000</v>
      </c>
      <c r="F36" s="2">
        <v>150000</v>
      </c>
      <c r="G36" s="2">
        <v>150000</v>
      </c>
      <c r="H36" s="30">
        <v>150000</v>
      </c>
    </row>
    <row r="37" spans="2:8" ht="12.75">
      <c r="B37" t="str">
        <f>'Balance Sheet'!B37</f>
        <v>Retained earnings</v>
      </c>
      <c r="C37" s="2" t="e">
        <f>'Balance Sheet'!D37</f>
        <v>#DIV/0!</v>
      </c>
      <c r="D37" s="40">
        <v>875236.6210942938</v>
      </c>
      <c r="E37" s="2">
        <v>793637.6825375787</v>
      </c>
      <c r="F37" s="2">
        <v>756236.0572221279</v>
      </c>
      <c r="G37" s="2">
        <v>757540.2955511354</v>
      </c>
      <c r="H37" s="30">
        <v>822688.9881127308</v>
      </c>
    </row>
    <row r="38" spans="3:8" ht="12.75">
      <c r="C38" s="2" t="str">
        <f>'Balance Sheet'!D38</f>
        <v>--------------------</v>
      </c>
      <c r="D38" s="26" t="s">
        <v>54</v>
      </c>
      <c r="E38" s="2" t="s">
        <v>54</v>
      </c>
      <c r="F38" s="2" t="s">
        <v>54</v>
      </c>
      <c r="G38" s="2" t="s">
        <v>54</v>
      </c>
      <c r="H38" s="30" t="s">
        <v>54</v>
      </c>
    </row>
    <row r="39" spans="2:8" ht="12.75">
      <c r="B39" t="str">
        <f>'Balance Sheet'!B39</f>
        <v>Total equity capital</v>
      </c>
      <c r="C39" s="2" t="e">
        <f>'Balance Sheet'!D39</f>
        <v>#DIV/0!</v>
      </c>
      <c r="D39" s="40">
        <v>1925236.621094294</v>
      </c>
      <c r="E39" s="2">
        <v>1043637.6825375787</v>
      </c>
      <c r="F39" s="2">
        <v>1006236.0572221279</v>
      </c>
      <c r="G39" s="2">
        <v>1007540.2955511354</v>
      </c>
      <c r="H39" s="30">
        <v>1072688.988112731</v>
      </c>
    </row>
    <row r="40" spans="3:8" ht="12.75">
      <c r="C40" s="2" t="str">
        <f>'Balance Sheet'!D40</f>
        <v>--------------------</v>
      </c>
      <c r="D40" s="26" t="s">
        <v>54</v>
      </c>
      <c r="E40" s="2" t="s">
        <v>54</v>
      </c>
      <c r="F40" s="2" t="s">
        <v>54</v>
      </c>
      <c r="G40" s="2" t="s">
        <v>54</v>
      </c>
      <c r="H40" s="30" t="s">
        <v>54</v>
      </c>
    </row>
    <row r="41" spans="2:8" ht="12.75">
      <c r="B41" t="str">
        <f>'Balance Sheet'!B41</f>
        <v>Total liabilities and equity capital</v>
      </c>
      <c r="C41" s="2" t="e">
        <f>'Balance Sheet'!D41</f>
        <v>#DIV/0!</v>
      </c>
      <c r="D41" s="40">
        <v>7919456.597580819</v>
      </c>
      <c r="E41" s="2">
        <v>5990272.975957804</v>
      </c>
      <c r="F41" s="2">
        <v>5061354.490114348</v>
      </c>
      <c r="G41" s="2">
        <v>4234632.58766864</v>
      </c>
      <c r="H41" s="30">
        <v>3779496.528521225</v>
      </c>
    </row>
    <row r="42" spans="3:8" ht="12.75">
      <c r="C42" s="2" t="str">
        <f>'Balance Sheet'!D42</f>
        <v>==========</v>
      </c>
      <c r="D42" s="26" t="s">
        <v>68</v>
      </c>
      <c r="E42" s="2" t="s">
        <v>68</v>
      </c>
      <c r="F42" s="2" t="s">
        <v>68</v>
      </c>
      <c r="G42" s="2" t="s">
        <v>68</v>
      </c>
      <c r="H42" s="30" t="s">
        <v>68</v>
      </c>
    </row>
    <row r="45" spans="2:8" ht="12.75">
      <c r="B45" t="s">
        <v>301</v>
      </c>
      <c r="C45" s="15" t="e">
        <f aca="true" t="shared" si="0" ref="C45:H45">C32/C15</f>
        <v>#DIV/0!</v>
      </c>
      <c r="D45" s="15">
        <f t="shared" si="0"/>
        <v>0.4648781864579591</v>
      </c>
      <c r="E45" s="15">
        <f t="shared" si="0"/>
        <v>0.500365518226812</v>
      </c>
      <c r="F45" s="15">
        <f t="shared" si="0"/>
        <v>0.4940422526886615</v>
      </c>
      <c r="G45" s="15">
        <f t="shared" si="0"/>
        <v>0.45084352802892047</v>
      </c>
      <c r="H45" s="15">
        <f t="shared" si="0"/>
        <v>0.41703484519818546</v>
      </c>
    </row>
    <row r="46" spans="4:8" ht="12.75">
      <c r="D46" s="9"/>
      <c r="E46" s="9"/>
      <c r="F46" s="9"/>
      <c r="G46" s="9"/>
      <c r="H46" s="9"/>
    </row>
    <row r="47" spans="2:8" ht="12.75">
      <c r="B47" t="s">
        <v>145</v>
      </c>
      <c r="C47" s="15">
        <v>0.5111775511930855</v>
      </c>
      <c r="D47" s="15">
        <v>0.4648781864579591</v>
      </c>
      <c r="E47" s="15">
        <v>0.500365518226812</v>
      </c>
      <c r="F47" s="15">
        <v>0.4940422526886615</v>
      </c>
      <c r="G47" s="15">
        <v>0.45084352802892047</v>
      </c>
      <c r="H47" s="15">
        <v>0.41703484519818546</v>
      </c>
    </row>
    <row r="48" spans="4:8" ht="12.75">
      <c r="D48" s="65"/>
      <c r="E48" s="65"/>
      <c r="F48" s="65"/>
      <c r="G48" s="65"/>
      <c r="H48" s="65"/>
    </row>
    <row r="49" spans="2:8" ht="12.75">
      <c r="B49" t="s">
        <v>302</v>
      </c>
      <c r="C49" s="15">
        <f>C15/H15-1</f>
        <v>1.2290574080151586</v>
      </c>
      <c r="D49" s="65"/>
      <c r="E49" s="65"/>
      <c r="F49" s="65"/>
      <c r="G49" s="65"/>
      <c r="H49" s="65"/>
    </row>
    <row r="51" spans="2:3" ht="12.75">
      <c r="B51" t="s">
        <v>303</v>
      </c>
      <c r="C51" s="15" t="e">
        <f>C32/H32-1</f>
        <v>#DIV/0!</v>
      </c>
    </row>
  </sheetData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workbookViewId="0" topLeftCell="A1">
      <selection activeCell="B37" sqref="B37"/>
    </sheetView>
  </sheetViews>
  <sheetFormatPr defaultColWidth="9.140625" defaultRowHeight="12.75"/>
  <cols>
    <col min="2" max="2" width="28.7109375" style="0" customWidth="1"/>
    <col min="3" max="12" width="12.7109375" style="0" customWidth="1"/>
  </cols>
  <sheetData>
    <row r="2" ht="12.75">
      <c r="B2" s="17" t="str">
        <f>Back!B2</f>
        <v>T &amp; M Energy Inc.</v>
      </c>
    </row>
    <row r="3" ht="12.75">
      <c r="B3" s="17"/>
    </row>
    <row r="4" ht="12.75">
      <c r="B4" s="17"/>
    </row>
    <row r="5" spans="2:9" ht="12.75">
      <c r="B5" s="17" t="str">
        <f>'Income Statement'!B5</f>
        <v>Income Statement</v>
      </c>
      <c r="C5" s="9">
        <f>'Income Statement'!D5</f>
        <v>2018</v>
      </c>
      <c r="D5" s="9">
        <v>2017</v>
      </c>
      <c r="E5" s="9">
        <v>2016</v>
      </c>
      <c r="F5" s="9">
        <v>2015</v>
      </c>
      <c r="G5" s="9">
        <v>2014</v>
      </c>
      <c r="H5" s="9">
        <v>2013</v>
      </c>
      <c r="I5" s="9"/>
    </row>
    <row r="6" spans="2:8" ht="12.75">
      <c r="B6" t="str">
        <f>'Income Statement'!B6</f>
        <v>-------------------------------------------------</v>
      </c>
      <c r="C6" t="str">
        <f>'Income Statement'!D6</f>
        <v>--------------------</v>
      </c>
      <c r="D6" s="10" t="s">
        <v>54</v>
      </c>
      <c r="E6" t="s">
        <v>54</v>
      </c>
      <c r="F6" t="s">
        <v>54</v>
      </c>
      <c r="G6" t="s">
        <v>54</v>
      </c>
      <c r="H6" t="s">
        <v>54</v>
      </c>
    </row>
    <row r="7" spans="2:8" ht="12.75">
      <c r="B7" t="str">
        <f>'Income Statement'!B7</f>
        <v>Net sales</v>
      </c>
      <c r="C7" s="30">
        <f>'Income Statement'!D7</f>
        <v>12884437.769130904</v>
      </c>
      <c r="D7" s="2">
        <v>12884437.769130904</v>
      </c>
      <c r="E7" s="30">
        <v>10919015.058585513</v>
      </c>
      <c r="F7" s="30">
        <v>9749120.58802278</v>
      </c>
      <c r="G7" s="30">
        <v>9197283.573606398</v>
      </c>
      <c r="H7" s="30">
        <v>8516003.308894813</v>
      </c>
    </row>
    <row r="8" spans="2:8" ht="12.75">
      <c r="B8" t="str">
        <f>'Income Statement'!B8</f>
        <v>Cost of goods sold</v>
      </c>
      <c r="C8" s="30">
        <f>'Income Statement'!D8</f>
        <v>939077.9519905162</v>
      </c>
      <c r="D8" s="2">
        <v>8720951.813201899</v>
      </c>
      <c r="E8" s="30">
        <v>7304663.463410869</v>
      </c>
      <c r="F8" s="30">
        <v>6575538.108606667</v>
      </c>
      <c r="G8" s="30">
        <v>6109105.423027485</v>
      </c>
      <c r="H8" s="30">
        <v>5792170.407939636</v>
      </c>
    </row>
    <row r="9" spans="3:8" ht="12.75">
      <c r="C9" s="30" t="str">
        <f>'Income Statement'!D9</f>
        <v>--------------------</v>
      </c>
      <c r="D9" s="14" t="s">
        <v>54</v>
      </c>
      <c r="E9" s="30" t="s">
        <v>54</v>
      </c>
      <c r="F9" s="30" t="s">
        <v>54</v>
      </c>
      <c r="G9" s="30" t="s">
        <v>54</v>
      </c>
      <c r="H9" s="30" t="s">
        <v>54</v>
      </c>
    </row>
    <row r="10" spans="2:8" ht="12.75">
      <c r="B10" t="str">
        <f>'Income Statement'!B10</f>
        <v>Gross profit</v>
      </c>
      <c r="C10" s="30">
        <f>'Income Statement'!D10</f>
        <v>11945359.817140387</v>
      </c>
      <c r="D10" s="2">
        <v>4163485.9559290055</v>
      </c>
      <c r="E10" s="30">
        <v>3614351.595174644</v>
      </c>
      <c r="F10" s="30">
        <v>3173582.4794161124</v>
      </c>
      <c r="G10" s="30">
        <v>3088178.1505789133</v>
      </c>
      <c r="H10" s="30">
        <v>2723832.900955177</v>
      </c>
    </row>
    <row r="11" spans="3:8" ht="12.75">
      <c r="C11" s="30"/>
      <c r="D11" s="2"/>
      <c r="E11" s="30"/>
      <c r="F11" s="30"/>
      <c r="G11" s="30"/>
      <c r="H11" s="30"/>
    </row>
    <row r="12" spans="2:8" ht="12.75">
      <c r="B12" t="str">
        <f>'Income Statement'!B12</f>
        <v>Administrative Expenses</v>
      </c>
      <c r="C12" s="30"/>
      <c r="D12" s="2"/>
      <c r="E12" s="30"/>
      <c r="F12" s="30"/>
      <c r="G12" s="30"/>
      <c r="H12" s="30"/>
    </row>
    <row r="13" spans="3:8" ht="12.75">
      <c r="C13" s="30"/>
      <c r="D13" s="2"/>
      <c r="E13" s="30"/>
      <c r="F13" s="30"/>
      <c r="G13" s="30"/>
      <c r="H13" s="30"/>
    </row>
    <row r="14" spans="2:8" ht="12.75">
      <c r="B14" t="str">
        <f>'Income Statement'!B14</f>
        <v>Salary expense</v>
      </c>
      <c r="C14" s="30">
        <f>'Income Statement'!D14</f>
        <v>0</v>
      </c>
      <c r="D14" s="2">
        <v>620000</v>
      </c>
      <c r="E14" s="30">
        <v>610000</v>
      </c>
      <c r="F14" s="30">
        <v>545000</v>
      </c>
      <c r="G14" s="30">
        <v>525000</v>
      </c>
      <c r="H14" s="30">
        <v>487600</v>
      </c>
    </row>
    <row r="15" spans="2:8" ht="12.75">
      <c r="B15" t="str">
        <f>'Income Statement'!B15</f>
        <v>Advertising expense</v>
      </c>
      <c r="C15" s="30">
        <f>'Income Statement'!D15</f>
        <v>0</v>
      </c>
      <c r="D15" s="2">
        <v>260000</v>
      </c>
      <c r="E15" s="30">
        <v>255000</v>
      </c>
      <c r="F15" s="30">
        <v>228000</v>
      </c>
      <c r="G15" s="30">
        <v>240750</v>
      </c>
      <c r="H15" s="30">
        <v>162000</v>
      </c>
    </row>
    <row r="16" spans="2:8" ht="12.75">
      <c r="B16" t="str">
        <f>'Income Statement'!B16</f>
        <v>Sales commissions</v>
      </c>
      <c r="C16" s="30">
        <f>'Income Statement'!D16</f>
        <v>0</v>
      </c>
      <c r="D16" s="2">
        <v>773066.2661478542</v>
      </c>
      <c r="E16" s="30">
        <v>655140.9035151309</v>
      </c>
      <c r="F16" s="30">
        <v>584947.2352813669</v>
      </c>
      <c r="G16" s="30">
        <v>551837.0144163839</v>
      </c>
      <c r="H16" s="30">
        <v>510960.19853368873</v>
      </c>
    </row>
    <row r="17" spans="2:8" ht="12.75">
      <c r="B17" t="str">
        <f>'Income Statement'!B17</f>
        <v>Lease expense</v>
      </c>
      <c r="C17" s="30">
        <f>'Income Statement'!D17</f>
        <v>0</v>
      </c>
      <c r="D17" s="2">
        <v>300000</v>
      </c>
      <c r="E17" s="30">
        <v>300000</v>
      </c>
      <c r="F17" s="30">
        <v>325000</v>
      </c>
      <c r="G17" s="30">
        <v>325000</v>
      </c>
      <c r="H17" s="30">
        <v>235760</v>
      </c>
    </row>
    <row r="18" spans="2:8" ht="12.75">
      <c r="B18" t="str">
        <f>'Income Statement'!B18</f>
        <v>Depreciation expense</v>
      </c>
      <c r="C18" s="30">
        <f>'Income Statement'!D18</f>
        <v>765125.85</v>
      </c>
      <c r="D18" s="2">
        <v>765125.85</v>
      </c>
      <c r="E18" s="30">
        <v>588875.85</v>
      </c>
      <c r="F18" s="30">
        <v>498875.85</v>
      </c>
      <c r="G18" s="30">
        <v>397625.85</v>
      </c>
      <c r="H18" s="30">
        <v>343250.85</v>
      </c>
    </row>
    <row r="19" spans="2:8" ht="12.75">
      <c r="B19" t="str">
        <f>'Income Statement'!B19</f>
        <v>Maintenance &amp; other expense</v>
      </c>
      <c r="C19" s="30">
        <f>'Income Statement'!D19</f>
        <v>0</v>
      </c>
      <c r="D19" s="2">
        <v>135000</v>
      </c>
      <c r="E19" s="30">
        <v>150000</v>
      </c>
      <c r="F19" s="30">
        <v>183000</v>
      </c>
      <c r="G19" s="30">
        <v>173620</v>
      </c>
      <c r="H19" s="30">
        <v>168400</v>
      </c>
    </row>
    <row r="20" spans="2:8" ht="12.75">
      <c r="B20" t="s">
        <v>307</v>
      </c>
      <c r="C20" s="30">
        <f>'Income Statement'!D20</f>
        <v>0</v>
      </c>
      <c r="D20" s="56">
        <v>150000</v>
      </c>
      <c r="E20" s="30">
        <v>120000</v>
      </c>
      <c r="F20" s="30">
        <v>0</v>
      </c>
      <c r="G20" s="30">
        <v>162090</v>
      </c>
      <c r="H20" s="30">
        <v>128000</v>
      </c>
    </row>
    <row r="21" spans="2:8" ht="12.75">
      <c r="B21" t="str">
        <f>'Income Statement'!B21</f>
        <v>Bad debt, charge accounts</v>
      </c>
      <c r="C21" s="30">
        <f>'Income Statement'!D21</f>
        <v>0</v>
      </c>
      <c r="D21" s="2">
        <v>184643.27439444565</v>
      </c>
      <c r="E21" s="30">
        <v>158652.3138891887</v>
      </c>
      <c r="F21" s="30">
        <v>143516.71220344762</v>
      </c>
      <c r="G21" s="30">
        <v>176380.05413250581</v>
      </c>
      <c r="H21" s="30">
        <v>162537.94197767973</v>
      </c>
    </row>
    <row r="22" spans="2:8" ht="12.75">
      <c r="B22" t="str">
        <f>'Income Statement'!B22</f>
        <v>Bad debt, bank credit cards</v>
      </c>
      <c r="C22" s="30">
        <f>'Income Statement'!D22</f>
        <v>0</v>
      </c>
      <c r="D22" s="2">
        <v>98476.41301037103</v>
      </c>
      <c r="E22" s="30">
        <v>84614.56740756732</v>
      </c>
      <c r="F22" s="30">
        <v>67504.38251684152</v>
      </c>
      <c r="G22" s="30">
        <v>54270.785886924874</v>
      </c>
      <c r="H22" s="30">
        <v>50011.67445467069</v>
      </c>
    </row>
    <row r="23" spans="2:8" ht="12.75">
      <c r="B23" t="str">
        <f>'Income Statement'!B23</f>
        <v>Bank card terminal fees</v>
      </c>
      <c r="C23" s="30">
        <f>'Income Statement'!D23</f>
        <v>0</v>
      </c>
      <c r="D23" s="2">
        <v>6184.5301291828355</v>
      </c>
      <c r="E23" s="30">
        <v>5241.127228121048</v>
      </c>
      <c r="F23" s="30">
        <v>4679.577882250936</v>
      </c>
      <c r="G23" s="30">
        <v>3311.0220864983025</v>
      </c>
      <c r="H23" s="30">
        <v>10219.203970673776</v>
      </c>
    </row>
    <row r="24" spans="2:8" ht="12.75">
      <c r="B24" t="str">
        <f>'Income Statement'!B24</f>
        <v>Bank card fee on sales</v>
      </c>
      <c r="C24" s="30">
        <f>'Income Statement'!D24</f>
        <v>0</v>
      </c>
      <c r="D24" s="2">
        <v>103075.50215304723</v>
      </c>
      <c r="E24" s="30">
        <v>87352.12046868412</v>
      </c>
      <c r="F24" s="30">
        <v>77992.96470418226</v>
      </c>
      <c r="G24" s="30">
        <v>82775.55216245758</v>
      </c>
      <c r="H24" s="30">
        <v>76644.02978005333</v>
      </c>
    </row>
    <row r="25" spans="3:8" ht="12.75">
      <c r="C25" s="30" t="str">
        <f>'Income Statement'!D25</f>
        <v>--------------------</v>
      </c>
      <c r="D25" s="14" t="s">
        <v>54</v>
      </c>
      <c r="E25" s="30" t="s">
        <v>54</v>
      </c>
      <c r="F25" s="30" t="s">
        <v>54</v>
      </c>
      <c r="G25" s="30" t="s">
        <v>54</v>
      </c>
      <c r="H25" s="30" t="s">
        <v>54</v>
      </c>
    </row>
    <row r="26" spans="2:8" ht="12.75">
      <c r="B26" t="str">
        <f>'Income Statement'!B26</f>
        <v>Total administrative expense</v>
      </c>
      <c r="C26" s="30">
        <f>'Income Statement'!D26</f>
        <v>765125.85</v>
      </c>
      <c r="D26" s="2">
        <v>3395571.835834901</v>
      </c>
      <c r="E26" s="30">
        <v>3014876.8825086923</v>
      </c>
      <c r="F26" s="30">
        <v>2658516.7225880893</v>
      </c>
      <c r="G26" s="30">
        <v>2692660.2786847707</v>
      </c>
      <c r="H26" s="30">
        <v>2335383.898716767</v>
      </c>
    </row>
    <row r="27" spans="3:8" ht="12.75">
      <c r="C27" s="30"/>
      <c r="D27" s="2"/>
      <c r="E27" s="30"/>
      <c r="F27" s="30"/>
      <c r="G27" s="30"/>
      <c r="H27" s="30"/>
    </row>
    <row r="28" spans="2:8" ht="12.75">
      <c r="B28" t="str">
        <f>'Income Statement'!B28</f>
        <v>EBIT</v>
      </c>
      <c r="C28" s="30">
        <f>'Income Statement'!D28</f>
        <v>11180233.967140388</v>
      </c>
      <c r="D28" s="2">
        <v>767914.1200941047</v>
      </c>
      <c r="E28" s="30">
        <v>599474.7126659518</v>
      </c>
      <c r="F28" s="30">
        <v>515065.7568280231</v>
      </c>
      <c r="G28" s="30">
        <v>395517.8718941426</v>
      </c>
      <c r="H28" s="30">
        <v>388449.00223841006</v>
      </c>
    </row>
    <row r="29" spans="3:8" ht="12.75">
      <c r="C29" s="30"/>
      <c r="D29" s="2"/>
      <c r="E29" s="30"/>
      <c r="F29" s="30"/>
      <c r="G29" s="30"/>
      <c r="H29" s="30"/>
    </row>
    <row r="30" spans="2:8" ht="12.75">
      <c r="B30" t="str">
        <f>'Income Statement'!B30</f>
        <v>Interest expense</v>
      </c>
      <c r="C30" s="30" t="e">
        <f>'Income Statement'!D30</f>
        <v>#DIV/0!</v>
      </c>
      <c r="D30" s="2">
        <v>387584.08941293263</v>
      </c>
      <c r="E30" s="30">
        <v>312708.44212894206</v>
      </c>
      <c r="F30" s="30">
        <v>281729.5662247897</v>
      </c>
      <c r="G30" s="30">
        <v>250543.3084984249</v>
      </c>
      <c r="H30" s="30">
        <v>201783.8180252479</v>
      </c>
    </row>
    <row r="31" spans="2:8" ht="12.75">
      <c r="B31" t="str">
        <f>'Income Statement'!B31</f>
        <v>Interest income</v>
      </c>
      <c r="C31" s="30" t="e">
        <f>'Income Statement'!D31</f>
        <v>#DIV/0!</v>
      </c>
      <c r="D31" s="2">
        <v>209.0754765509582</v>
      </c>
      <c r="E31" s="30">
        <v>262.95286224818227</v>
      </c>
      <c r="F31" s="30">
        <v>1387.8116548646444</v>
      </c>
      <c r="G31" s="30">
        <v>3473.149358883188</v>
      </c>
      <c r="H31" s="30">
        <v>3115.0872750137437</v>
      </c>
    </row>
    <row r="32" spans="3:8" ht="12.75">
      <c r="C32" s="30" t="str">
        <f>'Income Statement'!D32</f>
        <v>--------------------</v>
      </c>
      <c r="D32" s="14" t="s">
        <v>54</v>
      </c>
      <c r="E32" s="30" t="s">
        <v>54</v>
      </c>
      <c r="F32" s="30" t="s">
        <v>54</v>
      </c>
      <c r="G32" s="30" t="s">
        <v>54</v>
      </c>
      <c r="H32" s="30" t="s">
        <v>54</v>
      </c>
    </row>
    <row r="33" spans="2:8" ht="12.75">
      <c r="B33" t="str">
        <f>'Income Statement'!B33</f>
        <v>Profit before-tax</v>
      </c>
      <c r="C33" s="30" t="e">
        <f>'Income Statement'!D33</f>
        <v>#DIV/0!</v>
      </c>
      <c r="D33" s="2">
        <v>380539.106157723</v>
      </c>
      <c r="E33" s="30">
        <v>287029.2233992579</v>
      </c>
      <c r="F33" s="30">
        <v>234724.00225809804</v>
      </c>
      <c r="G33" s="30">
        <v>148447.71275460086</v>
      </c>
      <c r="H33" s="30">
        <v>189780.2714881759</v>
      </c>
    </row>
    <row r="34" spans="2:8" ht="12.75">
      <c r="B34" t="str">
        <f>'Income Statement'!B34</f>
        <v>Income tax     tax rate 26 %</v>
      </c>
      <c r="C34" s="30" t="e">
        <f>'Income Statement'!D34</f>
        <v>#DIV/0!</v>
      </c>
      <c r="D34" s="2">
        <v>98940.16760100798</v>
      </c>
      <c r="E34" s="30">
        <v>74627.59808380707</v>
      </c>
      <c r="F34" s="30">
        <v>61028.240587105494</v>
      </c>
      <c r="G34" s="30">
        <v>38596.40531619622</v>
      </c>
      <c r="H34" s="30">
        <v>49342.87058692574</v>
      </c>
    </row>
    <row r="35" spans="3:8" ht="12.75">
      <c r="C35" s="30" t="str">
        <f>'Income Statement'!D35</f>
        <v>--------------------</v>
      </c>
      <c r="D35" s="14" t="s">
        <v>54</v>
      </c>
      <c r="E35" s="30" t="s">
        <v>54</v>
      </c>
      <c r="F35" s="30" t="s">
        <v>54</v>
      </c>
      <c r="G35" s="30" t="s">
        <v>54</v>
      </c>
      <c r="H35" s="30" t="s">
        <v>54</v>
      </c>
    </row>
    <row r="36" spans="2:8" ht="12.75">
      <c r="B36" t="str">
        <f>'Income Statement'!B36</f>
        <v>Net income</v>
      </c>
      <c r="C36" s="30" t="e">
        <f>'Income Statement'!D36</f>
        <v>#DIV/0!</v>
      </c>
      <c r="D36" s="2">
        <v>281598.93855671503</v>
      </c>
      <c r="E36" s="30">
        <v>212401.62531545086</v>
      </c>
      <c r="F36" s="30">
        <v>173695.76167099254</v>
      </c>
      <c r="G36" s="30">
        <v>109851.30743840463</v>
      </c>
      <c r="H36" s="30">
        <v>140437.40090125016</v>
      </c>
    </row>
    <row r="37" spans="3:8" ht="12.75">
      <c r="C37" s="30" t="str">
        <f>'Income Statement'!D37</f>
        <v>==========</v>
      </c>
      <c r="D37" s="14" t="s">
        <v>68</v>
      </c>
      <c r="E37" s="30" t="s">
        <v>68</v>
      </c>
      <c r="F37" s="30" t="s">
        <v>68</v>
      </c>
      <c r="G37" s="30" t="s">
        <v>68</v>
      </c>
      <c r="H37" s="30" t="s">
        <v>68</v>
      </c>
    </row>
    <row r="38" spans="3:8" ht="12.75">
      <c r="C38" s="30"/>
      <c r="D38" s="14"/>
      <c r="E38" s="30"/>
      <c r="F38" s="30"/>
      <c r="G38" s="30"/>
      <c r="H38" s="30"/>
    </row>
    <row r="39" spans="2:8" ht="12.75">
      <c r="B39" t="str">
        <f>'Income Statement'!B39</f>
        <v>Dividends</v>
      </c>
      <c r="C39" s="30">
        <f>'Income Statement'!D39</f>
        <v>0</v>
      </c>
      <c r="D39" s="2">
        <v>200000</v>
      </c>
      <c r="E39" s="30">
        <v>175000</v>
      </c>
      <c r="F39" s="30">
        <v>175000</v>
      </c>
      <c r="G39" s="30">
        <v>175000</v>
      </c>
      <c r="H39" s="30">
        <v>140000</v>
      </c>
    </row>
    <row r="40" spans="2:8" ht="12.75">
      <c r="B40" t="str">
        <f>'Income Statement'!B40</f>
        <v>Net to retained earnings</v>
      </c>
      <c r="C40" s="30" t="e">
        <f>'Income Statement'!D40</f>
        <v>#DIV/0!</v>
      </c>
      <c r="D40" s="30">
        <v>81598.93855671503</v>
      </c>
      <c r="E40" s="30">
        <v>37401.62531545086</v>
      </c>
      <c r="F40" s="30">
        <v>-1304.238329007465</v>
      </c>
      <c r="G40" s="30">
        <v>-65148.692561595366</v>
      </c>
      <c r="H40" s="30">
        <v>437.40090125016286</v>
      </c>
    </row>
    <row r="41" spans="2:8" ht="12.75">
      <c r="B41" t="str">
        <f>'Income Statement'!B41</f>
        <v>Dividend per share</v>
      </c>
      <c r="C41" s="59">
        <f>'Income Statement'!D41</f>
        <v>0</v>
      </c>
      <c r="D41" s="16">
        <v>2</v>
      </c>
      <c r="E41" s="59">
        <v>1.75</v>
      </c>
      <c r="F41" s="59">
        <v>1.75</v>
      </c>
      <c r="G41" s="59">
        <v>1.75</v>
      </c>
      <c r="H41" s="59">
        <v>1.4</v>
      </c>
    </row>
    <row r="42" spans="2:8" ht="12.75">
      <c r="B42" t="str">
        <f>'Income Statement'!B42</f>
        <v>Earnings per share</v>
      </c>
      <c r="C42" s="59" t="e">
        <f>'Income Statement'!D42</f>
        <v>#DIV/0!</v>
      </c>
      <c r="D42" s="16">
        <v>2.8159893855671503</v>
      </c>
      <c r="E42" s="59">
        <v>2.1240162531545086</v>
      </c>
      <c r="F42" s="59">
        <v>1.7369576167099254</v>
      </c>
      <c r="G42" s="59">
        <v>1.0985130743840463</v>
      </c>
      <c r="H42" s="59">
        <v>1.4043740090125016</v>
      </c>
    </row>
    <row r="43" spans="3:8" ht="12.75">
      <c r="C43" s="58"/>
      <c r="D43" s="58"/>
      <c r="E43" s="58"/>
      <c r="F43" s="58"/>
      <c r="G43" s="58"/>
      <c r="H43" s="58"/>
    </row>
    <row r="44" spans="3:7" ht="12.75">
      <c r="C44" s="58"/>
      <c r="D44" s="58"/>
      <c r="E44" s="58"/>
      <c r="F44" s="58"/>
      <c r="G44" s="58"/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baylor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cretien</dc:creator>
  <cp:keywords/>
  <dc:description/>
  <cp:lastModifiedBy>Paul</cp:lastModifiedBy>
  <cp:lastPrinted>2017-04-24T20:20:57Z</cp:lastPrinted>
  <dcterms:created xsi:type="dcterms:W3CDTF">2004-03-19T04:49:25Z</dcterms:created>
  <dcterms:modified xsi:type="dcterms:W3CDTF">2017-07-21T01:27:36Z</dcterms:modified>
  <cp:category/>
  <cp:version/>
  <cp:contentType/>
  <cp:contentStatus/>
</cp:coreProperties>
</file>