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1. Sales\1. Pricing\2020\"/>
    </mc:Choice>
  </mc:AlternateContent>
  <workbookProtection workbookPassword="C6C1" lockStructure="1"/>
  <bookViews>
    <workbookView xWindow="0" yWindow="2580" windowWidth="28800" windowHeight="9720"/>
  </bookViews>
  <sheets>
    <sheet name="Order form" sheetId="2" r:id="rId1"/>
    <sheet name="Quotation" sheetId="4" r:id="rId2"/>
    <sheet name="Resume" sheetId="3" state="hidden" r:id="rId3"/>
    <sheet name="Commercial Invoice" sheetId="5" state="hidden" r:id="rId4"/>
    <sheet name="Nafta" sheetId="6" state="hidden" r:id="rId5"/>
  </sheets>
  <externalReferences>
    <externalReference r:id="rId6"/>
  </externalReferences>
  <definedNames>
    <definedName name="_xlnm._FilterDatabase" localSheetId="0" hidden="1">'Order form'!#REF!</definedName>
    <definedName name="_xlnm._FilterDatabase" localSheetId="2" hidden="1">Resume!$C$4:$O$4</definedName>
    <definedName name="_xlnm.Print_Area" localSheetId="3">'Commercial Invoice'!$B$1:$J$73</definedName>
    <definedName name="_xlnm.Print_Area" localSheetId="0">'Order form'!$A$1:$AB$589</definedName>
    <definedName name="_xlnm.Print_Area" localSheetId="2">Resume!$A$4:$D$204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27" i="3" l="1"/>
  <c r="F26" i="3"/>
  <c r="G26" i="3" s="1"/>
  <c r="E27" i="3"/>
  <c r="E26" i="3"/>
  <c r="D27" i="3"/>
  <c r="D26" i="3"/>
  <c r="C27" i="3"/>
  <c r="I27" i="3" s="1"/>
  <c r="C26" i="3"/>
  <c r="I26" i="3" s="1"/>
  <c r="K27" i="3"/>
  <c r="K26" i="3"/>
  <c r="M26" i="3" s="1"/>
  <c r="K25" i="3"/>
  <c r="K24" i="3"/>
  <c r="L24" i="3"/>
  <c r="L25" i="3"/>
  <c r="F25" i="3"/>
  <c r="G25" i="3" s="1"/>
  <c r="E25" i="3"/>
  <c r="D25" i="3"/>
  <c r="C25" i="3"/>
  <c r="M24" i="3"/>
  <c r="M25" i="3"/>
  <c r="I24" i="3"/>
  <c r="I25" i="3"/>
  <c r="F24" i="3"/>
  <c r="G24" i="3" s="1"/>
  <c r="E24" i="3"/>
  <c r="D24" i="3"/>
  <c r="C24" i="3"/>
  <c r="L27" i="3" l="1"/>
  <c r="G27" i="3"/>
  <c r="L26" i="3"/>
  <c r="M27" i="3"/>
  <c r="S76" i="2" l="1"/>
  <c r="N76" i="2"/>
  <c r="I76" i="2"/>
  <c r="D76" i="2"/>
  <c r="K166" i="3" l="1"/>
  <c r="K165" i="3"/>
  <c r="K164" i="3"/>
  <c r="N420" i="2"/>
  <c r="I420" i="2"/>
  <c r="D420" i="2"/>
  <c r="S442" i="2"/>
  <c r="C161" i="3" l="1"/>
  <c r="C160" i="3"/>
  <c r="C156" i="3"/>
  <c r="C155" i="3"/>
  <c r="C113" i="3"/>
  <c r="C90" i="3"/>
  <c r="C48" i="3"/>
  <c r="C47" i="3"/>
  <c r="K193" i="3"/>
  <c r="K192" i="3"/>
  <c r="M192" i="3" s="1"/>
  <c r="K191" i="3"/>
  <c r="M191" i="3" s="1"/>
  <c r="K190" i="3"/>
  <c r="M190" i="3" s="1"/>
  <c r="F193" i="3"/>
  <c r="F192" i="3"/>
  <c r="F191" i="3"/>
  <c r="M193" i="3"/>
  <c r="M194" i="3"/>
  <c r="F190" i="3"/>
  <c r="D193" i="3"/>
  <c r="C193" i="3"/>
  <c r="L193" i="3" s="1"/>
  <c r="D192" i="3"/>
  <c r="C192" i="3"/>
  <c r="D191" i="3"/>
  <c r="C191" i="3"/>
  <c r="D190" i="3"/>
  <c r="C190" i="3"/>
  <c r="I190" i="3" s="1"/>
  <c r="K189" i="3"/>
  <c r="I191" i="3"/>
  <c r="F189" i="3"/>
  <c r="D189" i="3"/>
  <c r="C189" i="3"/>
  <c r="I189" i="3" s="1"/>
  <c r="K186" i="3"/>
  <c r="M186" i="3" s="1"/>
  <c r="F186" i="3"/>
  <c r="D186" i="3"/>
  <c r="C186" i="3"/>
  <c r="I186" i="3" s="1"/>
  <c r="M202" i="3"/>
  <c r="F202" i="3"/>
  <c r="D202" i="3"/>
  <c r="C202" i="3"/>
  <c r="L202" i="3" s="1"/>
  <c r="M159" i="3"/>
  <c r="F159" i="3"/>
  <c r="D159" i="3"/>
  <c r="C159" i="3"/>
  <c r="L159" i="3" s="1"/>
  <c r="K176" i="3"/>
  <c r="M176" i="3" s="1"/>
  <c r="K175" i="3"/>
  <c r="M175" i="3" s="1"/>
  <c r="K173" i="3"/>
  <c r="F176" i="3"/>
  <c r="D176" i="3"/>
  <c r="C176" i="3"/>
  <c r="F175" i="3"/>
  <c r="D175" i="3"/>
  <c r="C175" i="3"/>
  <c r="G192" i="3" l="1"/>
  <c r="G189" i="3"/>
  <c r="G186" i="3"/>
  <c r="L175" i="3"/>
  <c r="L191" i="3"/>
  <c r="I193" i="3"/>
  <c r="G193" i="3"/>
  <c r="I192" i="3"/>
  <c r="G176" i="3"/>
  <c r="L189" i="3"/>
  <c r="L190" i="3"/>
  <c r="G190" i="3"/>
  <c r="L192" i="3"/>
  <c r="L186" i="3"/>
  <c r="M189" i="3"/>
  <c r="G191" i="3"/>
  <c r="G159" i="3"/>
  <c r="G202" i="3"/>
  <c r="I176" i="3"/>
  <c r="I175" i="3"/>
  <c r="L176" i="3"/>
  <c r="I159" i="3"/>
  <c r="I202" i="3"/>
  <c r="G175" i="3"/>
  <c r="K131" i="3" l="1"/>
  <c r="M131" i="3" s="1"/>
  <c r="K127" i="3"/>
  <c r="K126" i="3"/>
  <c r="M126" i="3" s="1"/>
  <c r="M127" i="3"/>
  <c r="F131" i="3"/>
  <c r="F127" i="3"/>
  <c r="F126" i="3"/>
  <c r="D131" i="3" l="1"/>
  <c r="D127" i="3"/>
  <c r="D126" i="3"/>
  <c r="C131" i="3"/>
  <c r="C127" i="3"/>
  <c r="C126" i="3"/>
  <c r="F109" i="3"/>
  <c r="G109" i="3" s="1"/>
  <c r="D109" i="3"/>
  <c r="K90" i="3"/>
  <c r="M90" i="3" s="1"/>
  <c r="F90" i="3"/>
  <c r="D90" i="3"/>
  <c r="L126" i="3" l="1"/>
  <c r="I126" i="3"/>
  <c r="G126" i="3"/>
  <c r="L127" i="3"/>
  <c r="I127" i="3"/>
  <c r="G127" i="3"/>
  <c r="L131" i="3"/>
  <c r="I131" i="3"/>
  <c r="G131" i="3"/>
  <c r="L90" i="3"/>
  <c r="I90" i="3"/>
  <c r="G90" i="3"/>
  <c r="F68" i="3"/>
  <c r="F69" i="3"/>
  <c r="G69" i="3" s="1"/>
  <c r="F47" i="3"/>
  <c r="F46" i="3"/>
  <c r="D69" i="3" l="1"/>
  <c r="K23" i="3"/>
  <c r="F23" i="3"/>
  <c r="D23" i="3"/>
  <c r="C23" i="3"/>
  <c r="I23" i="3" s="1"/>
  <c r="X488" i="2"/>
  <c r="S488" i="2"/>
  <c r="N477" i="2"/>
  <c r="N488" i="2"/>
  <c r="I488" i="2"/>
  <c r="D488" i="2"/>
  <c r="N442" i="2"/>
  <c r="K50" i="3"/>
  <c r="M50" i="3" s="1"/>
  <c r="F50" i="3"/>
  <c r="D50" i="3"/>
  <c r="C50" i="3"/>
  <c r="I50" i="3" s="1"/>
  <c r="G23" i="3" l="1"/>
  <c r="L23" i="3"/>
  <c r="M23" i="3"/>
  <c r="G50" i="3"/>
  <c r="L50" i="3"/>
  <c r="X318" i="2" l="1"/>
  <c r="S318" i="2"/>
  <c r="D226" i="2" l="1"/>
  <c r="S285" i="2" l="1"/>
  <c r="N285" i="2"/>
  <c r="I285" i="2"/>
  <c r="D128" i="2"/>
  <c r="I128" i="2"/>
  <c r="N128" i="2"/>
  <c r="D63" i="2"/>
  <c r="S329" i="2" l="1"/>
  <c r="F223" i="3" l="1"/>
  <c r="F11" i="3"/>
  <c r="K188" i="3"/>
  <c r="K187" i="3"/>
  <c r="M187" i="3" s="1"/>
  <c r="K185" i="3"/>
  <c r="M185" i="3" s="1"/>
  <c r="K184" i="3"/>
  <c r="M184" i="3" s="1"/>
  <c r="X163" i="2"/>
  <c r="F65" i="3" s="1"/>
  <c r="G65" i="3" s="1"/>
  <c r="K35" i="3"/>
  <c r="M35" i="3" s="1"/>
  <c r="C35" i="3"/>
  <c r="K118" i="3"/>
  <c r="M118" i="3" s="1"/>
  <c r="C118" i="3"/>
  <c r="I118" i="3" s="1"/>
  <c r="K136" i="3"/>
  <c r="M136" i="3" s="1"/>
  <c r="C136" i="3"/>
  <c r="I136" i="3" s="1"/>
  <c r="K135" i="3"/>
  <c r="C135" i="3"/>
  <c r="I135" i="3" s="1"/>
  <c r="K139" i="3"/>
  <c r="M139" i="3" s="1"/>
  <c r="C139" i="3"/>
  <c r="K182" i="3"/>
  <c r="M182" i="3" s="1"/>
  <c r="C182" i="3"/>
  <c r="I182" i="3" s="1"/>
  <c r="K183" i="3"/>
  <c r="M183" i="3" s="1"/>
  <c r="C183" i="3"/>
  <c r="C14" i="3"/>
  <c r="K14" i="3"/>
  <c r="M14" i="3" s="1"/>
  <c r="C15" i="3"/>
  <c r="I15" i="3" s="1"/>
  <c r="K15" i="3"/>
  <c r="M15" i="3" s="1"/>
  <c r="C16" i="3"/>
  <c r="I16" i="3" s="1"/>
  <c r="K16" i="3"/>
  <c r="C17" i="3"/>
  <c r="I17" i="3" s="1"/>
  <c r="K17" i="3"/>
  <c r="M17" i="3" s="1"/>
  <c r="C18" i="3"/>
  <c r="I18" i="3" s="1"/>
  <c r="K18" i="3"/>
  <c r="M18" i="3" s="1"/>
  <c r="C19" i="3"/>
  <c r="K19" i="3"/>
  <c r="M19" i="3" s="1"/>
  <c r="C20" i="3"/>
  <c r="I20" i="3" s="1"/>
  <c r="K20" i="3"/>
  <c r="M20" i="3" s="1"/>
  <c r="C28" i="3"/>
  <c r="I28" i="3" s="1"/>
  <c r="K28" i="3"/>
  <c r="M28" i="3" s="1"/>
  <c r="C29" i="3"/>
  <c r="I29" i="3" s="1"/>
  <c r="K29" i="3"/>
  <c r="M29" i="3" s="1"/>
  <c r="C30" i="3"/>
  <c r="I30" i="3" s="1"/>
  <c r="K30" i="3"/>
  <c r="M30" i="3" s="1"/>
  <c r="C31" i="3"/>
  <c r="I31" i="3" s="1"/>
  <c r="K31" i="3"/>
  <c r="M31" i="3" s="1"/>
  <c r="C32" i="3"/>
  <c r="I32" i="3" s="1"/>
  <c r="K32" i="3"/>
  <c r="M32" i="3" s="1"/>
  <c r="C33" i="3"/>
  <c r="I33" i="3" s="1"/>
  <c r="K33" i="3"/>
  <c r="M33" i="3" s="1"/>
  <c r="C34" i="3"/>
  <c r="I34" i="3" s="1"/>
  <c r="K34" i="3"/>
  <c r="M34" i="3" s="1"/>
  <c r="C36" i="3"/>
  <c r="K36" i="3"/>
  <c r="M36" i="3" s="1"/>
  <c r="C37" i="3"/>
  <c r="I37" i="3" s="1"/>
  <c r="K37" i="3"/>
  <c r="M37" i="3" s="1"/>
  <c r="C38" i="3"/>
  <c r="I38" i="3" s="1"/>
  <c r="K38" i="3"/>
  <c r="M38" i="3" s="1"/>
  <c r="C39" i="3"/>
  <c r="K39" i="3"/>
  <c r="M39" i="3" s="1"/>
  <c r="C40" i="3"/>
  <c r="I40" i="3" s="1"/>
  <c r="K40" i="3"/>
  <c r="M40" i="3" s="1"/>
  <c r="C41" i="3"/>
  <c r="I41" i="3" s="1"/>
  <c r="K41" i="3"/>
  <c r="M41" i="3" s="1"/>
  <c r="C42" i="3"/>
  <c r="K42" i="3"/>
  <c r="M42" i="3" s="1"/>
  <c r="C43" i="3"/>
  <c r="K43" i="3"/>
  <c r="C44" i="3"/>
  <c r="K44" i="3"/>
  <c r="M44" i="3" s="1"/>
  <c r="C45" i="3"/>
  <c r="I45" i="3" s="1"/>
  <c r="K45" i="3"/>
  <c r="C46" i="3"/>
  <c r="K46" i="3"/>
  <c r="M46" i="3" s="1"/>
  <c r="K47" i="3"/>
  <c r="M47" i="3" s="1"/>
  <c r="I48" i="3"/>
  <c r="K48" i="3"/>
  <c r="M48" i="3" s="1"/>
  <c r="C49" i="3"/>
  <c r="K49" i="3"/>
  <c r="M49" i="3" s="1"/>
  <c r="C70" i="3"/>
  <c r="K70" i="3"/>
  <c r="M70" i="3" s="1"/>
  <c r="C71" i="3"/>
  <c r="K71" i="3"/>
  <c r="M71" i="3" s="1"/>
  <c r="C72" i="3"/>
  <c r="K72" i="3"/>
  <c r="M72" i="3" s="1"/>
  <c r="C73" i="3"/>
  <c r="I73" i="3" s="1"/>
  <c r="K73" i="3"/>
  <c r="M73" i="3" s="1"/>
  <c r="C74" i="3"/>
  <c r="K74" i="3"/>
  <c r="M74" i="3" s="1"/>
  <c r="C75" i="3"/>
  <c r="K75" i="3"/>
  <c r="M75" i="3" s="1"/>
  <c r="C76" i="3"/>
  <c r="I76" i="3" s="1"/>
  <c r="K76" i="3"/>
  <c r="C77" i="3"/>
  <c r="I77" i="3" s="1"/>
  <c r="K77" i="3"/>
  <c r="M77" i="3" s="1"/>
  <c r="C78" i="3"/>
  <c r="I78" i="3" s="1"/>
  <c r="K78" i="3"/>
  <c r="M78" i="3" s="1"/>
  <c r="C79" i="3"/>
  <c r="K79" i="3"/>
  <c r="M79" i="3" s="1"/>
  <c r="C80" i="3"/>
  <c r="I80" i="3" s="1"/>
  <c r="K80" i="3"/>
  <c r="M80" i="3" s="1"/>
  <c r="C81" i="3"/>
  <c r="I81" i="3" s="1"/>
  <c r="K81" i="3"/>
  <c r="C82" i="3"/>
  <c r="K82" i="3"/>
  <c r="M82" i="3" s="1"/>
  <c r="C83" i="3"/>
  <c r="K83" i="3"/>
  <c r="M83" i="3" s="1"/>
  <c r="C84" i="3"/>
  <c r="I84" i="3" s="1"/>
  <c r="K84" i="3"/>
  <c r="M84" i="3" s="1"/>
  <c r="C85" i="3"/>
  <c r="I85" i="3" s="1"/>
  <c r="K85" i="3"/>
  <c r="M85" i="3" s="1"/>
  <c r="C86" i="3"/>
  <c r="I86" i="3" s="1"/>
  <c r="K86" i="3"/>
  <c r="M86" i="3" s="1"/>
  <c r="C87" i="3"/>
  <c r="K87" i="3"/>
  <c r="M87" i="3" s="1"/>
  <c r="C88" i="3"/>
  <c r="K88" i="3"/>
  <c r="M88" i="3" s="1"/>
  <c r="C89" i="3"/>
  <c r="I89" i="3" s="1"/>
  <c r="K89" i="3"/>
  <c r="C110" i="3"/>
  <c r="K110" i="3"/>
  <c r="M110" i="3" s="1"/>
  <c r="C111" i="3"/>
  <c r="K111" i="3"/>
  <c r="M111" i="3" s="1"/>
  <c r="C112" i="3"/>
  <c r="K112" i="3"/>
  <c r="K113" i="3"/>
  <c r="M113" i="3" s="1"/>
  <c r="C114" i="3"/>
  <c r="K114" i="3"/>
  <c r="M114" i="3" s="1"/>
  <c r="C115" i="3"/>
  <c r="I115" i="3" s="1"/>
  <c r="K115" i="3"/>
  <c r="M115" i="3" s="1"/>
  <c r="C116" i="3"/>
  <c r="I116" i="3" s="1"/>
  <c r="K116" i="3"/>
  <c r="C117" i="3"/>
  <c r="K117" i="3"/>
  <c r="M117" i="3" s="1"/>
  <c r="C119" i="3"/>
  <c r="I119" i="3" s="1"/>
  <c r="K119" i="3"/>
  <c r="M119" i="3" s="1"/>
  <c r="C120" i="3"/>
  <c r="K120" i="3"/>
  <c r="M120" i="3" s="1"/>
  <c r="C121" i="3"/>
  <c r="K121" i="3"/>
  <c r="M121" i="3" s="1"/>
  <c r="C122" i="3"/>
  <c r="I122" i="3" s="1"/>
  <c r="K122" i="3"/>
  <c r="M122" i="3" s="1"/>
  <c r="C123" i="3"/>
  <c r="K123" i="3"/>
  <c r="M123" i="3" s="1"/>
  <c r="C124" i="3"/>
  <c r="I124" i="3" s="1"/>
  <c r="K124" i="3"/>
  <c r="M124" i="3" s="1"/>
  <c r="C125" i="3"/>
  <c r="I125" i="3" s="1"/>
  <c r="K125" i="3"/>
  <c r="M125" i="3" s="1"/>
  <c r="C128" i="3"/>
  <c r="K128" i="3"/>
  <c r="M128" i="3" s="1"/>
  <c r="C129" i="3"/>
  <c r="K129" i="3"/>
  <c r="M129" i="3" s="1"/>
  <c r="C130" i="3"/>
  <c r="K130" i="3"/>
  <c r="M130" i="3" s="1"/>
  <c r="C132" i="3"/>
  <c r="K132" i="3"/>
  <c r="M132" i="3" s="1"/>
  <c r="C133" i="3"/>
  <c r="K133" i="3"/>
  <c r="M133" i="3" s="1"/>
  <c r="C134" i="3"/>
  <c r="K134" i="3"/>
  <c r="M134" i="3" s="1"/>
  <c r="C137" i="3"/>
  <c r="I137" i="3" s="1"/>
  <c r="K137" i="3"/>
  <c r="M137" i="3" s="1"/>
  <c r="C138" i="3"/>
  <c r="I138" i="3" s="1"/>
  <c r="K138" i="3"/>
  <c r="C140" i="3"/>
  <c r="L140" i="3" s="1"/>
  <c r="C141" i="3"/>
  <c r="I141" i="3" s="1"/>
  <c r="K141" i="3"/>
  <c r="M141" i="3" s="1"/>
  <c r="C142" i="3"/>
  <c r="K142" i="3"/>
  <c r="M142" i="3" s="1"/>
  <c r="C143" i="3"/>
  <c r="I143" i="3" s="1"/>
  <c r="K143" i="3"/>
  <c r="M143" i="3" s="1"/>
  <c r="C144" i="3"/>
  <c r="I144" i="3" s="1"/>
  <c r="K144" i="3"/>
  <c r="M144" i="3" s="1"/>
  <c r="C145" i="3"/>
  <c r="K145" i="3"/>
  <c r="M145" i="3" s="1"/>
  <c r="C146" i="3"/>
  <c r="I146" i="3" s="1"/>
  <c r="K146" i="3"/>
  <c r="M146" i="3" s="1"/>
  <c r="C147" i="3"/>
  <c r="L147" i="3" s="1"/>
  <c r="C148" i="3"/>
  <c r="L148" i="3" s="1"/>
  <c r="C149" i="3"/>
  <c r="C150" i="3"/>
  <c r="L150" i="3" s="1"/>
  <c r="K155" i="3"/>
  <c r="M155" i="3" s="1"/>
  <c r="I156" i="3"/>
  <c r="K156" i="3"/>
  <c r="M156" i="3" s="1"/>
  <c r="C157" i="3"/>
  <c r="I157" i="3" s="1"/>
  <c r="K157" i="3"/>
  <c r="C158" i="3"/>
  <c r="K158" i="3"/>
  <c r="M158" i="3" s="1"/>
  <c r="I160" i="3"/>
  <c r="K160" i="3"/>
  <c r="M160" i="3" s="1"/>
  <c r="K161" i="3"/>
  <c r="M161" i="3" s="1"/>
  <c r="C162" i="3"/>
  <c r="K162" i="3"/>
  <c r="M162" i="3" s="1"/>
  <c r="C163" i="3"/>
  <c r="K163" i="3"/>
  <c r="M163" i="3" s="1"/>
  <c r="C164" i="3"/>
  <c r="L164" i="3" s="1"/>
  <c r="C165" i="3"/>
  <c r="I165" i="3" s="1"/>
  <c r="C166" i="3"/>
  <c r="C167" i="3"/>
  <c r="I167" i="3" s="1"/>
  <c r="K167" i="3"/>
  <c r="M167" i="3" s="1"/>
  <c r="C168" i="3"/>
  <c r="I168" i="3" s="1"/>
  <c r="K168" i="3"/>
  <c r="C169" i="3"/>
  <c r="K169" i="3"/>
  <c r="M169" i="3" s="1"/>
  <c r="C170" i="3"/>
  <c r="K170" i="3"/>
  <c r="M170" i="3" s="1"/>
  <c r="C171" i="3"/>
  <c r="I171" i="3" s="1"/>
  <c r="K171" i="3"/>
  <c r="C172" i="3"/>
  <c r="I172" i="3" s="1"/>
  <c r="K172" i="3"/>
  <c r="M172" i="3" s="1"/>
  <c r="C173" i="3"/>
  <c r="M173" i="3"/>
  <c r="C174" i="3"/>
  <c r="K174" i="3"/>
  <c r="M174" i="3" s="1"/>
  <c r="C177" i="3"/>
  <c r="K177" i="3"/>
  <c r="M177" i="3" s="1"/>
  <c r="C178" i="3"/>
  <c r="I178" i="3" s="1"/>
  <c r="K178" i="3"/>
  <c r="C179" i="3"/>
  <c r="K179" i="3"/>
  <c r="M179" i="3" s="1"/>
  <c r="C180" i="3"/>
  <c r="K180" i="3"/>
  <c r="M180" i="3" s="1"/>
  <c r="C181" i="3"/>
  <c r="I181" i="3" s="1"/>
  <c r="K181" i="3"/>
  <c r="M181" i="3" s="1"/>
  <c r="C184" i="3"/>
  <c r="C185" i="3"/>
  <c r="C187" i="3"/>
  <c r="C188" i="3"/>
  <c r="I188" i="3" s="1"/>
  <c r="C203" i="3"/>
  <c r="L203" i="3" s="1"/>
  <c r="C204" i="3"/>
  <c r="C205" i="3"/>
  <c r="L205" i="3" s="1"/>
  <c r="C206" i="3"/>
  <c r="I206" i="3" s="1"/>
  <c r="C207" i="3"/>
  <c r="L207" i="3" s="1"/>
  <c r="C208" i="3"/>
  <c r="L208" i="3" s="1"/>
  <c r="C209" i="3"/>
  <c r="C210" i="3"/>
  <c r="I210" i="3" s="1"/>
  <c r="C211" i="3"/>
  <c r="L211" i="3" s="1"/>
  <c r="C199" i="3"/>
  <c r="I199" i="3" s="1"/>
  <c r="C194" i="3"/>
  <c r="L194" i="3" s="1"/>
  <c r="C4" i="3"/>
  <c r="L4" i="3" s="1"/>
  <c r="C5" i="3"/>
  <c r="L5" i="3" s="1"/>
  <c r="C6" i="3"/>
  <c r="I6" i="3" s="1"/>
  <c r="C7" i="3"/>
  <c r="L7" i="3" s="1"/>
  <c r="C8" i="3"/>
  <c r="L8" i="3" s="1"/>
  <c r="C9" i="3"/>
  <c r="L9" i="3" s="1"/>
  <c r="C10" i="3"/>
  <c r="C11" i="3"/>
  <c r="C12" i="3"/>
  <c r="L12" i="3" s="1"/>
  <c r="C13" i="3"/>
  <c r="C21" i="3"/>
  <c r="C22" i="3"/>
  <c r="I139" i="3"/>
  <c r="C151" i="3"/>
  <c r="C152" i="3"/>
  <c r="C153" i="3"/>
  <c r="C154" i="3"/>
  <c r="I154" i="3" s="1"/>
  <c r="C195" i="3"/>
  <c r="L195" i="3" s="1"/>
  <c r="C196" i="3"/>
  <c r="C197" i="3"/>
  <c r="I197" i="3" s="1"/>
  <c r="C198" i="3"/>
  <c r="C200" i="3"/>
  <c r="I200" i="3" s="1"/>
  <c r="C201" i="3"/>
  <c r="I201" i="3" s="1"/>
  <c r="C212" i="3"/>
  <c r="I212" i="3" s="1"/>
  <c r="C213" i="3"/>
  <c r="L213" i="3" s="1"/>
  <c r="C214" i="3"/>
  <c r="L214" i="3" s="1"/>
  <c r="C215" i="3"/>
  <c r="I215" i="3" s="1"/>
  <c r="C216" i="3"/>
  <c r="L216" i="3" s="1"/>
  <c r="C217" i="3"/>
  <c r="L217" i="3" s="1"/>
  <c r="C218" i="3"/>
  <c r="L218" i="3" s="1"/>
  <c r="C219" i="3"/>
  <c r="I219" i="3" s="1"/>
  <c r="C220" i="3"/>
  <c r="I220" i="3" s="1"/>
  <c r="C221" i="3"/>
  <c r="L221" i="3" s="1"/>
  <c r="C222" i="3"/>
  <c r="I222" i="3" s="1"/>
  <c r="C223" i="3"/>
  <c r="I223" i="3" s="1"/>
  <c r="C224" i="3"/>
  <c r="I224" i="3" s="1"/>
  <c r="C225" i="3"/>
  <c r="I225" i="3" s="1"/>
  <c r="C226" i="3"/>
  <c r="I226" i="3" s="1"/>
  <c r="H227" i="3"/>
  <c r="I227" i="3" s="1"/>
  <c r="H228" i="3"/>
  <c r="I228" i="3" s="1"/>
  <c r="K13" i="3"/>
  <c r="M13" i="3" s="1"/>
  <c r="K21" i="3"/>
  <c r="M21" i="3" s="1"/>
  <c r="K22" i="3"/>
  <c r="M22" i="3" s="1"/>
  <c r="F194" i="3"/>
  <c r="F199" i="3"/>
  <c r="F195" i="3"/>
  <c r="F196" i="3"/>
  <c r="F197" i="3"/>
  <c r="F198" i="3"/>
  <c r="F200" i="3"/>
  <c r="F203" i="3"/>
  <c r="F204" i="3"/>
  <c r="F205" i="3"/>
  <c r="F206" i="3"/>
  <c r="F207" i="3"/>
  <c r="F208" i="3"/>
  <c r="F209" i="3"/>
  <c r="F210" i="3"/>
  <c r="F211" i="3"/>
  <c r="F4" i="3"/>
  <c r="F5" i="3"/>
  <c r="F6" i="3"/>
  <c r="F7" i="3"/>
  <c r="F8" i="3"/>
  <c r="F9" i="3"/>
  <c r="F10" i="3"/>
  <c r="F12" i="3"/>
  <c r="F13" i="3"/>
  <c r="F14" i="3"/>
  <c r="F15" i="3"/>
  <c r="F16" i="3"/>
  <c r="F17" i="3"/>
  <c r="F18" i="3"/>
  <c r="F19" i="3"/>
  <c r="F20" i="3"/>
  <c r="F21" i="3"/>
  <c r="F22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8" i="3"/>
  <c r="F4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8" i="3"/>
  <c r="F129" i="3"/>
  <c r="F130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G144" i="3" s="1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7" i="3"/>
  <c r="F178" i="3"/>
  <c r="F179" i="3"/>
  <c r="F180" i="3"/>
  <c r="F181" i="3"/>
  <c r="F182" i="3"/>
  <c r="F183" i="3"/>
  <c r="F184" i="3"/>
  <c r="F185" i="3"/>
  <c r="F187" i="3"/>
  <c r="F188" i="3"/>
  <c r="F212" i="3"/>
  <c r="F213" i="3"/>
  <c r="F214" i="3"/>
  <c r="F215" i="3"/>
  <c r="F216" i="3"/>
  <c r="F217" i="3"/>
  <c r="F218" i="3"/>
  <c r="F219" i="3"/>
  <c r="F220" i="3"/>
  <c r="F221" i="3"/>
  <c r="F222" i="3"/>
  <c r="F224" i="3"/>
  <c r="F225" i="3"/>
  <c r="F226" i="3"/>
  <c r="C9" i="4"/>
  <c r="C8" i="4"/>
  <c r="C227" i="3"/>
  <c r="C228" i="3"/>
  <c r="C230" i="3"/>
  <c r="C231" i="3"/>
  <c r="F18" i="4"/>
  <c r="F2" i="3" s="1"/>
  <c r="B18" i="4"/>
  <c r="C2" i="3" s="1"/>
  <c r="C18" i="4"/>
  <c r="D2" i="3" s="1"/>
  <c r="D18" i="4"/>
  <c r="E2" i="3" s="1"/>
  <c r="N250" i="2"/>
  <c r="F98" i="3" s="1"/>
  <c r="G98" i="3" s="1"/>
  <c r="I250" i="2"/>
  <c r="S239" i="2"/>
  <c r="D140" i="3"/>
  <c r="D141" i="3"/>
  <c r="D217" i="3"/>
  <c r="D188" i="3"/>
  <c r="D187" i="3"/>
  <c r="D185" i="3"/>
  <c r="D184" i="3"/>
  <c r="M164" i="3"/>
  <c r="M165" i="3"/>
  <c r="M166" i="3"/>
  <c r="D163" i="3"/>
  <c r="D158" i="3"/>
  <c r="M154" i="3"/>
  <c r="D154" i="3"/>
  <c r="M147" i="3"/>
  <c r="M148" i="3"/>
  <c r="M149" i="3"/>
  <c r="M150" i="3"/>
  <c r="D150" i="3"/>
  <c r="D149" i="3"/>
  <c r="D148" i="3"/>
  <c r="D147" i="3"/>
  <c r="D146" i="3"/>
  <c r="M140" i="3"/>
  <c r="D136" i="3"/>
  <c r="I239" i="2"/>
  <c r="F92" i="3" s="1"/>
  <c r="G92" i="3" s="1"/>
  <c r="N239" i="2"/>
  <c r="F93" i="3" s="1"/>
  <c r="G93" i="3" s="1"/>
  <c r="F94" i="3"/>
  <c r="G94" i="3" s="1"/>
  <c r="X239" i="2"/>
  <c r="F95" i="3" s="1"/>
  <c r="G95" i="3" s="1"/>
  <c r="D250" i="2"/>
  <c r="F96" i="3" s="1"/>
  <c r="G96" i="3" s="1"/>
  <c r="F97" i="3"/>
  <c r="G97" i="3" s="1"/>
  <c r="S250" i="2"/>
  <c r="F99" i="3" s="1"/>
  <c r="G99" i="3" s="1"/>
  <c r="X250" i="2"/>
  <c r="F100" i="3" s="1"/>
  <c r="G100" i="3" s="1"/>
  <c r="D261" i="2"/>
  <c r="F101" i="3" s="1"/>
  <c r="G101" i="3" s="1"/>
  <c r="F102" i="3"/>
  <c r="G102" i="3" s="1"/>
  <c r="N261" i="2"/>
  <c r="F103" i="3" s="1"/>
  <c r="G103" i="3" s="1"/>
  <c r="S261" i="2"/>
  <c r="F104" i="3" s="1"/>
  <c r="G104" i="3" s="1"/>
  <c r="X261" i="2"/>
  <c r="F105" i="3" s="1"/>
  <c r="G105" i="3" s="1"/>
  <c r="D272" i="2"/>
  <c r="F106" i="3" s="1"/>
  <c r="G106" i="3" s="1"/>
  <c r="F107" i="3"/>
  <c r="G107" i="3" s="1"/>
  <c r="F108" i="3"/>
  <c r="G108" i="3" s="1"/>
  <c r="D108" i="3"/>
  <c r="D107" i="3"/>
  <c r="D106" i="3"/>
  <c r="D105" i="3"/>
  <c r="D104" i="3"/>
  <c r="D89" i="3"/>
  <c r="D88" i="3"/>
  <c r="D87" i="3"/>
  <c r="D86" i="3"/>
  <c r="D85" i="3"/>
  <c r="D82" i="3"/>
  <c r="D81" i="3"/>
  <c r="D80" i="3"/>
  <c r="D79" i="3"/>
  <c r="D77" i="3"/>
  <c r="D71" i="3"/>
  <c r="D72" i="3"/>
  <c r="D73" i="3"/>
  <c r="D74" i="3"/>
  <c r="D75" i="3"/>
  <c r="D76" i="3"/>
  <c r="D78" i="3"/>
  <c r="D83" i="3"/>
  <c r="D84" i="3"/>
  <c r="N196" i="2"/>
  <c r="I206" i="2"/>
  <c r="N206" i="2"/>
  <c r="X206" i="2"/>
  <c r="S206" i="2"/>
  <c r="X216" i="2"/>
  <c r="S216" i="2"/>
  <c r="N216" i="2"/>
  <c r="I216" i="2"/>
  <c r="D216" i="2"/>
  <c r="I351" i="2"/>
  <c r="X362" i="2"/>
  <c r="S408" i="2"/>
  <c r="S397" i="2"/>
  <c r="S455" i="2"/>
  <c r="I466" i="2"/>
  <c r="D466" i="2"/>
  <c r="X477" i="2"/>
  <c r="S477" i="2"/>
  <c r="I477" i="2"/>
  <c r="D477" i="2"/>
  <c r="X340" i="2"/>
  <c r="S141" i="2"/>
  <c r="F54" i="3" s="1"/>
  <c r="G54" i="3" s="1"/>
  <c r="D239" i="2"/>
  <c r="F91" i="3" s="1"/>
  <c r="G91" i="3" s="1"/>
  <c r="D174" i="2"/>
  <c r="F66" i="3" s="1"/>
  <c r="G66" i="3" s="1"/>
  <c r="S163" i="2"/>
  <c r="F64" i="3" s="1"/>
  <c r="G64" i="3" s="1"/>
  <c r="N163" i="2"/>
  <c r="F63" i="3" s="1"/>
  <c r="G63" i="3" s="1"/>
  <c r="F62" i="3"/>
  <c r="G62" i="3" s="1"/>
  <c r="D163" i="2"/>
  <c r="X152" i="2"/>
  <c r="F60" i="3" s="1"/>
  <c r="G60" i="3" s="1"/>
  <c r="S152" i="2"/>
  <c r="F59" i="3" s="1"/>
  <c r="G59" i="3" s="1"/>
  <c r="N152" i="2"/>
  <c r="F58" i="3" s="1"/>
  <c r="G58" i="3" s="1"/>
  <c r="I152" i="2"/>
  <c r="F57" i="3" s="1"/>
  <c r="G57" i="3" s="1"/>
  <c r="D152" i="2"/>
  <c r="F56" i="3" s="1"/>
  <c r="G56" i="3" s="1"/>
  <c r="X141" i="2"/>
  <c r="F55" i="3" s="1"/>
  <c r="G55" i="3" s="1"/>
  <c r="N141" i="2"/>
  <c r="F53" i="3" s="1"/>
  <c r="G53" i="3" s="1"/>
  <c r="I141" i="2"/>
  <c r="F52" i="3" s="1"/>
  <c r="G52" i="3" s="1"/>
  <c r="D141" i="2"/>
  <c r="F51" i="3" s="1"/>
  <c r="G51" i="3" s="1"/>
  <c r="F12" i="4"/>
  <c r="F11" i="4"/>
  <c r="F10" i="4"/>
  <c r="F9" i="4"/>
  <c r="M226" i="3"/>
  <c r="D226" i="3"/>
  <c r="M224" i="3"/>
  <c r="D225" i="3"/>
  <c r="D224" i="3"/>
  <c r="D223" i="3"/>
  <c r="D222" i="3"/>
  <c r="M222" i="3"/>
  <c r="M221" i="3"/>
  <c r="M220" i="3"/>
  <c r="M219" i="3"/>
  <c r="D221" i="3"/>
  <c r="D220" i="3"/>
  <c r="D219" i="3"/>
  <c r="D218" i="3"/>
  <c r="M225" i="3"/>
  <c r="M223" i="3"/>
  <c r="M218" i="3"/>
  <c r="M217" i="3"/>
  <c r="M212" i="3"/>
  <c r="M213" i="3"/>
  <c r="M214" i="3"/>
  <c r="M215" i="3"/>
  <c r="M216" i="3"/>
  <c r="D216" i="3"/>
  <c r="D215" i="3"/>
  <c r="D214" i="3"/>
  <c r="D213" i="3"/>
  <c r="D212" i="3"/>
  <c r="F228" i="3"/>
  <c r="G228" i="3" s="1"/>
  <c r="F227" i="3"/>
  <c r="G227" i="3" s="1"/>
  <c r="F31" i="2"/>
  <c r="D103" i="3"/>
  <c r="D102" i="3"/>
  <c r="D101" i="3"/>
  <c r="D100" i="3"/>
  <c r="M206" i="3"/>
  <c r="M207" i="3"/>
  <c r="M208" i="3"/>
  <c r="M209" i="3"/>
  <c r="M210" i="3"/>
  <c r="M211" i="3"/>
  <c r="D113" i="3"/>
  <c r="D112" i="3"/>
  <c r="D135" i="3"/>
  <c r="D134" i="3"/>
  <c r="S340" i="2"/>
  <c r="N340" i="2"/>
  <c r="I340" i="2"/>
  <c r="D340" i="2"/>
  <c r="B10" i="5"/>
  <c r="H14" i="6" s="1"/>
  <c r="D162" i="3"/>
  <c r="D161" i="3"/>
  <c r="D160" i="3"/>
  <c r="D145" i="3"/>
  <c r="D144" i="3"/>
  <c r="D143" i="3"/>
  <c r="D211" i="3"/>
  <c r="D210" i="3"/>
  <c r="D209" i="3"/>
  <c r="D208" i="3"/>
  <c r="D207" i="3"/>
  <c r="D206" i="3"/>
  <c r="H20" i="5"/>
  <c r="M4" i="3"/>
  <c r="M6" i="3"/>
  <c r="M8" i="3"/>
  <c r="M10" i="3"/>
  <c r="M43" i="3"/>
  <c r="M203" i="3"/>
  <c r="M204" i="3"/>
  <c r="G2" i="3"/>
  <c r="F61" i="3"/>
  <c r="G61" i="3" s="1"/>
  <c r="F67" i="3"/>
  <c r="G67" i="3" s="1"/>
  <c r="G68" i="3"/>
  <c r="N408" i="2"/>
  <c r="I408" i="2"/>
  <c r="D408" i="2"/>
  <c r="N362" i="2"/>
  <c r="I362" i="2"/>
  <c r="D362" i="2"/>
  <c r="S362" i="2"/>
  <c r="D182" i="3"/>
  <c r="D142" i="3"/>
  <c r="D118" i="3"/>
  <c r="X296" i="2"/>
  <c r="D455" i="2"/>
  <c r="I455" i="2"/>
  <c r="S466" i="2"/>
  <c r="X466" i="2"/>
  <c r="D174" i="3"/>
  <c r="D172" i="3"/>
  <c r="D173" i="3"/>
  <c r="I442" i="2"/>
  <c r="D442" i="2"/>
  <c r="D20" i="3"/>
  <c r="D19" i="3"/>
  <c r="D206" i="2"/>
  <c r="X196" i="2"/>
  <c r="N53" i="2"/>
  <c r="I53" i="2"/>
  <c r="D5" i="3"/>
  <c r="D6" i="3"/>
  <c r="D7" i="3"/>
  <c r="D8" i="3"/>
  <c r="D9" i="3"/>
  <c r="D10" i="3"/>
  <c r="D11" i="3"/>
  <c r="D12" i="3"/>
  <c r="M12" i="3"/>
  <c r="C63" i="4"/>
  <c r="E81" i="5"/>
  <c r="C22" i="5" s="1"/>
  <c r="D167" i="3"/>
  <c r="S420" i="2"/>
  <c r="M11" i="3"/>
  <c r="D4" i="3"/>
  <c r="D13" i="3"/>
  <c r="D14" i="3"/>
  <c r="D15" i="3"/>
  <c r="D16" i="3"/>
  <c r="D17" i="3"/>
  <c r="D18" i="3"/>
  <c r="D21" i="3"/>
  <c r="D22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70" i="3"/>
  <c r="D91" i="3"/>
  <c r="D92" i="3"/>
  <c r="D93" i="3"/>
  <c r="D94" i="3"/>
  <c r="D95" i="3"/>
  <c r="D96" i="3"/>
  <c r="D97" i="3"/>
  <c r="D98" i="3"/>
  <c r="D99" i="3"/>
  <c r="D110" i="3"/>
  <c r="D111" i="3"/>
  <c r="D114" i="3"/>
  <c r="D115" i="3"/>
  <c r="D116" i="3"/>
  <c r="D117" i="3"/>
  <c r="D130" i="3"/>
  <c r="D128" i="3"/>
  <c r="D129" i="3"/>
  <c r="D123" i="3"/>
  <c r="D124" i="3"/>
  <c r="D125" i="3"/>
  <c r="D119" i="3"/>
  <c r="D120" i="3"/>
  <c r="D121" i="3"/>
  <c r="D122" i="3"/>
  <c r="D132" i="3"/>
  <c r="D133" i="3"/>
  <c r="D137" i="3"/>
  <c r="D138" i="3"/>
  <c r="D139" i="3"/>
  <c r="D151" i="3"/>
  <c r="M151" i="3"/>
  <c r="D152" i="3"/>
  <c r="M152" i="3"/>
  <c r="D153" i="3"/>
  <c r="M153" i="3"/>
  <c r="D155" i="3"/>
  <c r="D156" i="3"/>
  <c r="D157" i="3"/>
  <c r="D164" i="3"/>
  <c r="D165" i="3"/>
  <c r="D166" i="3"/>
  <c r="D168" i="3"/>
  <c r="D169" i="3"/>
  <c r="D170" i="3"/>
  <c r="D171" i="3"/>
  <c r="D183" i="3"/>
  <c r="D177" i="3"/>
  <c r="D178" i="3"/>
  <c r="D179" i="3"/>
  <c r="D180" i="3"/>
  <c r="D181" i="3"/>
  <c r="D194" i="3"/>
  <c r="D195" i="3"/>
  <c r="M195" i="3"/>
  <c r="D196" i="3"/>
  <c r="M196" i="3"/>
  <c r="D197" i="3"/>
  <c r="M197" i="3"/>
  <c r="D198" i="3"/>
  <c r="M198" i="3"/>
  <c r="D199" i="3"/>
  <c r="D200" i="3"/>
  <c r="M200" i="3"/>
  <c r="D201" i="3"/>
  <c r="D203" i="3"/>
  <c r="D204" i="3"/>
  <c r="D205" i="3"/>
  <c r="M205" i="3"/>
  <c r="E227" i="3"/>
  <c r="E228" i="3"/>
  <c r="E229" i="3"/>
  <c r="E230" i="3"/>
  <c r="F230" i="3"/>
  <c r="E231" i="3"/>
  <c r="F231" i="3"/>
  <c r="M201" i="3"/>
  <c r="X53" i="2"/>
  <c r="S53" i="2"/>
  <c r="X43" i="2"/>
  <c r="S43" i="2"/>
  <c r="N43" i="2"/>
  <c r="I43" i="2"/>
  <c r="D43" i="2"/>
  <c r="D53" i="2"/>
  <c r="B8" i="6"/>
  <c r="B5" i="5"/>
  <c r="B9" i="6" s="1"/>
  <c r="B6" i="5"/>
  <c r="B10" i="6" s="1"/>
  <c r="B7" i="5"/>
  <c r="H15" i="6"/>
  <c r="L18" i="6"/>
  <c r="G20" i="5"/>
  <c r="G22" i="5"/>
  <c r="C25" i="5"/>
  <c r="D25" i="5"/>
  <c r="E25" i="5"/>
  <c r="F25" i="5"/>
  <c r="G25" i="5"/>
  <c r="I25" i="5"/>
  <c r="I61" i="5"/>
  <c r="I70" i="5"/>
  <c r="B4" i="4"/>
  <c r="B5" i="4"/>
  <c r="G5" i="4"/>
  <c r="G6" i="4" s="1"/>
  <c r="B6" i="4"/>
  <c r="F6" i="4"/>
  <c r="B8" i="4"/>
  <c r="E8" i="4"/>
  <c r="B9" i="4"/>
  <c r="E9" i="4"/>
  <c r="E11" i="4"/>
  <c r="E12" i="4"/>
  <c r="E13" i="4"/>
  <c r="B15" i="4"/>
  <c r="E15" i="4"/>
  <c r="G15" i="4"/>
  <c r="F59" i="4"/>
  <c r="B60" i="4"/>
  <c r="C238" i="3" s="1"/>
  <c r="D88" i="2"/>
  <c r="I88" i="2"/>
  <c r="N88" i="2"/>
  <c r="S88" i="2"/>
  <c r="X88" i="2"/>
  <c r="D98" i="2"/>
  <c r="I98" i="2"/>
  <c r="N98" i="2"/>
  <c r="S98" i="2"/>
  <c r="X98" i="2"/>
  <c r="D108" i="2"/>
  <c r="I108" i="2"/>
  <c r="N108" i="2"/>
  <c r="S108" i="2"/>
  <c r="X108" i="2"/>
  <c r="D118" i="2"/>
  <c r="I118" i="2"/>
  <c r="N118" i="2"/>
  <c r="S118" i="2"/>
  <c r="X118" i="2"/>
  <c r="D186" i="2"/>
  <c r="I186" i="2"/>
  <c r="N186" i="2"/>
  <c r="S186" i="2"/>
  <c r="X186" i="2"/>
  <c r="D196" i="2"/>
  <c r="I196" i="2"/>
  <c r="S196" i="2"/>
  <c r="D285" i="2"/>
  <c r="D296" i="2"/>
  <c r="I296" i="2"/>
  <c r="N296" i="2"/>
  <c r="S296" i="2"/>
  <c r="D307" i="2"/>
  <c r="I307" i="2"/>
  <c r="N307" i="2"/>
  <c r="S307" i="2"/>
  <c r="D318" i="2"/>
  <c r="I318" i="2"/>
  <c r="N318" i="2"/>
  <c r="D329" i="2"/>
  <c r="I329" i="2"/>
  <c r="N329" i="2"/>
  <c r="D351" i="2"/>
  <c r="N351" i="2"/>
  <c r="D397" i="2"/>
  <c r="I397" i="2"/>
  <c r="N397" i="2"/>
  <c r="D431" i="2"/>
  <c r="I431" i="2"/>
  <c r="N431" i="2"/>
  <c r="S431" i="2"/>
  <c r="X431" i="2"/>
  <c r="M5" i="3"/>
  <c r="M199" i="3"/>
  <c r="M9" i="3"/>
  <c r="M7" i="3"/>
  <c r="H22" i="5"/>
  <c r="I13" i="3" l="1"/>
  <c r="G148" i="3"/>
  <c r="L134" i="3"/>
  <c r="L129" i="3"/>
  <c r="I129" i="3"/>
  <c r="I130" i="3"/>
  <c r="L130" i="3"/>
  <c r="I133" i="3"/>
  <c r="L133" i="3"/>
  <c r="L128" i="3"/>
  <c r="I128" i="3"/>
  <c r="I132" i="3"/>
  <c r="L132" i="3"/>
  <c r="I112" i="3"/>
  <c r="G183" i="3"/>
  <c r="I70" i="3"/>
  <c r="G36" i="3"/>
  <c r="G40" i="3"/>
  <c r="G128" i="3"/>
  <c r="G188" i="3"/>
  <c r="G146" i="3"/>
  <c r="G210" i="3"/>
  <c r="G168" i="3"/>
  <c r="G118" i="3"/>
  <c r="G83" i="3"/>
  <c r="G75" i="3"/>
  <c r="G166" i="3"/>
  <c r="G142" i="3"/>
  <c r="G79" i="3"/>
  <c r="G43" i="3"/>
  <c r="G205" i="3"/>
  <c r="G215" i="3"/>
  <c r="G88" i="3"/>
  <c r="G72" i="3"/>
  <c r="L76" i="3"/>
  <c r="L89" i="3"/>
  <c r="G4" i="3"/>
  <c r="G18" i="3"/>
  <c r="L135" i="3"/>
  <c r="G135" i="3"/>
  <c r="N4" i="3"/>
  <c r="N5" i="3" s="1"/>
  <c r="N6" i="3" s="1"/>
  <c r="N7" i="3" s="1"/>
  <c r="N8" i="3" s="1"/>
  <c r="N9" i="3" s="1"/>
  <c r="N10" i="3" s="1"/>
  <c r="N11" i="3" s="1"/>
  <c r="N12" i="3" s="1"/>
  <c r="N13" i="3" s="1"/>
  <c r="N14" i="3" s="1"/>
  <c r="N15" i="3" s="1"/>
  <c r="N16" i="3" s="1"/>
  <c r="N17" i="3" s="1"/>
  <c r="N18" i="3" s="1"/>
  <c r="N19" i="3" s="1"/>
  <c r="N20" i="3" s="1"/>
  <c r="N21" i="3" s="1"/>
  <c r="N22" i="3" s="1"/>
  <c r="N23" i="3" s="1"/>
  <c r="N24" i="3" s="1"/>
  <c r="N25" i="3" s="1"/>
  <c r="N26" i="3" s="1"/>
  <c r="N27" i="3" s="1"/>
  <c r="G220" i="3"/>
  <c r="G212" i="3"/>
  <c r="G180" i="3"/>
  <c r="G115" i="3"/>
  <c r="G206" i="3"/>
  <c r="G11" i="3"/>
  <c r="L14" i="3"/>
  <c r="G231" i="3"/>
  <c r="G110" i="3"/>
  <c r="G213" i="3"/>
  <c r="L41" i="3"/>
  <c r="G170" i="3"/>
  <c r="G141" i="3"/>
  <c r="G114" i="3"/>
  <c r="G10" i="3"/>
  <c r="L171" i="3"/>
  <c r="G174" i="3"/>
  <c r="G140" i="3"/>
  <c r="G78" i="3"/>
  <c r="G70" i="3"/>
  <c r="L220" i="3"/>
  <c r="G185" i="3"/>
  <c r="G139" i="3"/>
  <c r="G77" i="3"/>
  <c r="G33" i="3"/>
  <c r="M135" i="3"/>
  <c r="G157" i="3"/>
  <c r="L226" i="3"/>
  <c r="G150" i="3"/>
  <c r="G143" i="3"/>
  <c r="G124" i="3"/>
  <c r="G37" i="3"/>
  <c r="G219" i="3"/>
  <c r="G162" i="3"/>
  <c r="G14" i="3"/>
  <c r="L167" i="3"/>
  <c r="L17" i="3"/>
  <c r="G218" i="3"/>
  <c r="G147" i="3"/>
  <c r="G13" i="3"/>
  <c r="L161" i="3"/>
  <c r="G203" i="3"/>
  <c r="I14" i="3"/>
  <c r="G216" i="3"/>
  <c r="G184" i="3"/>
  <c r="G167" i="3"/>
  <c r="G119" i="3"/>
  <c r="G76" i="3"/>
  <c r="L85" i="3"/>
  <c r="L38" i="3"/>
  <c r="G224" i="3"/>
  <c r="G209" i="3"/>
  <c r="L200" i="3"/>
  <c r="L222" i="3"/>
  <c r="L224" i="3"/>
  <c r="G222" i="3"/>
  <c r="G214" i="3"/>
  <c r="G182" i="3"/>
  <c r="G151" i="3"/>
  <c r="G17" i="3"/>
  <c r="G8" i="3"/>
  <c r="L178" i="3"/>
  <c r="L116" i="3"/>
  <c r="L81" i="3"/>
  <c r="L45" i="3"/>
  <c r="G47" i="3"/>
  <c r="G112" i="3"/>
  <c r="L112" i="3"/>
  <c r="I216" i="3"/>
  <c r="I11" i="3"/>
  <c r="I5" i="3"/>
  <c r="L154" i="3"/>
  <c r="L110" i="3"/>
  <c r="G39" i="3"/>
  <c r="I9" i="3"/>
  <c r="G152" i="3"/>
  <c r="G200" i="3"/>
  <c r="L157" i="3"/>
  <c r="G208" i="3"/>
  <c r="G198" i="3"/>
  <c r="I208" i="3"/>
  <c r="L210" i="3"/>
  <c r="G154" i="3"/>
  <c r="L11" i="3"/>
  <c r="I207" i="3"/>
  <c r="L40" i="3"/>
  <c r="M171" i="3"/>
  <c r="M157" i="3"/>
  <c r="G136" i="3"/>
  <c r="I195" i="3"/>
  <c r="I152" i="3"/>
  <c r="G163" i="3"/>
  <c r="L138" i="3"/>
  <c r="L16" i="3"/>
  <c r="L136" i="3"/>
  <c r="G230" i="3"/>
  <c r="G223" i="3"/>
  <c r="I203" i="3"/>
  <c r="L143" i="3"/>
  <c r="L113" i="3"/>
  <c r="G82" i="3"/>
  <c r="L74" i="3"/>
  <c r="I148" i="3"/>
  <c r="I10" i="3"/>
  <c r="L121" i="3"/>
  <c r="G116" i="3"/>
  <c r="G132" i="3"/>
  <c r="G122" i="3"/>
  <c r="I4" i="3"/>
  <c r="L142" i="3"/>
  <c r="G138" i="3"/>
  <c r="G86" i="3"/>
  <c r="G21" i="3"/>
  <c r="I110" i="3"/>
  <c r="L173" i="3"/>
  <c r="G120" i="3"/>
  <c r="G12" i="3"/>
  <c r="L10" i="3"/>
  <c r="L172" i="3"/>
  <c r="G169" i="3"/>
  <c r="L44" i="3"/>
  <c r="G153" i="3"/>
  <c r="L168" i="3"/>
  <c r="L122" i="3"/>
  <c r="G199" i="3"/>
  <c r="L42" i="3"/>
  <c r="G160" i="3"/>
  <c r="I164" i="3"/>
  <c r="G221" i="3"/>
  <c r="G172" i="3"/>
  <c r="G89" i="3"/>
  <c r="I74" i="3"/>
  <c r="L180" i="3"/>
  <c r="L177" i="3"/>
  <c r="L158" i="3"/>
  <c r="G149" i="3"/>
  <c r="L123" i="3"/>
  <c r="L49" i="3"/>
  <c r="L6" i="3"/>
  <c r="M16" i="3"/>
  <c r="G165" i="3"/>
  <c r="G81" i="3"/>
  <c r="G74" i="3"/>
  <c r="G46" i="3"/>
  <c r="G19" i="3"/>
  <c r="G5" i="3"/>
  <c r="I214" i="3"/>
  <c r="I150" i="3"/>
  <c r="L13" i="3"/>
  <c r="L80" i="3"/>
  <c r="L48" i="3"/>
  <c r="L18" i="3"/>
  <c r="L155" i="3"/>
  <c r="I113" i="3"/>
  <c r="M116" i="3"/>
  <c r="G226" i="3"/>
  <c r="G130" i="3"/>
  <c r="G121" i="3"/>
  <c r="G73" i="3"/>
  <c r="G31" i="3"/>
  <c r="L152" i="3"/>
  <c r="I180" i="3"/>
  <c r="I7" i="3"/>
  <c r="I194" i="3"/>
  <c r="L187" i="3"/>
  <c r="G35" i="3"/>
  <c r="G217" i="3"/>
  <c r="L181" i="3"/>
  <c r="G181" i="3"/>
  <c r="M168" i="3"/>
  <c r="L215" i="3"/>
  <c r="G164" i="3"/>
  <c r="G155" i="3"/>
  <c r="G129" i="3"/>
  <c r="G38" i="3"/>
  <c r="G9" i="3"/>
  <c r="L199" i="3"/>
  <c r="I218" i="3"/>
  <c r="I121" i="3"/>
  <c r="L185" i="3"/>
  <c r="L31" i="3"/>
  <c r="G134" i="3"/>
  <c r="G34" i="3"/>
  <c r="G6" i="3"/>
  <c r="G145" i="3"/>
  <c r="L77" i="3"/>
  <c r="L212" i="3"/>
  <c r="G178" i="3"/>
  <c r="G113" i="3"/>
  <c r="G85" i="3"/>
  <c r="L206" i="3"/>
  <c r="G179" i="3"/>
  <c r="L165" i="3"/>
  <c r="L146" i="3"/>
  <c r="G187" i="3"/>
  <c r="G173" i="3"/>
  <c r="G161" i="3"/>
  <c r="G133" i="3"/>
  <c r="G117" i="3"/>
  <c r="I123" i="3"/>
  <c r="M178" i="3"/>
  <c r="M138" i="3"/>
  <c r="M45" i="3"/>
  <c r="M81" i="3"/>
  <c r="M89" i="3"/>
  <c r="G137" i="3"/>
  <c r="G123" i="3"/>
  <c r="G111" i="3"/>
  <c r="G84" i="3"/>
  <c r="G71" i="3"/>
  <c r="G45" i="3"/>
  <c r="G32" i="3"/>
  <c r="G20" i="3"/>
  <c r="G7" i="3"/>
  <c r="G211" i="3"/>
  <c r="G207" i="3"/>
  <c r="I205" i="3"/>
  <c r="I179" i="3"/>
  <c r="I147" i="3"/>
  <c r="I44" i="3"/>
  <c r="L184" i="3"/>
  <c r="L179" i="3"/>
  <c r="L144" i="3"/>
  <c r="L124" i="3"/>
  <c r="L33" i="3"/>
  <c r="L182" i="3"/>
  <c r="L219" i="3"/>
  <c r="M112" i="3"/>
  <c r="L225" i="3"/>
  <c r="G44" i="3"/>
  <c r="G201" i="3"/>
  <c r="G194" i="3"/>
  <c r="I221" i="3"/>
  <c r="I217" i="3"/>
  <c r="I213" i="3"/>
  <c r="I120" i="3"/>
  <c r="I42" i="3"/>
  <c r="L120" i="3"/>
  <c r="L115" i="3"/>
  <c r="L86" i="3"/>
  <c r="L37" i="3"/>
  <c r="L32" i="3"/>
  <c r="L29" i="3"/>
  <c r="I187" i="3"/>
  <c r="I177" i="3"/>
  <c r="I163" i="3"/>
  <c r="G177" i="3"/>
  <c r="G171" i="3"/>
  <c r="G158" i="3"/>
  <c r="G49" i="3"/>
  <c r="G30" i="3"/>
  <c r="I185" i="3"/>
  <c r="I173" i="3"/>
  <c r="L169" i="3"/>
  <c r="L78" i="3"/>
  <c r="L201" i="3"/>
  <c r="L223" i="3"/>
  <c r="G225" i="3"/>
  <c r="G87" i="3"/>
  <c r="G48" i="3"/>
  <c r="G42" i="3"/>
  <c r="G29" i="3"/>
  <c r="G16" i="3"/>
  <c r="L197" i="3"/>
  <c r="I184" i="3"/>
  <c r="I158" i="3"/>
  <c r="I142" i="3"/>
  <c r="I12" i="3"/>
  <c r="I8" i="3"/>
  <c r="L160" i="3"/>
  <c r="L137" i="3"/>
  <c r="L70" i="3"/>
  <c r="L20" i="3"/>
  <c r="M76" i="3"/>
  <c r="G125" i="3"/>
  <c r="G80" i="3"/>
  <c r="G41" i="3"/>
  <c r="G28" i="3"/>
  <c r="G15" i="3"/>
  <c r="G196" i="3"/>
  <c r="I211" i="3"/>
  <c r="I140" i="3"/>
  <c r="I49" i="3"/>
  <c r="L163" i="3"/>
  <c r="L125" i="3"/>
  <c r="L84" i="3"/>
  <c r="L73" i="3"/>
  <c r="I161" i="3"/>
  <c r="G156" i="3"/>
  <c r="L28" i="3"/>
  <c r="I155" i="3"/>
  <c r="I22" i="3"/>
  <c r="L22" i="3"/>
  <c r="L204" i="3"/>
  <c r="I204" i="3"/>
  <c r="M188" i="3"/>
  <c r="L188" i="3"/>
  <c r="G22" i="3"/>
  <c r="I198" i="3"/>
  <c r="L198" i="3"/>
  <c r="I151" i="3"/>
  <c r="L151" i="3"/>
  <c r="L21" i="3"/>
  <c r="I21" i="3"/>
  <c r="I162" i="3"/>
  <c r="L162" i="3"/>
  <c r="I134" i="3"/>
  <c r="L35" i="3"/>
  <c r="I35" i="3"/>
  <c r="G204" i="3"/>
  <c r="I169" i="3"/>
  <c r="L153" i="3"/>
  <c r="I153" i="3"/>
  <c r="L209" i="3"/>
  <c r="I209" i="3"/>
  <c r="L114" i="3"/>
  <c r="I114" i="3"/>
  <c r="L88" i="3"/>
  <c r="I88" i="3"/>
  <c r="L79" i="3"/>
  <c r="I79" i="3"/>
  <c r="L72" i="3"/>
  <c r="I72" i="3"/>
  <c r="L43" i="3"/>
  <c r="I43" i="3"/>
  <c r="L36" i="3"/>
  <c r="I36" i="3"/>
  <c r="L19" i="3"/>
  <c r="I19" i="3"/>
  <c r="I145" i="3"/>
  <c r="L145" i="3"/>
  <c r="L117" i="3"/>
  <c r="I117" i="3"/>
  <c r="L82" i="3"/>
  <c r="I82" i="3"/>
  <c r="L46" i="3"/>
  <c r="I46" i="3"/>
  <c r="I183" i="3"/>
  <c r="L183" i="3"/>
  <c r="I196" i="3"/>
  <c r="L196" i="3"/>
  <c r="L170" i="3"/>
  <c r="I170" i="3"/>
  <c r="L156" i="3"/>
  <c r="L141" i="3"/>
  <c r="L119" i="3"/>
  <c r="L83" i="3"/>
  <c r="I83" i="3"/>
  <c r="L47" i="3"/>
  <c r="I47" i="3"/>
  <c r="L30" i="3"/>
  <c r="L139" i="3"/>
  <c r="L118" i="3"/>
  <c r="L174" i="3"/>
  <c r="I174" i="3"/>
  <c r="L87" i="3"/>
  <c r="I87" i="3"/>
  <c r="L71" i="3"/>
  <c r="I71" i="3"/>
  <c r="L34" i="3"/>
  <c r="G197" i="3"/>
  <c r="L166" i="3"/>
  <c r="I166" i="3"/>
  <c r="L149" i="3"/>
  <c r="I149" i="3"/>
  <c r="L111" i="3"/>
  <c r="I111" i="3"/>
  <c r="L75" i="3"/>
  <c r="I75" i="3"/>
  <c r="L39" i="3"/>
  <c r="I39" i="3"/>
  <c r="L15" i="3"/>
  <c r="G195" i="3"/>
  <c r="O13" i="3" l="1"/>
  <c r="Y573" i="2" s="1"/>
  <c r="O151" i="3"/>
  <c r="Y577" i="2" s="1"/>
  <c r="O194" i="3"/>
  <c r="O177" i="3"/>
  <c r="Y579" i="2" s="1"/>
  <c r="O155" i="3"/>
  <c r="Y578" i="2" s="1"/>
  <c r="O203" i="3"/>
  <c r="Y580" i="2" s="1"/>
  <c r="O212" i="3"/>
  <c r="Y581" i="2" s="1"/>
  <c r="N28" i="3"/>
  <c r="N29" i="3" s="1"/>
  <c r="N30" i="3" s="1"/>
  <c r="N31" i="3" s="1"/>
  <c r="N32" i="3" s="1"/>
  <c r="N33" i="3" s="1"/>
  <c r="N34" i="3" s="1"/>
  <c r="N35" i="3" s="1"/>
  <c r="N36" i="3" s="1"/>
  <c r="N37" i="3" s="1"/>
  <c r="N38" i="3" s="1"/>
  <c r="N39" i="3" s="1"/>
  <c r="N40" i="3" s="1"/>
  <c r="N41" i="3" s="1"/>
  <c r="N42" i="3" s="1"/>
  <c r="N43" i="3" s="1"/>
  <c r="N44" i="3" s="1"/>
  <c r="N45" i="3" s="1"/>
  <c r="N46" i="3" s="1"/>
  <c r="N47" i="3" s="1"/>
  <c r="N48" i="3" s="1"/>
  <c r="N49" i="3" s="1"/>
  <c r="N51" i="3" s="1"/>
  <c r="N52" i="3" s="1"/>
  <c r="N53" i="3" s="1"/>
  <c r="N54" i="3" s="1"/>
  <c r="N55" i="3" s="1"/>
  <c r="N56" i="3" s="1"/>
  <c r="N57" i="3" s="1"/>
  <c r="N58" i="3" s="1"/>
  <c r="N59" i="3" s="1"/>
  <c r="N60" i="3" s="1"/>
  <c r="N61" i="3" s="1"/>
  <c r="N62" i="3" s="1"/>
  <c r="N63" i="3" s="1"/>
  <c r="N64" i="3" s="1"/>
  <c r="N65" i="3" s="1"/>
  <c r="N66" i="3" s="1"/>
  <c r="N67" i="3" s="1"/>
  <c r="N68" i="3" s="1"/>
  <c r="O28" i="3"/>
  <c r="Y574" i="2" s="1"/>
  <c r="O110" i="3"/>
  <c r="Y576" i="2" s="1"/>
  <c r="O89" i="3"/>
  <c r="Y575" i="2" s="1"/>
  <c r="O4" i="3"/>
  <c r="Y572" i="2" s="1"/>
  <c r="L234" i="3"/>
  <c r="I233" i="3"/>
  <c r="D63" i="4" s="1"/>
  <c r="L235" i="3"/>
  <c r="L236" i="3"/>
  <c r="N50" i="3" l="1"/>
  <c r="N69" i="3"/>
  <c r="N70" i="3" s="1"/>
  <c r="N71" i="3" s="1"/>
  <c r="N72" i="3" s="1"/>
  <c r="N73" i="3" s="1"/>
  <c r="N74" i="3" s="1"/>
  <c r="N75" i="3" s="1"/>
  <c r="N76" i="3" s="1"/>
  <c r="N77" i="3" s="1"/>
  <c r="N78" i="3" s="1"/>
  <c r="N79" i="3" s="1"/>
  <c r="N80" i="3" s="1"/>
  <c r="N81" i="3" s="1"/>
  <c r="N82" i="3" s="1"/>
  <c r="N83" i="3" s="1"/>
  <c r="N84" i="3" s="1"/>
  <c r="N85" i="3" s="1"/>
  <c r="N86" i="3" s="1"/>
  <c r="N87" i="3" s="1"/>
  <c r="N88" i="3" s="1"/>
  <c r="N89" i="3" s="1"/>
  <c r="Y584" i="2"/>
  <c r="Y585" i="2" s="1"/>
  <c r="Y588" i="2" s="1"/>
  <c r="Y1" i="2" s="1"/>
  <c r="D241" i="3"/>
  <c r="F241" i="3" s="1"/>
  <c r="D240" i="3"/>
  <c r="F240" i="3" s="1"/>
  <c r="D60" i="4"/>
  <c r="E238" i="3" s="1"/>
  <c r="D243" i="3"/>
  <c r="F243" i="3" s="1"/>
  <c r="D239" i="3"/>
  <c r="F239" i="3" s="1"/>
  <c r="G239" i="3" s="1"/>
  <c r="D242" i="3"/>
  <c r="F242" i="3" s="1"/>
  <c r="N91" i="3" l="1"/>
  <c r="N92" i="3" s="1"/>
  <c r="N93" i="3" s="1"/>
  <c r="N94" i="3" s="1"/>
  <c r="N95" i="3" s="1"/>
  <c r="N96" i="3" s="1"/>
  <c r="N97" i="3" s="1"/>
  <c r="N98" i="3" s="1"/>
  <c r="N99" i="3" s="1"/>
  <c r="N100" i="3" s="1"/>
  <c r="N101" i="3" s="1"/>
  <c r="N102" i="3" s="1"/>
  <c r="N103" i="3" s="1"/>
  <c r="N104" i="3" s="1"/>
  <c r="N105" i="3" s="1"/>
  <c r="N106" i="3" s="1"/>
  <c r="N107" i="3" s="1"/>
  <c r="N108" i="3" s="1"/>
  <c r="N109" i="3" s="1"/>
  <c r="N110" i="3" s="1"/>
  <c r="N111" i="3" s="1"/>
  <c r="N112" i="3" s="1"/>
  <c r="N113" i="3" s="1"/>
  <c r="N114" i="3" s="1"/>
  <c r="N115" i="3" s="1"/>
  <c r="N116" i="3" s="1"/>
  <c r="N117" i="3" s="1"/>
  <c r="N118" i="3" s="1"/>
  <c r="N119" i="3" s="1"/>
  <c r="N120" i="3" s="1"/>
  <c r="N121" i="3" s="1"/>
  <c r="N122" i="3" s="1"/>
  <c r="N123" i="3" s="1"/>
  <c r="N124" i="3" s="1"/>
  <c r="N125" i="3" s="1"/>
  <c r="N126" i="3" s="1"/>
  <c r="N127" i="3" s="1"/>
  <c r="N128" i="3" s="1"/>
  <c r="N129" i="3" s="1"/>
  <c r="N130" i="3" s="1"/>
  <c r="N131" i="3" s="1"/>
  <c r="N132" i="3" s="1"/>
  <c r="N133" i="3" s="1"/>
  <c r="N134" i="3" s="1"/>
  <c r="N135" i="3" s="1"/>
  <c r="N136" i="3" s="1"/>
  <c r="N137" i="3" s="1"/>
  <c r="N138" i="3" s="1"/>
  <c r="N139" i="3" s="1"/>
  <c r="N140" i="3" s="1"/>
  <c r="N141" i="3" s="1"/>
  <c r="N142" i="3" s="1"/>
  <c r="N143" i="3" s="1"/>
  <c r="N144" i="3" s="1"/>
  <c r="N145" i="3" s="1"/>
  <c r="N146" i="3" s="1"/>
  <c r="N147" i="3" s="1"/>
  <c r="N148" i="3" s="1"/>
  <c r="N149" i="3" s="1"/>
  <c r="N150" i="3" s="1"/>
  <c r="N151" i="3" s="1"/>
  <c r="N152" i="3" s="1"/>
  <c r="N153" i="3" s="1"/>
  <c r="N154" i="3" s="1"/>
  <c r="N155" i="3" s="1"/>
  <c r="N156" i="3" s="1"/>
  <c r="N157" i="3" s="1"/>
  <c r="N158" i="3" s="1"/>
  <c r="N159" i="3" s="1"/>
  <c r="N160" i="3" s="1"/>
  <c r="N161" i="3" s="1"/>
  <c r="N162" i="3" s="1"/>
  <c r="N163" i="3" s="1"/>
  <c r="N164" i="3" s="1"/>
  <c r="N165" i="3" s="1"/>
  <c r="N166" i="3" s="1"/>
  <c r="N167" i="3" s="1"/>
  <c r="N168" i="3" s="1"/>
  <c r="N169" i="3" s="1"/>
  <c r="N170" i="3" s="1"/>
  <c r="N171" i="3" s="1"/>
  <c r="N172" i="3" s="1"/>
  <c r="N173" i="3" s="1"/>
  <c r="N174" i="3" s="1"/>
  <c r="N90" i="3"/>
  <c r="C229" i="3"/>
  <c r="F229" i="3"/>
  <c r="G240" i="3"/>
  <c r="G241" i="3" s="1"/>
  <c r="G242" i="3" s="1"/>
  <c r="G243" i="3" s="1"/>
  <c r="G244" i="3" s="1"/>
  <c r="D245" i="3"/>
  <c r="N175" i="3" l="1"/>
  <c r="N176" i="3" s="1"/>
  <c r="N177" i="3" s="1"/>
  <c r="N178" i="3" s="1"/>
  <c r="N179" i="3" s="1"/>
  <c r="N180" i="3" s="1"/>
  <c r="N181" i="3" s="1"/>
  <c r="N182" i="3" s="1"/>
  <c r="N183" i="3" s="1"/>
  <c r="N184" i="3" s="1"/>
  <c r="N185" i="3" s="1"/>
  <c r="G229" i="3"/>
  <c r="G233" i="3" s="1"/>
  <c r="D62" i="4"/>
  <c r="C62" i="4" s="1"/>
  <c r="D61" i="4"/>
  <c r="H21" i="5" s="1"/>
  <c r="N186" i="3" l="1"/>
  <c r="N187" i="3" s="1"/>
  <c r="N188" i="3" s="1"/>
  <c r="N189" i="3" s="1"/>
  <c r="N190" i="3" s="1"/>
  <c r="N191" i="3" s="1"/>
  <c r="N192" i="3" s="1"/>
  <c r="N193" i="3" s="1"/>
  <c r="N194" i="3" s="1"/>
  <c r="N195" i="3" s="1"/>
  <c r="N196" i="3" s="1"/>
  <c r="N197" i="3" s="1"/>
  <c r="N198" i="3" s="1"/>
  <c r="N199" i="3" s="1"/>
  <c r="N200" i="3" s="1"/>
  <c r="N201" i="3" s="1"/>
  <c r="N202" i="3" s="1"/>
  <c r="N203" i="3" s="1"/>
  <c r="N204" i="3" s="1"/>
  <c r="N205" i="3" s="1"/>
  <c r="N206" i="3" s="1"/>
  <c r="N207" i="3" s="1"/>
  <c r="N208" i="3" s="1"/>
  <c r="N209" i="3" s="1"/>
  <c r="N210" i="3" s="1"/>
  <c r="N211" i="3" s="1"/>
  <c r="N212" i="3" s="1"/>
  <c r="N213" i="3" s="1"/>
  <c r="N214" i="3" s="1"/>
  <c r="N215" i="3" s="1"/>
  <c r="N216" i="3" s="1"/>
  <c r="N217" i="3" s="1"/>
  <c r="N218" i="3" s="1"/>
  <c r="N219" i="3" s="1"/>
  <c r="N220" i="3" s="1"/>
  <c r="N221" i="3" s="1"/>
  <c r="N222" i="3" s="1"/>
  <c r="N223" i="3" s="1"/>
  <c r="N224" i="3" s="1"/>
  <c r="N225" i="3" s="1"/>
  <c r="N226" i="3" s="1"/>
  <c r="N227" i="3" s="1"/>
  <c r="N228" i="3" s="1"/>
  <c r="N229" i="3" s="1"/>
  <c r="N230" i="3" s="1"/>
  <c r="N231" i="3" s="1"/>
  <c r="C61" i="4"/>
  <c r="C32" i="5" l="1"/>
  <c r="G29" i="5"/>
  <c r="I43" i="5"/>
  <c r="F52" i="5"/>
  <c r="F34" i="5"/>
  <c r="E34" i="5"/>
  <c r="C48" i="5"/>
  <c r="D43" i="5"/>
  <c r="D54" i="5"/>
  <c r="C56" i="5"/>
  <c r="C50" i="5"/>
  <c r="G59" i="5"/>
  <c r="D30" i="5"/>
  <c r="F39" i="5"/>
  <c r="D38" i="5"/>
  <c r="D34" i="5"/>
  <c r="I29" i="5"/>
  <c r="I51" i="5"/>
  <c r="G58" i="5"/>
  <c r="G31" i="5"/>
  <c r="C34" i="5"/>
  <c r="I45" i="5"/>
  <c r="D40" i="5"/>
  <c r="I47" i="5"/>
  <c r="D59" i="5"/>
  <c r="C29" i="5"/>
  <c r="G51" i="5"/>
  <c r="I28" i="5"/>
  <c r="I30" i="5"/>
  <c r="F55" i="5"/>
  <c r="D41" i="5"/>
  <c r="G41" i="5"/>
  <c r="I50" i="5"/>
  <c r="D47" i="5"/>
  <c r="F33" i="5"/>
  <c r="C40" i="5"/>
  <c r="F29" i="5"/>
  <c r="C36" i="5"/>
  <c r="E52" i="5"/>
  <c r="E42" i="5"/>
  <c r="G40" i="5"/>
  <c r="C52" i="5"/>
  <c r="D33" i="5"/>
  <c r="E35" i="5"/>
  <c r="I46" i="5"/>
  <c r="C51" i="5"/>
  <c r="C45" i="5"/>
  <c r="D53" i="5"/>
  <c r="E29" i="5"/>
  <c r="E53" i="5"/>
  <c r="D49" i="5"/>
  <c r="E30" i="5"/>
  <c r="G32" i="5"/>
  <c r="E41" i="5"/>
  <c r="C43" i="5"/>
  <c r="G53" i="5"/>
  <c r="D37" i="5"/>
  <c r="G36" i="5"/>
  <c r="C54" i="5"/>
  <c r="G42" i="5"/>
  <c r="I31" i="5"/>
  <c r="C46" i="5"/>
  <c r="F38" i="5"/>
  <c r="D36" i="5"/>
  <c r="E57" i="5"/>
  <c r="F54" i="5"/>
  <c r="F48" i="5"/>
  <c r="I54" i="5"/>
  <c r="F36" i="5"/>
  <c r="E55" i="5"/>
  <c r="I57" i="5"/>
  <c r="G34" i="5"/>
  <c r="D50" i="5"/>
  <c r="D60" i="5"/>
  <c r="E33" i="5"/>
  <c r="F59" i="5"/>
  <c r="G46" i="5"/>
  <c r="G39" i="5"/>
  <c r="I39" i="5"/>
  <c r="F41" i="5"/>
  <c r="E54" i="5"/>
  <c r="D58" i="5"/>
  <c r="I41" i="5"/>
  <c r="E59" i="5"/>
  <c r="G57" i="5"/>
  <c r="E32" i="5"/>
  <c r="E51" i="5"/>
  <c r="E31" i="5"/>
  <c r="F58" i="5"/>
  <c r="I55" i="5"/>
  <c r="D35" i="5"/>
  <c r="E28" i="5"/>
  <c r="F43" i="5"/>
  <c r="C35" i="5"/>
  <c r="G44" i="5"/>
  <c r="C38" i="5"/>
  <c r="D28" i="5"/>
  <c r="G43" i="5"/>
  <c r="C33" i="5"/>
  <c r="E39" i="5"/>
  <c r="D32" i="5"/>
  <c r="F30" i="5"/>
  <c r="I35" i="5"/>
  <c r="C59" i="5"/>
  <c r="D55" i="5"/>
  <c r="D39" i="5"/>
  <c r="E44" i="5"/>
  <c r="I36" i="5"/>
  <c r="I58" i="5"/>
  <c r="F40" i="5"/>
  <c r="C53" i="5"/>
  <c r="D48" i="5"/>
  <c r="G52" i="5"/>
  <c r="C37" i="5"/>
  <c r="C30" i="5"/>
  <c r="I37" i="5"/>
  <c r="G47" i="5"/>
  <c r="D42" i="5"/>
  <c r="I52" i="5"/>
  <c r="G30" i="5"/>
  <c r="C31" i="5"/>
  <c r="I60" i="5"/>
  <c r="C58" i="5"/>
  <c r="I40" i="5"/>
  <c r="G55" i="5"/>
  <c r="F31" i="5"/>
  <c r="C47" i="5"/>
  <c r="G50" i="5"/>
  <c r="I32" i="5"/>
  <c r="D51" i="5"/>
  <c r="F35" i="5"/>
  <c r="D44" i="5"/>
  <c r="E58" i="5"/>
  <c r="E43" i="5"/>
  <c r="G37" i="5"/>
  <c r="D29" i="5"/>
  <c r="I33" i="5"/>
  <c r="F32" i="5"/>
  <c r="E47" i="5"/>
  <c r="C44" i="5"/>
  <c r="G60" i="5"/>
  <c r="G33" i="5"/>
  <c r="I44" i="5"/>
  <c r="G35" i="5"/>
  <c r="C41" i="5"/>
  <c r="C49" i="5"/>
  <c r="F49" i="5"/>
  <c r="E60" i="5"/>
  <c r="I34" i="5"/>
  <c r="D31" i="5"/>
  <c r="F42" i="5"/>
  <c r="F51" i="5"/>
  <c r="G49" i="5"/>
  <c r="C57" i="5"/>
  <c r="F60" i="5"/>
  <c r="D52" i="5"/>
  <c r="C39" i="5"/>
  <c r="E45" i="5"/>
  <c r="I48" i="5"/>
  <c r="E46" i="5"/>
  <c r="F28" i="5"/>
  <c r="G28" i="5"/>
  <c r="F37" i="5"/>
  <c r="E36" i="5"/>
  <c r="F50" i="5"/>
  <c r="E49" i="5"/>
  <c r="G48" i="5"/>
  <c r="E38" i="5"/>
  <c r="F46" i="5"/>
  <c r="F44" i="5"/>
  <c r="C28" i="5"/>
  <c r="F53" i="5"/>
  <c r="E40" i="5"/>
  <c r="I53" i="5"/>
  <c r="D45" i="5"/>
  <c r="E50" i="5"/>
  <c r="D57" i="5"/>
  <c r="F45" i="5"/>
  <c r="C42" i="5"/>
  <c r="G54" i="5"/>
  <c r="I38" i="5"/>
  <c r="D46" i="5"/>
  <c r="E48" i="5"/>
  <c r="D56" i="5"/>
  <c r="E37" i="5"/>
  <c r="G38" i="5"/>
  <c r="F47" i="5"/>
  <c r="I49" i="5"/>
  <c r="C55" i="5"/>
  <c r="C60" i="5"/>
  <c r="E56" i="5"/>
  <c r="F56" i="5"/>
  <c r="I59" i="5"/>
  <c r="F57" i="5"/>
  <c r="G56" i="5"/>
  <c r="I42" i="5"/>
  <c r="G45" i="5"/>
  <c r="I56" i="5"/>
  <c r="J52" i="5" l="1"/>
  <c r="J53" i="5"/>
  <c r="J42" i="5"/>
  <c r="J57" i="5"/>
  <c r="J35" i="5"/>
  <c r="J59" i="5"/>
  <c r="J38" i="5"/>
  <c r="J44" i="5"/>
  <c r="J37" i="5"/>
  <c r="J41" i="5"/>
  <c r="J34" i="5"/>
  <c r="J49" i="5"/>
  <c r="J32" i="5"/>
  <c r="J55" i="5"/>
  <c r="J46" i="5"/>
  <c r="J43" i="5"/>
  <c r="J56" i="5"/>
  <c r="J60" i="5"/>
  <c r="J45" i="5"/>
  <c r="J51" i="5"/>
  <c r="J33" i="5"/>
  <c r="J58" i="5"/>
  <c r="J31" i="5"/>
  <c r="J50" i="5"/>
  <c r="J30" i="5"/>
  <c r="J29" i="5"/>
  <c r="J48" i="5"/>
  <c r="J40" i="5"/>
  <c r="J36" i="5"/>
  <c r="J39" i="5"/>
  <c r="J54" i="5"/>
  <c r="J28" i="5"/>
  <c r="J47" i="5"/>
  <c r="C23" i="4"/>
  <c r="B20" i="4"/>
  <c r="D20" i="4"/>
  <c r="F20" i="4"/>
  <c r="D26" i="4"/>
  <c r="D43" i="4"/>
  <c r="B25" i="4"/>
  <c r="B57" i="4"/>
  <c r="C54" i="4"/>
  <c r="B41" i="4"/>
  <c r="B21" i="4"/>
  <c r="B49" i="4"/>
  <c r="B33" i="4"/>
  <c r="D39" i="4"/>
  <c r="D38" i="4"/>
  <c r="C20" i="4"/>
  <c r="D31" i="4"/>
  <c r="F50" i="4"/>
  <c r="B24" i="4"/>
  <c r="C52" i="4"/>
  <c r="D51" i="4"/>
  <c r="B27" i="4"/>
  <c r="C48" i="4"/>
  <c r="B36" i="4"/>
  <c r="D21" i="4"/>
  <c r="B47" i="4"/>
  <c r="D56" i="4"/>
  <c r="C50" i="4"/>
  <c r="F31" i="4"/>
  <c r="F46" i="4"/>
  <c r="F34" i="4"/>
  <c r="F37" i="4"/>
  <c r="C40" i="4"/>
  <c r="B56" i="4"/>
  <c r="F56" i="4"/>
  <c r="F54" i="4"/>
  <c r="B40" i="4"/>
  <c r="B38" i="4"/>
  <c r="C32" i="4"/>
  <c r="F45" i="4"/>
  <c r="C36" i="4"/>
  <c r="F44" i="4"/>
  <c r="B53" i="4"/>
  <c r="C24" i="4"/>
  <c r="B39" i="4"/>
  <c r="B44" i="4"/>
  <c r="D29" i="4"/>
  <c r="F53" i="4"/>
  <c r="D42" i="4"/>
  <c r="D50" i="4"/>
  <c r="B58" i="4"/>
  <c r="F33" i="4"/>
  <c r="F28" i="4"/>
  <c r="F25" i="4"/>
  <c r="F52" i="4"/>
  <c r="D48" i="4"/>
  <c r="F27" i="4"/>
  <c r="F49" i="4"/>
  <c r="C47" i="4"/>
  <c r="D53" i="4"/>
  <c r="F40" i="4"/>
  <c r="F35" i="4"/>
  <c r="F58" i="4"/>
  <c r="B32" i="4"/>
  <c r="D44" i="4"/>
  <c r="B28" i="4"/>
  <c r="B23" i="4"/>
  <c r="F26" i="4"/>
  <c r="F57" i="4"/>
  <c r="F55" i="4"/>
  <c r="C55" i="4"/>
  <c r="C34" i="4"/>
  <c r="C37" i="4"/>
  <c r="C22" i="4"/>
  <c r="F23" i="4"/>
  <c r="B31" i="4"/>
  <c r="B29" i="4"/>
  <c r="B42" i="4"/>
  <c r="D34" i="4"/>
  <c r="C45" i="4"/>
  <c r="B51" i="4"/>
  <c r="D27" i="4"/>
  <c r="C49" i="4"/>
  <c r="D35" i="4"/>
  <c r="C38" i="4"/>
  <c r="C27" i="4"/>
  <c r="D57" i="4"/>
  <c r="F48" i="4"/>
  <c r="F24" i="4"/>
  <c r="B52" i="4"/>
  <c r="D52" i="4"/>
  <c r="D22" i="4"/>
  <c r="C21" i="4"/>
  <c r="D45" i="4"/>
  <c r="C42" i="4"/>
  <c r="D28" i="4"/>
  <c r="B35" i="4"/>
  <c r="D30" i="4"/>
  <c r="F21" i="4"/>
  <c r="G21" i="4" s="1"/>
  <c r="B48" i="4"/>
  <c r="B54" i="4"/>
  <c r="C35" i="4"/>
  <c r="C56" i="4"/>
  <c r="F42" i="4"/>
  <c r="C25" i="4"/>
  <c r="D33" i="4"/>
  <c r="F38" i="4"/>
  <c r="C31" i="4"/>
  <c r="D23" i="4"/>
  <c r="C53" i="4"/>
  <c r="F29" i="4"/>
  <c r="D25" i="4"/>
  <c r="C46" i="4"/>
  <c r="D58" i="4"/>
  <c r="C44" i="4"/>
  <c r="C58" i="4"/>
  <c r="F39" i="4"/>
  <c r="G39" i="4" s="1"/>
  <c r="C41" i="4"/>
  <c r="C43" i="4"/>
  <c r="C33" i="4"/>
  <c r="D46" i="4"/>
  <c r="F32" i="4"/>
  <c r="C39" i="4"/>
  <c r="B43" i="4"/>
  <c r="D32" i="4"/>
  <c r="D24" i="4"/>
  <c r="C29" i="4"/>
  <c r="B22" i="4"/>
  <c r="C30" i="4"/>
  <c r="D37" i="4"/>
  <c r="B26" i="4"/>
  <c r="D54" i="4"/>
  <c r="B50" i="4"/>
  <c r="D40" i="4"/>
  <c r="D49" i="4"/>
  <c r="B46" i="4"/>
  <c r="D41" i="4"/>
  <c r="C26" i="4"/>
  <c r="F36" i="4"/>
  <c r="F30" i="4"/>
  <c r="C51" i="4"/>
  <c r="C28" i="4"/>
  <c r="F51" i="4"/>
  <c r="B34" i="4"/>
  <c r="D55" i="4"/>
  <c r="B45" i="4"/>
  <c r="F47" i="4"/>
  <c r="F43" i="4"/>
  <c r="B30" i="4"/>
  <c r="B55" i="4"/>
  <c r="D36" i="4"/>
  <c r="F22" i="4"/>
  <c r="C57" i="4"/>
  <c r="F41" i="4"/>
  <c r="G41" i="4" s="1"/>
  <c r="B37" i="4"/>
  <c r="D47" i="4"/>
  <c r="G43" i="4" l="1"/>
  <c r="G22" i="4"/>
  <c r="G58" i="4"/>
  <c r="G49" i="4"/>
  <c r="G57" i="4"/>
  <c r="G47" i="4"/>
  <c r="G51" i="4"/>
  <c r="G33" i="4"/>
  <c r="G56" i="4"/>
  <c r="G29" i="4"/>
  <c r="G32" i="4"/>
  <c r="G35" i="4"/>
  <c r="G52" i="4"/>
  <c r="G25" i="4"/>
  <c r="G53" i="4"/>
  <c r="G46" i="4"/>
  <c r="G50" i="4"/>
  <c r="G23" i="4"/>
  <c r="G55" i="4"/>
  <c r="G44" i="4"/>
  <c r="G27" i="4"/>
  <c r="G28" i="4"/>
  <c r="G40" i="4"/>
  <c r="G31" i="4"/>
  <c r="G30" i="4"/>
  <c r="G42" i="4"/>
  <c r="G48" i="4"/>
  <c r="G26" i="4"/>
  <c r="G45" i="4"/>
  <c r="G54" i="4"/>
  <c r="G37" i="4"/>
  <c r="G36" i="4"/>
  <c r="G20" i="4"/>
  <c r="G38" i="4"/>
  <c r="G34" i="4"/>
  <c r="G24" i="4"/>
  <c r="J61" i="5"/>
  <c r="J62" i="5" s="1"/>
  <c r="J63" i="5" s="1"/>
  <c r="G59" i="4" l="1"/>
  <c r="G60" i="4" s="1"/>
  <c r="G61" i="4" s="1"/>
</calcChain>
</file>

<file path=xl/comments1.xml><?xml version="1.0" encoding="utf-8"?>
<comments xmlns="http://schemas.openxmlformats.org/spreadsheetml/2006/main">
  <authors>
    <author>Julien Depelteau</author>
  </authors>
  <commentList>
    <comment ref="Y582" authorId="0" shapeId="0">
      <text>
        <r>
          <rPr>
            <b/>
            <sz val="9"/>
            <color indexed="81"/>
            <rFont val="Tahoma"/>
            <family val="2"/>
          </rPr>
          <t xml:space="preserve">Please add total weight in cell AC463
</t>
        </r>
      </text>
    </comment>
    <comment ref="Y583" authorId="0" shapeId="0">
      <text>
        <r>
          <rPr>
            <b/>
            <sz val="9"/>
            <color indexed="81"/>
            <rFont val="Tahoma"/>
            <family val="2"/>
          </rPr>
          <t>Please add total weight in cell AC464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Flexpipe</author>
  </authors>
  <commentList>
    <comment ref="F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</commentList>
</comments>
</file>

<file path=xl/sharedStrings.xml><?xml version="1.0" encoding="utf-8"?>
<sst xmlns="http://schemas.openxmlformats.org/spreadsheetml/2006/main" count="1862" uniqueCount="979">
  <si>
    <t>Pipe rest</t>
  </si>
  <si>
    <t>CONVEYORS:</t>
  </si>
  <si>
    <t>Sheet</t>
  </si>
  <si>
    <t>►</t>
  </si>
  <si>
    <t>TAXES AB</t>
  </si>
  <si>
    <t>TAXES BC</t>
  </si>
  <si>
    <t>TOTAL:</t>
  </si>
  <si>
    <t>Total</t>
  </si>
  <si>
    <t>ACCESSORIES</t>
  </si>
  <si>
    <t>Pipe clamp single mount</t>
  </si>
  <si>
    <t>Pipe clamp double mount</t>
  </si>
  <si>
    <t>Swivel stopper</t>
  </si>
  <si>
    <t>Phone:</t>
  </si>
  <si>
    <t>PIPES:</t>
  </si>
  <si>
    <t>ACCESSORIES:</t>
  </si>
  <si>
    <t>SUB-TOTAL</t>
  </si>
  <si>
    <t>PIPES</t>
  </si>
  <si>
    <t>Track connector</t>
  </si>
  <si>
    <t>PREPARATION CHARGE:</t>
  </si>
  <si>
    <t>OTHER MATERIAL:</t>
  </si>
  <si>
    <t>CUTTING CHARGE:</t>
  </si>
  <si>
    <t>SHIPPING CHARGE:</t>
  </si>
  <si>
    <t>Piece</t>
  </si>
  <si>
    <t>SPECIAL FORMULA FOR QUOTE</t>
  </si>
  <si>
    <t>UNIT WEIGHT</t>
  </si>
  <si>
    <t>TOTAL WEIGHT</t>
  </si>
  <si>
    <t>UNIT</t>
  </si>
  <si>
    <t>BOX</t>
  </si>
  <si>
    <t># OF BOX</t>
  </si>
  <si>
    <t>WEIGHT PER BOX</t>
  </si>
  <si>
    <t>Quotation</t>
  </si>
  <si>
    <t>#</t>
  </si>
  <si>
    <t>Date:</t>
  </si>
  <si>
    <t>LISTE DES REPRÉSENTANTS</t>
  </si>
  <si>
    <t>(514)973-7225</t>
  </si>
  <si>
    <t>jdepelteau@flexpipeinc.com</t>
  </si>
  <si>
    <t>kpletourneau@flexpipeinc.com</t>
  </si>
  <si>
    <t>Marie-Soleil Milton</t>
  </si>
  <si>
    <t>msmilton@flexpipeinc.com</t>
  </si>
  <si>
    <t>plord@flexpipeinc.com</t>
  </si>
  <si>
    <t>www.flexpipeinc.com</t>
  </si>
  <si>
    <t>Sylvain Lejour</t>
  </si>
  <si>
    <t>(514)928-5357</t>
  </si>
  <si>
    <t>slejour@flexpipeinc.com</t>
  </si>
  <si>
    <t>(416)832-0299</t>
  </si>
  <si>
    <t>tewelde@flexpipeinc.com</t>
  </si>
  <si>
    <t>LISTE DES USINES</t>
  </si>
  <si>
    <t>1355 Magenta Est</t>
  </si>
  <si>
    <t>Customer:</t>
  </si>
  <si>
    <t>Company:</t>
  </si>
  <si>
    <t>Valid:</t>
  </si>
  <si>
    <t>Saleperson:</t>
  </si>
  <si>
    <t>Cellulaire:</t>
  </si>
  <si>
    <t>Email:</t>
  </si>
  <si>
    <t>Website:</t>
  </si>
  <si>
    <t>LEAD TIME</t>
  </si>
  <si>
    <t>TERMS</t>
  </si>
  <si>
    <t>QUANTITY</t>
  </si>
  <si>
    <t>DESCRIPTION</t>
  </si>
  <si>
    <t>UNIT PRICE</t>
  </si>
  <si>
    <t>TOTAL</t>
  </si>
  <si>
    <t>TAXES</t>
  </si>
  <si>
    <t>Sign and complete to order by credit card:______________________________</t>
  </si>
  <si>
    <t>► Lead time is calculated when quotation is sent.</t>
  </si>
  <si>
    <t>PART #</t>
  </si>
  <si>
    <t>Soumission</t>
  </si>
  <si>
    <t>Client:</t>
  </si>
  <si>
    <t>Compagnie:</t>
  </si>
  <si>
    <t>Valide:</t>
  </si>
  <si>
    <t>Représentant:</t>
  </si>
  <si>
    <t>Telephone:</t>
  </si>
  <si>
    <t>Courriel:</t>
  </si>
  <si>
    <t>Site web:</t>
  </si>
  <si>
    <t>DÉTAILS TRANSPORT</t>
  </si>
  <si>
    <t>DÉLAI</t>
  </si>
  <si>
    <t>TERMES</t>
  </si>
  <si>
    <t>QUANTITÉ</t>
  </si>
  <si>
    <t>PRIX UNITAIRE</t>
  </si>
  <si>
    <t>SOUS-TOTAL</t>
  </si>
  <si>
    <t>Signez et completez pour commander par carte de crédit:_____________________</t>
  </si>
  <si>
    <t>► Le délai est calculé lorsque la soumission est envoyée.</t>
  </si>
  <si>
    <t># DE PIÈCE</t>
  </si>
  <si>
    <t>TRANSPORT</t>
  </si>
  <si>
    <t>Non inclus - Farnham</t>
  </si>
  <si>
    <t>Not included - Farnham</t>
  </si>
  <si>
    <t>Not included - Toronto</t>
  </si>
  <si>
    <t>Inclus</t>
  </si>
  <si>
    <t>Included</t>
  </si>
  <si>
    <t>Net 30</t>
  </si>
  <si>
    <t>Net 90</t>
  </si>
  <si>
    <t>CC</t>
  </si>
  <si>
    <t>TAXES MB</t>
  </si>
  <si>
    <t>TAXES NS</t>
  </si>
  <si>
    <t>TAXES ON</t>
  </si>
  <si>
    <t>TAXES PEI</t>
  </si>
  <si>
    <t>TAXES QC</t>
  </si>
  <si>
    <t>TAXES SK</t>
  </si>
  <si>
    <t>NO TAXES</t>
  </si>
  <si>
    <t>THIS IS A RESUME OF ALL THE UNASSEMBLED PARTS CHOOSEN FROM 1ST PAGE</t>
  </si>
  <si>
    <t>Non inclus - Toronto</t>
  </si>
  <si>
    <t>LANGUES</t>
  </si>
  <si>
    <t>SUB-TOTAL FOR CATEGORIES</t>
  </si>
  <si>
    <t># Packs of pipes</t>
  </si>
  <si>
    <t>TRANSPORT SHOULD BE DONE BY:</t>
  </si>
  <si>
    <t xml:space="preserve">Courrier </t>
  </si>
  <si>
    <t>Truck</t>
  </si>
  <si>
    <t>TRANSPORT DEVRAIT ÊTRE PAR:</t>
  </si>
  <si>
    <t>Total weight in lbs:</t>
  </si>
  <si>
    <t>Poids total en lbs:</t>
  </si>
  <si>
    <t>FASTENERS</t>
  </si>
  <si>
    <t>Inner-outer pipe reamer</t>
  </si>
  <si>
    <t>DECKING</t>
  </si>
  <si>
    <t>FASTENERS:</t>
  </si>
  <si>
    <t>TOOLS:</t>
  </si>
  <si>
    <t xml:space="preserve">AN.DERINGER # LESIND0086 </t>
  </si>
  <si>
    <t>Commercial Invoice</t>
  </si>
  <si>
    <t xml:space="preserve">Exporter, Seller </t>
  </si>
  <si>
    <t>Producer of Goods (if different than exporter)</t>
  </si>
  <si>
    <t>Invoice #</t>
  </si>
  <si>
    <t>Les Industries Flexpipe Inc.</t>
  </si>
  <si>
    <t>SAME</t>
  </si>
  <si>
    <t>Shipped to:</t>
  </si>
  <si>
    <t>Invoice Date</t>
  </si>
  <si>
    <t>Currency of Sale</t>
  </si>
  <si>
    <t>US Dollars</t>
  </si>
  <si>
    <t>IRS Number:</t>
  </si>
  <si>
    <t>Parties to this transaction are:</t>
  </si>
  <si>
    <t>Related</t>
  </si>
  <si>
    <t>X</t>
  </si>
  <si>
    <t>Not Related</t>
  </si>
  <si>
    <t>U.S Duty &amp; Brokerage for Account of:</t>
  </si>
  <si>
    <t>DECLARATION BY FOREIGN SHIPPER (to be completed only when the goods described are U.S origin and their value exceeds $2,000)</t>
  </si>
  <si>
    <t>I__________________________________ declare that the articles herein specified are to the best of my knowledge and belief, the growth, produce or manufacture of</t>
  </si>
  <si>
    <t>the United States: That they were exported from the United States from the port of _______________________________on or about __________________________</t>
  </si>
  <si>
    <t>that they are returned without having been advanced in value or improved in condition by any process of manufature or other means.</t>
  </si>
  <si>
    <t>SHIPPER:</t>
  </si>
  <si>
    <t>SIGNATURE</t>
  </si>
  <si>
    <t>DATE</t>
  </si>
  <si>
    <t>To the best of the knowledges of the preparer this invoice is true and complete, and</t>
  </si>
  <si>
    <t>Preparer (if other than exporter)</t>
  </si>
  <si>
    <t>Name of Responsible Employee of Exporter</t>
  </si>
  <si>
    <t>discloses the true prices, values, quantities, rebates, drawbacks, fees, commissions,</t>
  </si>
  <si>
    <t>royalties and any goods or servies provided to the seller either free or at reduced cost.</t>
  </si>
  <si>
    <t>CONSIGNEE</t>
  </si>
  <si>
    <t>UPS # 162TT2</t>
  </si>
  <si>
    <t>Farnham, QC, J2N 1C4</t>
  </si>
  <si>
    <t>Tel: 514-907-5882</t>
  </si>
  <si>
    <t>ORIGIN</t>
  </si>
  <si>
    <t>HTS CODE</t>
  </si>
  <si>
    <t>Facture Commercial</t>
  </si>
  <si>
    <t>Tranporteur</t>
  </si>
  <si>
    <t>Transporteur</t>
  </si>
  <si>
    <t>EXPORTER</t>
  </si>
  <si>
    <t>CHINA</t>
  </si>
  <si>
    <t>USA</t>
  </si>
  <si>
    <t>CANADA</t>
  </si>
  <si>
    <t>7307.99.1000</t>
  </si>
  <si>
    <t>7318.15.2065</t>
  </si>
  <si>
    <t>9403.90.8041</t>
  </si>
  <si>
    <t>3920.10.0000</t>
  </si>
  <si>
    <t>Packaging :</t>
  </si>
  <si>
    <t>Carrier:</t>
  </si>
  <si>
    <t>AN.DERINGER # FLEIND0012</t>
  </si>
  <si>
    <t>9403.89.6020</t>
  </si>
  <si>
    <t>Track mount start</t>
  </si>
  <si>
    <t>Surface clip</t>
  </si>
  <si>
    <t>WORKSTATION TOOLS</t>
  </si>
  <si>
    <t>CAPS AND PLUGS</t>
  </si>
  <si>
    <t>STOPPERS</t>
  </si>
  <si>
    <t>Track mount drop stop</t>
  </si>
  <si>
    <t>Track mount tab stop</t>
  </si>
  <si>
    <t>TOOLS &amp; STARTER KITS</t>
  </si>
  <si>
    <t>R40-RT96</t>
  </si>
  <si>
    <t>R40-MS</t>
  </si>
  <si>
    <t>R40-TS</t>
  </si>
  <si>
    <t>R40-DS</t>
  </si>
  <si>
    <t>R40-TC</t>
  </si>
  <si>
    <t>R40-TU</t>
  </si>
  <si>
    <t>R40-SLOW</t>
  </si>
  <si>
    <t>R40-GUIDE</t>
  </si>
  <si>
    <t>AF-RUB</t>
  </si>
  <si>
    <t>SURFACE OVER PIPE</t>
  </si>
  <si>
    <t>SURFACE INSIDE PIPE</t>
  </si>
  <si>
    <t>AW-HOLDER</t>
  </si>
  <si>
    <t>AW-ROLLER</t>
  </si>
  <si>
    <t>AW-HANGER</t>
  </si>
  <si>
    <t>AO-SHIM</t>
  </si>
  <si>
    <t>AO-CLIP</t>
  </si>
  <si>
    <t>AO-EMT1</t>
  </si>
  <si>
    <t>AO-EMT2</t>
  </si>
  <si>
    <t>AS-REST</t>
  </si>
  <si>
    <t>AC-STRAP</t>
  </si>
  <si>
    <t>AW-HOOK</t>
  </si>
  <si>
    <t>D-HDPEW-481/2</t>
  </si>
  <si>
    <t>D-HDPEW-481/4</t>
  </si>
  <si>
    <t>D-ALUW-481/8</t>
  </si>
  <si>
    <t>F-S81/2</t>
  </si>
  <si>
    <t>W-4ESB</t>
  </si>
  <si>
    <t>W-3ESB</t>
  </si>
  <si>
    <t>W-4EF</t>
  </si>
  <si>
    <t>W-4PSB</t>
  </si>
  <si>
    <t>W-4PF</t>
  </si>
  <si>
    <t>W-6PSB</t>
  </si>
  <si>
    <t>W-6PF</t>
  </si>
  <si>
    <t>KIT-STATION</t>
  </si>
  <si>
    <t>KIT-CART</t>
  </si>
  <si>
    <t>KIT-FLOW</t>
  </si>
  <si>
    <t>KIT-Q5</t>
  </si>
  <si>
    <t>KIT-CRIB</t>
  </si>
  <si>
    <t>T-HANDLE</t>
  </si>
  <si>
    <t>T-CUTTER</t>
  </si>
  <si>
    <t>T-REAMER</t>
  </si>
  <si>
    <t>T-DEBURR</t>
  </si>
  <si>
    <t>T-BDEB</t>
  </si>
  <si>
    <t>T-BCUT</t>
  </si>
  <si>
    <t>M6-N</t>
  </si>
  <si>
    <t>AP-CNNCT</t>
  </si>
  <si>
    <t>AF-ILEV</t>
  </si>
  <si>
    <t>AF-OLEV</t>
  </si>
  <si>
    <t>AP-HINGE</t>
  </si>
  <si>
    <t>AS-SWIVEL</t>
  </si>
  <si>
    <t>P-96-WH</t>
  </si>
  <si>
    <t>P-96-BL</t>
  </si>
  <si>
    <t>P-96-GR</t>
  </si>
  <si>
    <t>EP-96-BK</t>
  </si>
  <si>
    <t>P-96-RD</t>
  </si>
  <si>
    <t>AI-CORNER</t>
  </si>
  <si>
    <t>AI-CENTER</t>
  </si>
  <si>
    <t>AS-DIVIDER</t>
  </si>
  <si>
    <t>AL-TAG2</t>
  </si>
  <si>
    <t>Pipes are PE coated 8' long X 1-1/8'' (28mm) X 19 steel gauge (1mm)</t>
  </si>
  <si>
    <t>M6-25B</t>
  </si>
  <si>
    <t>AP-ICAP</t>
  </si>
  <si>
    <t>M6-12B</t>
  </si>
  <si>
    <t>WF-UP</t>
  </si>
  <si>
    <t>AI-SUPPORT</t>
  </si>
  <si>
    <t>Tool holder</t>
  </si>
  <si>
    <t>WF-LOW</t>
  </si>
  <si>
    <t>M8-N</t>
  </si>
  <si>
    <t>FOR CONNECTORS</t>
  </si>
  <si>
    <t xml:space="preserve">SCREWS </t>
  </si>
  <si>
    <t>P-96-OR</t>
  </si>
  <si>
    <t>HJ-1</t>
  </si>
  <si>
    <t>HJ-2</t>
  </si>
  <si>
    <t>HJ-3</t>
  </si>
  <si>
    <t>HJ-4</t>
  </si>
  <si>
    <t>HJ-5</t>
  </si>
  <si>
    <t>HJ-6</t>
  </si>
  <si>
    <t>HJ-6A</t>
  </si>
  <si>
    <t>HJ-7</t>
  </si>
  <si>
    <t>HJ-7A</t>
  </si>
  <si>
    <t>HJ-8</t>
  </si>
  <si>
    <t>HJ-9</t>
  </si>
  <si>
    <t>HJ-12</t>
  </si>
  <si>
    <t>HJ-13</t>
  </si>
  <si>
    <t>HJ-14</t>
  </si>
  <si>
    <t>HJ-15</t>
  </si>
  <si>
    <t>HJ-17</t>
  </si>
  <si>
    <t>HJ-MS</t>
  </si>
  <si>
    <t>HJ-DS</t>
  </si>
  <si>
    <t>H-1</t>
  </si>
  <si>
    <t>H-2</t>
  </si>
  <si>
    <t>H-3</t>
  </si>
  <si>
    <t>H-4</t>
  </si>
  <si>
    <t>H-5</t>
  </si>
  <si>
    <t>H-6</t>
  </si>
  <si>
    <t>H-6A</t>
  </si>
  <si>
    <t>H-7</t>
  </si>
  <si>
    <t>H-7A</t>
  </si>
  <si>
    <t>H-8</t>
  </si>
  <si>
    <t>H-9</t>
  </si>
  <si>
    <t>H-12</t>
  </si>
  <si>
    <t>H-13</t>
  </si>
  <si>
    <t>H-14</t>
  </si>
  <si>
    <t>H-15</t>
  </si>
  <si>
    <t>H-16</t>
  </si>
  <si>
    <t>H-17</t>
  </si>
  <si>
    <t>H-18</t>
  </si>
  <si>
    <t>H-90</t>
  </si>
  <si>
    <t>ASSEMBLIES WILL BE SHIPPED AS SEPARATE UNITS (SEE TAB "QUOTATION")</t>
  </si>
  <si>
    <t>Pipe connector</t>
  </si>
  <si>
    <t>LEVELERS AND FEET</t>
  </si>
  <si>
    <t>Rubber foot</t>
  </si>
  <si>
    <t>Track union</t>
  </si>
  <si>
    <t>H2 (2) + H4 + M6 (3)</t>
  </si>
  <si>
    <t>H2 (4) + M6 (4)</t>
  </si>
  <si>
    <t>H4 (2) + M6 (2)</t>
  </si>
  <si>
    <t>H2 + H3 + M6 (2)</t>
  </si>
  <si>
    <t xml:space="preserve">H1 (2) + M6 </t>
  </si>
  <si>
    <t>H-7 (2) + M6</t>
  </si>
  <si>
    <t>HJ-90</t>
  </si>
  <si>
    <t>M6-25BWZ</t>
  </si>
  <si>
    <t>M6-NWZ</t>
  </si>
  <si>
    <t>for box of</t>
  </si>
  <si>
    <t>8' Steel roller track (ESD)</t>
  </si>
  <si>
    <t xml:space="preserve">40MM ROLLER TRACK </t>
  </si>
  <si>
    <t>H-1NP</t>
  </si>
  <si>
    <t>H-2NP</t>
  </si>
  <si>
    <t>H-3NP</t>
  </si>
  <si>
    <t>H-4NP</t>
  </si>
  <si>
    <t>H-5NP</t>
  </si>
  <si>
    <t>H-6NP</t>
  </si>
  <si>
    <t>H-7NP</t>
  </si>
  <si>
    <t>H-13NP</t>
  </si>
  <si>
    <t>H-90NP</t>
  </si>
  <si>
    <t>HJ-1NP</t>
  </si>
  <si>
    <t>HJ-2NP</t>
  </si>
  <si>
    <t>HJ-3NP</t>
  </si>
  <si>
    <t>Corner bracket</t>
  </si>
  <si>
    <t>HJ-4NP</t>
  </si>
  <si>
    <t>HJ-5NP</t>
  </si>
  <si>
    <t>HJ-90NP</t>
  </si>
  <si>
    <t>HJ-13NP</t>
  </si>
  <si>
    <t>HJ-7NP</t>
  </si>
  <si>
    <t>HJ-6NP</t>
  </si>
  <si>
    <t>KIT-SM</t>
  </si>
  <si>
    <t>CONNECTORS:</t>
  </si>
  <si>
    <t>ESD CONNECTORS:</t>
  </si>
  <si>
    <r>
      <t xml:space="preserve">Buyer </t>
    </r>
    <r>
      <rPr>
        <u/>
        <sz val="8"/>
        <rFont val="Arial"/>
        <family val="2"/>
      </rPr>
      <t>(If different than Consignee)</t>
    </r>
  </si>
  <si>
    <t>11.</t>
  </si>
  <si>
    <t>TAX IDENTIFICATION NUMBER:</t>
  </si>
  <si>
    <t>4. IMPORTER NAME AND ADDRESS</t>
  </si>
  <si>
    <t>2. BLANKET PERIOD</t>
  </si>
  <si>
    <t>3. PRODUCER NAME AND ADDRESS</t>
  </si>
  <si>
    <t>1. EXPORTER NAME AND ADDRESS</t>
  </si>
  <si>
    <t>FROM</t>
  </si>
  <si>
    <t>TO</t>
  </si>
  <si>
    <t>11d. TITLE</t>
  </si>
  <si>
    <t>11b. COMPANY</t>
  </si>
  <si>
    <t>11a. AUTHORIZED SIGNATURE</t>
  </si>
  <si>
    <t>11c. NAME</t>
  </si>
  <si>
    <t>(Voice)</t>
  </si>
  <si>
    <t>(Facsimile)</t>
  </si>
  <si>
    <t>CBP Form 434 (04/11)</t>
  </si>
  <si>
    <t>PAGES, INCLUDING ALL ATTACHMENTS.</t>
  </si>
  <si>
    <t>• THIS CERTIFICATE CONSISTS OF</t>
  </si>
  <si>
    <t>11e. DATE</t>
  </si>
  <si>
    <t>19 CFR 181.11, 181.22</t>
  </si>
  <si>
    <t>NORTH AMERICAN FREE TRADE AGREEMENT</t>
  </si>
  <si>
    <t>CERTIFICATE OF ORIGIN</t>
  </si>
  <si>
    <t>DESCRIPTION OF GOOD(S)</t>
  </si>
  <si>
    <t>5.</t>
  </si>
  <si>
    <t>I CERTIFY THAT:</t>
  </si>
  <si>
    <t>• THE INFORMATION ON THIS DOCUMENT IS TRUE AND ACCURATE AND I ASSUME THE RESPONSIBILITY FOR PROVING SUCH</t>
  </si>
  <si>
    <t>REPRESENTATIONS. I UNDERSTAND THAT I AM LIABLE FOR ANY FALSE STATEMENTS OR MATERIAL OMISSIONS MADE ON OR IN</t>
  </si>
  <si>
    <t>CONNECTION WITH THIS DOCUMENT;</t>
  </si>
  <si>
    <t>• I AGREE TO MAINTAIN AND PRESENT UPON REQUEST, DOCUMENTATION NECESSARY TO SUPPORT THIS CERTIFICATE, AND TO INFORM, IN</t>
  </si>
  <si>
    <t>WRITING, ALL PERSONS TO WHOM THE CERTIFICATE WAS GIVEN OF ANY CHANGES THAT COULD AFFECT THE ACCURACY OR VALIDITY OF</t>
  </si>
  <si>
    <t>THIS CERTIFICATE;</t>
  </si>
  <si>
    <t>• THE GOODS ORIGINATED IN THE TERRITORY OF ONE OR MORE OF THE PARTIES, AND COMPLY WITH THE ORIGIN REQUIREMENTS</t>
  </si>
  <si>
    <t>SPECIFIED FOR THOSE GOODS IN THE NORTH AMERICAN FREE TRADE AGREEMENT AND UNLESS SPECIFICALLY EXEMPTED IN ARTICLE</t>
  </si>
  <si>
    <t>411 OR ANNEX 401, THERE HAS BEEN NO FURTHER PRODUCTION OR ANY OTHER OPERATION OUTSIDE THE TERRITORIES OF THE</t>
  </si>
  <si>
    <t>PARTIES; AND</t>
  </si>
  <si>
    <t>TELEPHONE</t>
  </si>
  <si>
    <t>NUMBERS</t>
  </si>
  <si>
    <t>11f.</t>
  </si>
  <si>
    <t>6.                     HS TARIFF    CLASSIFICATION NUMBER</t>
  </si>
  <si>
    <t>7.                     PREFERENCE  CRITERION</t>
  </si>
  <si>
    <t>8.         PRODUCER</t>
  </si>
  <si>
    <t>9.             NET COST</t>
  </si>
  <si>
    <t>10.        COUNTRY       OF ORIGIN</t>
  </si>
  <si>
    <r>
      <t xml:space="preserve">                                                                                        U.S. Customs and Border Protection                                                                     </t>
    </r>
    <r>
      <rPr>
        <sz val="8"/>
        <rFont val="Arial"/>
        <family val="2"/>
      </rPr>
      <t>Exp. 08-31-2014</t>
    </r>
  </si>
  <si>
    <t xml:space="preserve">                                                                                             DEPARTMENT OF HOMELAND SECURITY                                                      OMB No. 1651-0098            </t>
  </si>
  <si>
    <t xml:space="preserve">   514-907-5582</t>
  </si>
  <si>
    <t xml:space="preserve">   866-516-1183</t>
  </si>
  <si>
    <t xml:space="preserve">   Les Industries Flexpipe Inc.</t>
  </si>
  <si>
    <t xml:space="preserve">   Marie-Soleil Milton</t>
  </si>
  <si>
    <t xml:space="preserve">   Customer Service</t>
  </si>
  <si>
    <t>01/01/</t>
  </si>
  <si>
    <t>12/31/</t>
  </si>
  <si>
    <t>Available upon requets</t>
  </si>
  <si>
    <t>B</t>
  </si>
  <si>
    <t>No. 1</t>
  </si>
  <si>
    <t>NO</t>
  </si>
  <si>
    <t>Canada</t>
  </si>
  <si>
    <t>STANDARD 8' PIPES</t>
  </si>
  <si>
    <t>8 feet</t>
  </si>
  <si>
    <t>Assembly</t>
  </si>
  <si>
    <t>Kit</t>
  </si>
  <si>
    <t>WF-LARGE</t>
  </si>
  <si>
    <t>AL-TAG1</t>
  </si>
  <si>
    <t>Farnham, QC, J2N1C4</t>
  </si>
  <si>
    <t>Tel: 1-855-406-0253 Fax: 1-866-516-1183</t>
  </si>
  <si>
    <t>1-855-406-0253</t>
  </si>
  <si>
    <t>Net 45</t>
  </si>
  <si>
    <t>Net 60</t>
  </si>
  <si>
    <t>Boxes 98'' X 50'' X 5'' (H)</t>
  </si>
  <si>
    <t>Boxes 11'' X 9'' X 5-1/2'' (H)</t>
  </si>
  <si>
    <t># Boxes 11'' X 9'' X 5-1/2''</t>
  </si>
  <si>
    <t>Packs of tube 96'' X 5'' X 5'' (H)</t>
  </si>
  <si>
    <t>Si il n'y a pas de tubes ou feuilles, et que le poids est plus grand que 125 et plus grand que 1500 donc 2 palettes sinon 1 palette</t>
  </si>
  <si>
    <t>Credit Card</t>
  </si>
  <si>
    <t>Mobile:</t>
  </si>
  <si>
    <t>Valid until:</t>
  </si>
  <si>
    <t>H8 + H9 + M6</t>
  </si>
  <si>
    <t>H7A (2) + M6</t>
  </si>
  <si>
    <t>H7 (2) + M6</t>
  </si>
  <si>
    <t>H6A (2) + H6 (2) + M6 (3)</t>
  </si>
  <si>
    <t>H5 (2) + H6 (2) + M6 (2)</t>
  </si>
  <si>
    <t>H9 (2) + M6</t>
  </si>
  <si>
    <t>H12 (2) + AP-HINGE + M6</t>
  </si>
  <si>
    <t>H13 (2) + M6</t>
  </si>
  <si>
    <t>H6 (4) + H14 (2) + M6 (4)</t>
  </si>
  <si>
    <t>H17 + H18 + M6</t>
  </si>
  <si>
    <t>H90 (2) + M6 (2)</t>
  </si>
  <si>
    <t>n'apparaissent pas sur la facture commerciale car ce sont des services</t>
  </si>
  <si>
    <t>doit rajouter un poids manuellement lors de la vente pour comptabiliser le total du poids pour shipping</t>
  </si>
  <si>
    <t>White HDPE plastic                   48'' X 96'' X 1/2''</t>
  </si>
  <si>
    <t>(if different)</t>
  </si>
  <si>
    <t>Temie Fessa</t>
  </si>
  <si>
    <t>Julian Depelteau</t>
  </si>
  <si>
    <t>tfessa@flexpipeinc.com</t>
  </si>
  <si>
    <t>EP-96-ST</t>
  </si>
  <si>
    <t>F-A85/8</t>
  </si>
  <si>
    <t>F-BUS</t>
  </si>
  <si>
    <t>T-BIT</t>
  </si>
  <si>
    <t>Russell Fedun</t>
  </si>
  <si>
    <t>(416)460-3911</t>
  </si>
  <si>
    <t>rfedun@flexpipeinc.com</t>
  </si>
  <si>
    <t>--</t>
  </si>
  <si>
    <t>AC-SKID</t>
  </si>
  <si>
    <t>Same</t>
  </si>
  <si>
    <t>9403.90.5080</t>
  </si>
  <si>
    <t>8302.20.0000</t>
  </si>
  <si>
    <t>(514)557-1736</t>
  </si>
  <si>
    <t>rboquien@flexpipeinc.com</t>
  </si>
  <si>
    <t>7306.30.5020</t>
  </si>
  <si>
    <t>Daniel Cloutier</t>
  </si>
  <si>
    <t>dcloutier@flexpipeinc.com</t>
  </si>
  <si>
    <t>SP-96-BL</t>
  </si>
  <si>
    <t>Yvon Depelteau</t>
  </si>
  <si>
    <t>Sierra Rodeck</t>
  </si>
  <si>
    <t>Flexpipe Canada</t>
  </si>
  <si>
    <t>Flexpipe USA</t>
  </si>
  <si>
    <t>srodeck@flexpipeinc.com</t>
  </si>
  <si>
    <t>ydepelteau@flexpipeinc.com</t>
  </si>
  <si>
    <t>(561)315-8130</t>
  </si>
  <si>
    <t>P-96-IV</t>
  </si>
  <si>
    <r>
      <rPr>
        <b/>
        <sz val="10"/>
        <rFont val="Maison Neue"/>
      </rPr>
      <t>Prepaid and charge</t>
    </r>
    <r>
      <rPr>
        <sz val="10"/>
        <rFont val="Maison Neue"/>
      </rPr>
      <t xml:space="preserve"> (charge will be confirmed with you before shipping)</t>
    </r>
  </si>
  <si>
    <r>
      <rPr>
        <b/>
        <sz val="10"/>
        <rFont val="Maison Neue"/>
      </rPr>
      <t>Collect</t>
    </r>
    <r>
      <rPr>
        <sz val="10"/>
        <rFont val="Maison Neue"/>
      </rPr>
      <t xml:space="preserve"> with preferred carrier</t>
    </r>
  </si>
  <si>
    <t>R40-CS</t>
  </si>
  <si>
    <t>R40-CGUIDE</t>
  </si>
  <si>
    <t>AP-CNNCT2</t>
  </si>
  <si>
    <t>Pipe connector for stainless steel pipe</t>
  </si>
  <si>
    <t>Stanchion mount</t>
  </si>
  <si>
    <t>AF-OSM</t>
  </si>
  <si>
    <t>T-BSAW</t>
  </si>
  <si>
    <t>T-SAW</t>
  </si>
  <si>
    <t>H-12NP</t>
  </si>
  <si>
    <t>H-15NP</t>
  </si>
  <si>
    <t>H-16NP</t>
  </si>
  <si>
    <t>H-17NP</t>
  </si>
  <si>
    <t>H-18NP</t>
  </si>
  <si>
    <t>HJ-12NP</t>
  </si>
  <si>
    <t>WF-RPLATE</t>
  </si>
  <si>
    <t>WF-LPLATE</t>
  </si>
  <si>
    <t>W-3EF</t>
  </si>
  <si>
    <t>AF-STACK</t>
  </si>
  <si>
    <t>Stacking cap</t>
  </si>
  <si>
    <t>FL-COU-U</t>
  </si>
  <si>
    <t>FL-COU20-100lbs</t>
  </si>
  <si>
    <t>FL-COU24-100lbs</t>
  </si>
  <si>
    <t>FL-COU14-100lbs</t>
  </si>
  <si>
    <t>SLIDING RAILS</t>
  </si>
  <si>
    <t>HJ-15NP</t>
  </si>
  <si>
    <t>HJ-17NP</t>
  </si>
  <si>
    <t>FOR ESD CONNECTORS</t>
  </si>
  <si>
    <t>M6-12BWZ</t>
  </si>
  <si>
    <t>Customs Broker:</t>
  </si>
  <si>
    <t>FREE</t>
  </si>
  <si>
    <t>F-HTRAINING</t>
  </si>
  <si>
    <t>F-CTRAINING</t>
  </si>
  <si>
    <t>HARDWARE FOR CASTERS</t>
  </si>
  <si>
    <t>Pair</t>
  </si>
  <si>
    <t>Salesperson:</t>
  </si>
  <si>
    <t>CASTERS</t>
  </si>
  <si>
    <t xml:space="preserve">CART TOOLS/ LABELS </t>
  </si>
  <si>
    <t>EW-3ESB</t>
  </si>
  <si>
    <t>5x blades for deburring tool</t>
  </si>
  <si>
    <t>3x portable band saw blades (Milwaukee)</t>
  </si>
  <si>
    <r>
      <rPr>
        <b/>
        <sz val="10"/>
        <rFont val="Maison Neue"/>
      </rPr>
      <t xml:space="preserve">Credit card </t>
    </r>
    <r>
      <rPr>
        <sz val="10"/>
        <rFont val="Maison Neue"/>
      </rPr>
      <t>(we will call you to get credit card information)</t>
    </r>
  </si>
  <si>
    <r>
      <rPr>
        <b/>
        <sz val="10"/>
        <rFont val="Maison Neue"/>
      </rPr>
      <t xml:space="preserve">Purchase order # </t>
    </r>
    <r>
      <rPr>
        <sz val="10"/>
        <rFont val="Maison Neue"/>
      </rPr>
      <t>(please attach your PO with the email)</t>
    </r>
  </si>
  <si>
    <t>David Beaudry</t>
  </si>
  <si>
    <t>dbeaudry@flexpipeinc.com</t>
  </si>
  <si>
    <t>(514)867-8083</t>
  </si>
  <si>
    <t>FREIGHT DETAILS</t>
  </si>
  <si>
    <t>2 days full training at your facility: Click here for dates available</t>
  </si>
  <si>
    <r>
      <rPr>
        <sz val="9"/>
        <color theme="0"/>
        <rFont val="Arial"/>
        <family val="2"/>
      </rPr>
      <t xml:space="preserve">Trainings at Flexpipe's facility: </t>
    </r>
    <r>
      <rPr>
        <u/>
        <sz val="9"/>
        <color indexed="12"/>
        <rFont val="Arial"/>
        <family val="2"/>
      </rPr>
      <t xml:space="preserve"> </t>
    </r>
    <r>
      <rPr>
        <u/>
        <sz val="9"/>
        <color rgb="FFFF6400"/>
        <rFont val="Arial"/>
        <family val="2"/>
      </rPr>
      <t>Click here for dates available</t>
    </r>
  </si>
  <si>
    <t>INVOICE TOTAL</t>
  </si>
  <si>
    <t>flexpipeinc.com</t>
  </si>
  <si>
    <t>TEL 855 406.0253</t>
  </si>
  <si>
    <t>EMAIL order@flexpipeinc.com</t>
  </si>
  <si>
    <t>DECKING:</t>
  </si>
  <si>
    <t>YOUR INFORMATION</t>
  </si>
  <si>
    <t>ORDER SUMMARY</t>
  </si>
  <si>
    <t>COMPANY:</t>
  </si>
  <si>
    <t>CONTACT:</t>
  </si>
  <si>
    <t>PHONE:</t>
  </si>
  <si>
    <t>E-MAIL:</t>
  </si>
  <si>
    <t>SHIPPING ADDRESS:</t>
  </si>
  <si>
    <t>BILLING ADDRESS:</t>
  </si>
  <si>
    <t>FREIGHT OPTION:</t>
  </si>
  <si>
    <t>FREIGHT ACCOUNT:</t>
  </si>
  <si>
    <t>PAYMENT METHOD:</t>
  </si>
  <si>
    <t>Marie Milton</t>
  </si>
  <si>
    <t>Extension:</t>
  </si>
  <si>
    <t>regular pipes</t>
  </si>
  <si>
    <t>for a pack of</t>
  </si>
  <si>
    <r>
      <t>H15+H16+</t>
    </r>
    <r>
      <rPr>
        <b/>
        <sz val="11"/>
        <color rgb="FFFF6400"/>
        <rFont val="Arial"/>
        <family val="2"/>
      </rPr>
      <t>M6-12B</t>
    </r>
    <r>
      <rPr>
        <sz val="11"/>
        <color theme="0"/>
        <rFont val="Arial"/>
        <family val="2"/>
      </rPr>
      <t>+M6-N</t>
    </r>
  </si>
  <si>
    <t>Wood skids 48'' X 48'' X 35'' (H)</t>
  </si>
  <si>
    <t>Wood skids 96'' X 48'' X 35'' (H)</t>
  </si>
  <si>
    <t>MEXICO</t>
  </si>
  <si>
    <t>Please write you account number if collect</t>
  </si>
  <si>
    <t>White HDPE plastic                     48'' X 96'' X 1/4''</t>
  </si>
  <si>
    <t>SPECIAL PRODUCTS</t>
  </si>
  <si>
    <t>USM</t>
  </si>
  <si>
    <t>LSM</t>
  </si>
  <si>
    <t>PI-3/46</t>
  </si>
  <si>
    <t>HAN-NIC</t>
  </si>
  <si>
    <t>TT1</t>
  </si>
  <si>
    <t>Handle</t>
  </si>
  <si>
    <t>Turn table</t>
  </si>
  <si>
    <r>
      <t xml:space="preserve">Black foam pipe protector </t>
    </r>
    <r>
      <rPr>
        <sz val="9"/>
        <color theme="0"/>
        <rFont val="Arial"/>
        <family val="2"/>
      </rPr>
      <t>EDPM  1-1/8'' X 3/8" X 72''</t>
    </r>
  </si>
  <si>
    <t>CO-LWM</t>
  </si>
  <si>
    <t>CO-LWF</t>
  </si>
  <si>
    <t>CO-SLM</t>
  </si>
  <si>
    <t>CO-SLF</t>
  </si>
  <si>
    <t>Leg wrapper tow bar male</t>
  </si>
  <si>
    <t>Leg wrapper tow bar female</t>
  </si>
  <si>
    <t>Spring loaded tow bar male</t>
  </si>
  <si>
    <t>Spring loaded tow bar female</t>
  </si>
  <si>
    <t>CF-463/4-4lbs</t>
  </si>
  <si>
    <t>EF-491-1,7lbs</t>
  </si>
  <si>
    <t>G-204</t>
  </si>
  <si>
    <t>G-206</t>
  </si>
  <si>
    <t>G-208</t>
  </si>
  <si>
    <t>Foot brake for 6'' caster</t>
  </si>
  <si>
    <t>Foot brake for 4'' caster</t>
  </si>
  <si>
    <t>48'' x 36" white magnetic dry erase board</t>
  </si>
  <si>
    <t>72'' X 48'' white magnetic dry erase board</t>
  </si>
  <si>
    <t>96'' X 48'' white magnetic dry erase board</t>
  </si>
  <si>
    <t>3917.29.00.90</t>
  </si>
  <si>
    <t>3921.19.000</t>
  </si>
  <si>
    <t>4411.92.4000</t>
  </si>
  <si>
    <t>SPECIAL PRODUCTS:</t>
  </si>
  <si>
    <t>CASTERS:</t>
  </si>
  <si>
    <t>Jonathan Despars</t>
  </si>
  <si>
    <t>jdespars@flexpipeinc.com</t>
  </si>
  <si>
    <t>TRANSPORTER</t>
  </si>
  <si>
    <t>Prepaid and charge</t>
  </si>
  <si>
    <t>Collect</t>
  </si>
  <si>
    <t>G-201</t>
  </si>
  <si>
    <t>G-203</t>
  </si>
  <si>
    <t>36'' x 48" white magnetic dry erase board</t>
  </si>
  <si>
    <t>1975 Latham Street</t>
  </si>
  <si>
    <t>Memphis, TN, 38109</t>
  </si>
  <si>
    <t xml:space="preserve">Flexpipe </t>
  </si>
  <si>
    <t>Tel: 855-406-0253</t>
  </si>
  <si>
    <t>AC-BUMPER</t>
  </si>
  <si>
    <t>EW-4ESB</t>
  </si>
  <si>
    <t>EW-4EF</t>
  </si>
  <si>
    <t>D-HDPEB-481/2</t>
  </si>
  <si>
    <t>Black HDPE plastic                   48'' X 96'' X 1/2''</t>
  </si>
  <si>
    <t>Black HDPE plastic                     48'' X 96'' X 1/4''</t>
  </si>
  <si>
    <t>D-HDPEB-481/4</t>
  </si>
  <si>
    <t>H-9NP</t>
  </si>
  <si>
    <t>H-14NP</t>
  </si>
  <si>
    <t>H-6ANP</t>
  </si>
  <si>
    <t>H-7ANP</t>
  </si>
  <si>
    <t>HJ-14NP</t>
  </si>
  <si>
    <t>HJ-9NP</t>
  </si>
  <si>
    <t>HJ-8NP</t>
  </si>
  <si>
    <t>H-8NP + H-9NP + M6</t>
  </si>
  <si>
    <t>H-90NP (2) + M6 (2)</t>
  </si>
  <si>
    <t>H-17NP + H-18NP + M6</t>
  </si>
  <si>
    <t>H6-NP (4) + H14-NP (2) + M6 (4)</t>
  </si>
  <si>
    <t>H-13NP (2) + M6</t>
  </si>
  <si>
    <t>H-12NP (2) + AP-HINGE + M6</t>
  </si>
  <si>
    <t>H9-NP (2) + M6</t>
  </si>
  <si>
    <t>HJ-7ANP</t>
  </si>
  <si>
    <t>H-7ANP (2) + M6</t>
  </si>
  <si>
    <t>HJ-6ANP</t>
  </si>
  <si>
    <t>H-6ANP (2) + H-6NP (2) + M6 (3)</t>
  </si>
  <si>
    <t xml:space="preserve"> H-5NP (2) + H-6NP (2) + M6 (2)</t>
  </si>
  <si>
    <t>H-2NP (4) + M6 (4)</t>
  </si>
  <si>
    <t>H-4NP (2) + M6 (2)</t>
  </si>
  <si>
    <t>H-2NP (2) + H-4NP + M6 (3)</t>
  </si>
  <si>
    <t>H-2NP + H-3NP + M6 (2)</t>
  </si>
  <si>
    <t>H-1NP (2) + M6</t>
  </si>
  <si>
    <t>H-8NP</t>
  </si>
  <si>
    <t>CF-461/8-4lbs</t>
  </si>
  <si>
    <t>METAL SINGLE JOINTS</t>
  </si>
  <si>
    <t>CHROME PLATED ANTI-STATIC (ESD) SINGLE JOINTS</t>
  </si>
  <si>
    <t>CHROME PLATED ANTI-STATIC (ESD) JOINT SETS</t>
  </si>
  <si>
    <t>HTS CODE TO USA</t>
  </si>
  <si>
    <t>8412.21.0045</t>
  </si>
  <si>
    <t>7318.15.2095</t>
  </si>
  <si>
    <t>7318.15.2010</t>
  </si>
  <si>
    <t>M6-25BTL</t>
  </si>
  <si>
    <t>M6-25BWZTL</t>
  </si>
  <si>
    <t>SERVICE</t>
  </si>
  <si>
    <t>8207.60.0035</t>
  </si>
  <si>
    <t>8203.10.6000</t>
  </si>
  <si>
    <t>8461.50.8020</t>
  </si>
  <si>
    <t>8202.20.0030</t>
  </si>
  <si>
    <t>8202.91.6000</t>
  </si>
  <si>
    <t># of sheet of 48'' X 96'' and kits/crib</t>
  </si>
  <si>
    <t>Si le poid est plus grand que 150 et si il y a tube ou feuilles et que le poids total est plus grand que 1500 donc 2 palettes sinon 1</t>
  </si>
  <si>
    <t>8' plastic center guide</t>
  </si>
  <si>
    <t>8' plastic roller guide</t>
  </si>
  <si>
    <t>Tee joint set</t>
  </si>
  <si>
    <t>BLACK METAL JOINT SETS</t>
  </si>
  <si>
    <t>Corner joint set</t>
  </si>
  <si>
    <t>4 way cross joint set</t>
  </si>
  <si>
    <t>3 way cross joint set</t>
  </si>
  <si>
    <t>Intersection joint set</t>
  </si>
  <si>
    <t>Intersection open joint set</t>
  </si>
  <si>
    <t>Side anchor joint set</t>
  </si>
  <si>
    <t>Flat anchor joint set</t>
  </si>
  <si>
    <t>Tee hinge joint set</t>
  </si>
  <si>
    <t>Parallel joint set</t>
  </si>
  <si>
    <t>Pivot tee joint set</t>
  </si>
  <si>
    <t>Extended pivot joint set</t>
  </si>
  <si>
    <t>Double pivot joint set</t>
  </si>
  <si>
    <t>Flat clamp joint set</t>
  </si>
  <si>
    <t>White 8' steel pipe</t>
  </si>
  <si>
    <t>Ivory 8' steel pipe</t>
  </si>
  <si>
    <t>Blue 8' steel pipe</t>
  </si>
  <si>
    <t>Gray 8' steel pipe</t>
  </si>
  <si>
    <t>Red 8' steel pipe</t>
  </si>
  <si>
    <t>Orange 8' steel pipe</t>
  </si>
  <si>
    <t>Track mount stabilizer</t>
  </si>
  <si>
    <t>Roller decelarator</t>
  </si>
  <si>
    <t>5 way cross joint seet</t>
  </si>
  <si>
    <t>5 way cross joint set</t>
  </si>
  <si>
    <r>
      <t>H-15NP+H-16NP+</t>
    </r>
    <r>
      <rPr>
        <b/>
        <sz val="6"/>
        <color indexed="53"/>
        <rFont val="Arial"/>
        <family val="2"/>
      </rPr>
      <t>M6-12BWZ+M6-NWZ</t>
    </r>
  </si>
  <si>
    <t>45⁰ fix angle joint set</t>
  </si>
  <si>
    <t>Round angle joint set</t>
  </si>
  <si>
    <t>End cap</t>
  </si>
  <si>
    <t>Hinge bracket</t>
  </si>
  <si>
    <t>Adjustable inner foot</t>
  </si>
  <si>
    <t>Adjustable outer foot</t>
  </si>
  <si>
    <t>Shim for surfaces levelling</t>
  </si>
  <si>
    <t>Divider</t>
  </si>
  <si>
    <t>Small bin hanger</t>
  </si>
  <si>
    <t>Quick release latch</t>
  </si>
  <si>
    <t>Label holder  2'' X 4''</t>
  </si>
  <si>
    <t>Label holder 1'' X 8''</t>
  </si>
  <si>
    <t>Corner bumper</t>
  </si>
  <si>
    <t>Front hook</t>
  </si>
  <si>
    <t>Roller double hook</t>
  </si>
  <si>
    <t>Slides bracket</t>
  </si>
  <si>
    <r>
      <t xml:space="preserve">White aluminum clad        48'' X 96'' X 1/8'' </t>
    </r>
    <r>
      <rPr>
        <sz val="11"/>
        <color indexed="9"/>
        <rFont val="Arial"/>
        <family val="2"/>
      </rPr>
      <t>(3mm)</t>
    </r>
  </si>
  <si>
    <t>Bolt for joint sets</t>
  </si>
  <si>
    <t>Nut for joint sets</t>
  </si>
  <si>
    <t>Bolt for HJ-15 set</t>
  </si>
  <si>
    <t>Bolt with threadlock</t>
  </si>
  <si>
    <t>Bushing stainless steel pipe</t>
  </si>
  <si>
    <t>Upper bracket for caster (2 per caster)</t>
  </si>
  <si>
    <t>Lower bracket for caster     (2 per caster)</t>
  </si>
  <si>
    <t>Left side caster  plate</t>
  </si>
  <si>
    <t>Right side caster plate</t>
  </si>
  <si>
    <t>Lock nut for caster installation (4 per casters)</t>
  </si>
  <si>
    <t xml:space="preserve">3'' Swivel caster w/brake  150lbs cap. </t>
  </si>
  <si>
    <t>3" Rigid caster                     150lbs cap.</t>
  </si>
  <si>
    <r>
      <rPr>
        <b/>
        <sz val="8"/>
        <color indexed="53"/>
        <rFont val="Arial"/>
        <family val="2"/>
      </rPr>
      <t>ESD</t>
    </r>
    <r>
      <rPr>
        <sz val="10"/>
        <color indexed="9"/>
        <rFont val="Arial"/>
        <family val="2"/>
      </rPr>
      <t xml:space="preserve"> 3'' Swivel caster w/brake 150lbs cap. </t>
    </r>
  </si>
  <si>
    <t>4'' Swivel caster w/brake 250lbs cap.</t>
  </si>
  <si>
    <t xml:space="preserve">4'' Rigid caster               250lbs cap. </t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</si>
  <si>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4'' Swivel caster w/brake 250lbs cap. </t>
    </r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</si>
  <si>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4'' Rigid caster               250lbs cap.</t>
    </r>
  </si>
  <si>
    <t xml:space="preserve">4'' Swivel caster w/brake  285lbs cap. </t>
  </si>
  <si>
    <t xml:space="preserve">4'' Rigid caster                285lbs cap. </t>
  </si>
  <si>
    <r>
      <t xml:space="preserve">6'' Swivel caster w/brake    500lbs </t>
    </r>
    <r>
      <rPr>
        <sz val="11"/>
        <color indexed="9"/>
        <rFont val="Arial"/>
        <family val="2"/>
      </rPr>
      <t xml:space="preserve">cap. </t>
    </r>
  </si>
  <si>
    <t xml:space="preserve">6'' Rigid caster                  500lbs cap. </t>
  </si>
  <si>
    <t>General starter kit               Build 4-5 structures</t>
  </si>
  <si>
    <t>Flow rack starter kit                 Build 4-5 tructures</t>
  </si>
  <si>
    <t>Cart starter kit              Build  4-5 carts</t>
  </si>
  <si>
    <t>Workstation starter kit   Build  4-5 structures</t>
  </si>
  <si>
    <t>Small starter kit                    Build 1-2 structures</t>
  </si>
  <si>
    <r>
      <rPr>
        <b/>
        <sz val="8"/>
        <color indexed="9"/>
        <rFont val="Arial"/>
        <family val="2"/>
      </rPr>
      <t>Flexpipe Crib</t>
    </r>
    <r>
      <rPr>
        <sz val="8"/>
        <color indexed="9"/>
        <rFont val="Arial"/>
        <family val="2"/>
      </rPr>
      <t>: Storage and assembly unit w/tools</t>
    </r>
  </si>
  <si>
    <t>5 MM allen wrench</t>
  </si>
  <si>
    <t xml:space="preserve">5  hex drill bits 5mm               : Use for impact gun </t>
  </si>
  <si>
    <t>Hand deburring tool          (Comes with 2 blades)</t>
  </si>
  <si>
    <t>Portable band saw kit         (Milwaukee 18 volt)</t>
  </si>
  <si>
    <t>2 blades for pipe cutter</t>
  </si>
  <si>
    <t>Pipe Cutter                        (Comes with 1 blade)</t>
  </si>
  <si>
    <t xml:space="preserve">U aluminum extrusion 12'      </t>
  </si>
  <si>
    <t>L aluminum extrusion  12'</t>
  </si>
  <si>
    <t>24'' X 36'' white magnetic dry erase board</t>
  </si>
  <si>
    <t>White 8' steel pipe PE coated</t>
  </si>
  <si>
    <t>Ivory 8' steel pipe PE coated</t>
  </si>
  <si>
    <t>Blue 8' steel pipe PE coated</t>
  </si>
  <si>
    <t>Gray 8' steel pipe PE coated</t>
  </si>
  <si>
    <t>Red 8' steel pipe PE coated</t>
  </si>
  <si>
    <t>Orange 8' steel pipe PE coated</t>
  </si>
  <si>
    <t>Black 8' steel pipe PE coated</t>
  </si>
  <si>
    <t>Stainless steel 8' pipe</t>
  </si>
  <si>
    <t>2mm 8' blue steel pipe PE coat</t>
  </si>
  <si>
    <t>Roller decelarator stainless</t>
  </si>
  <si>
    <t>8' PE plastic center guide</t>
  </si>
  <si>
    <t>8' PE plastic roller guide</t>
  </si>
  <si>
    <t>Track mount start steel zinc</t>
  </si>
  <si>
    <t>Track mount tab stop steel zinc</t>
  </si>
  <si>
    <t>Track union steel zinc</t>
  </si>
  <si>
    <t>Track mount drop stop steel zinc</t>
  </si>
  <si>
    <t>Track connector steel zinc</t>
  </si>
  <si>
    <t>Track mount stabilizer steel zinc</t>
  </si>
  <si>
    <t>Standard tee joint steel black</t>
  </si>
  <si>
    <t>Inner corner joint steel black</t>
  </si>
  <si>
    <t>Outer corner joint steel black</t>
  </si>
  <si>
    <t>Cross junction joint steel black</t>
  </si>
  <si>
    <t>Pivot point joint steel black</t>
  </si>
  <si>
    <t>Pivot extension steel black</t>
  </si>
  <si>
    <t>Extended pivot joint steel black</t>
  </si>
  <si>
    <t>Intersection joint steel black</t>
  </si>
  <si>
    <t>Open intersec. joint steel black</t>
  </si>
  <si>
    <t>Side anchor joint steel black</t>
  </si>
  <si>
    <t>Flat anchor joint steel black</t>
  </si>
  <si>
    <t>Tee hinge joint steel black</t>
  </si>
  <si>
    <t>Parallel joint steel black</t>
  </si>
  <si>
    <t>Double pivot joint steel black</t>
  </si>
  <si>
    <t>Upper clamp joint steel black</t>
  </si>
  <si>
    <t>Lower clamp joint steel black</t>
  </si>
  <si>
    <t>45 angle A joint steel black</t>
  </si>
  <si>
    <t>45 angle B joint steel black</t>
  </si>
  <si>
    <t>Parallel hinge joint steel black</t>
  </si>
  <si>
    <t>Round joint steel black</t>
  </si>
  <si>
    <t>Pipe mount start steel zinc</t>
  </si>
  <si>
    <t>Tee joint set steel bk</t>
  </si>
  <si>
    <t>Corner joint set steel bk</t>
  </si>
  <si>
    <t>4 way cross joint set steel bk</t>
  </si>
  <si>
    <t>3 way cross joint set steel bk</t>
  </si>
  <si>
    <t>5 way  cross joint set steel bk</t>
  </si>
  <si>
    <t>Pivot tee joint set steel bk</t>
  </si>
  <si>
    <t>Extend pivot joint set steel bk</t>
  </si>
  <si>
    <t>Intersection joint set steel bk</t>
  </si>
  <si>
    <t>Inter. open joint set steel bk</t>
  </si>
  <si>
    <t>Side anchor joint set steel bk</t>
  </si>
  <si>
    <t>Flat anchor joint set steel bk</t>
  </si>
  <si>
    <t>Tee hinge joint set steel bk</t>
  </si>
  <si>
    <t>Parallel joint set steel bk</t>
  </si>
  <si>
    <t>Doublepivot joint set steel bk</t>
  </si>
  <si>
    <t>Flat clamp joint set steel bk</t>
  </si>
  <si>
    <t>45 fix angle joint set steel bk</t>
  </si>
  <si>
    <t>Round joint set steel bk</t>
  </si>
  <si>
    <t>Standard tee joint steel cr</t>
  </si>
  <si>
    <t>Inner corner joint steel cr</t>
  </si>
  <si>
    <t>Outer corner joint steel cr</t>
  </si>
  <si>
    <t>Cross junction joint steel cr</t>
  </si>
  <si>
    <t>Pivot point joint steel cr</t>
  </si>
  <si>
    <t>Pivot extension steel cr</t>
  </si>
  <si>
    <t>Extended pivot joint steel cr</t>
  </si>
  <si>
    <t>Intersection joint steel cr</t>
  </si>
  <si>
    <t>Open intersec. joint steel cr</t>
  </si>
  <si>
    <t>Side anchor joint steel cr</t>
  </si>
  <si>
    <t>Flat anchor joint steel cr</t>
  </si>
  <si>
    <t>Tee hinge joint steel cr</t>
  </si>
  <si>
    <t>Parallel joint steel cr</t>
  </si>
  <si>
    <t>Double pivot joint steel cr</t>
  </si>
  <si>
    <t>Upper clamp joint steel cr</t>
  </si>
  <si>
    <t>Lower clamp joint steel cr</t>
  </si>
  <si>
    <t>45 angle A joint steel cr</t>
  </si>
  <si>
    <t>45 angle B joint steel cr</t>
  </si>
  <si>
    <t>Tee joint set steel cr</t>
  </si>
  <si>
    <t>Corner joint set steel cr</t>
  </si>
  <si>
    <t>4 way cross joint set steel cr</t>
  </si>
  <si>
    <t>3 way cross joint set steel cr</t>
  </si>
  <si>
    <t>5 way  cross joint set steel cr</t>
  </si>
  <si>
    <t>Pivot tee joint set steel cr</t>
  </si>
  <si>
    <t>Extend pivot joint set steel cr</t>
  </si>
  <si>
    <t>Intersection joint set steel cr</t>
  </si>
  <si>
    <t>Inter. open joint set steel cr</t>
  </si>
  <si>
    <t>Side anchor joint set steel cr</t>
  </si>
  <si>
    <t>Flat anchor joint set steel cr</t>
  </si>
  <si>
    <t>Tee hinge joint set steel cr</t>
  </si>
  <si>
    <t>Parallel joint set steel cr</t>
  </si>
  <si>
    <t>Doublepivot joint set steel cr</t>
  </si>
  <si>
    <t>Flat clamp joint set steel cr</t>
  </si>
  <si>
    <t>45 fix angle joint set steel cr</t>
  </si>
  <si>
    <t>Round joint set steel cr</t>
  </si>
  <si>
    <t>End cap plastic bk</t>
  </si>
  <si>
    <t>End cap for ss pipe plastic bk</t>
  </si>
  <si>
    <t>Pipe connector steel zinc</t>
  </si>
  <si>
    <t>Pipe connector ss steel zinc</t>
  </si>
  <si>
    <t>Adjust. inner foot steel zinc</t>
  </si>
  <si>
    <t>Adjust. outer foot steel zinc</t>
  </si>
  <si>
    <t>Rubber foot black</t>
  </si>
  <si>
    <t>Stanchion mount steel znc</t>
  </si>
  <si>
    <t>Stacking cap steel zinc</t>
  </si>
  <si>
    <t>Leveling shim plastic bk</t>
  </si>
  <si>
    <t>Surface clip plastic ivory</t>
  </si>
  <si>
    <t>Divider plastic black</t>
  </si>
  <si>
    <t>Pipe clamp single steel zinc</t>
  </si>
  <si>
    <t>Pipe clamp double steel zinc</t>
  </si>
  <si>
    <t>Corner bracket steel zinc</t>
  </si>
  <si>
    <t>Swivel stopper steel zinc</t>
  </si>
  <si>
    <t>Pipe rest steel zinc</t>
  </si>
  <si>
    <t>Corner stacking support</t>
  </si>
  <si>
    <t>Corner support steel zinc</t>
  </si>
  <si>
    <t>Quick release latch steel zinc</t>
  </si>
  <si>
    <t>Label holder 1X8 plastic clear</t>
  </si>
  <si>
    <t>Label holder 2X4 plastic clear</t>
  </si>
  <si>
    <t>Embed bracket steel zinc</t>
  </si>
  <si>
    <t>Embed pipe  steel zinc</t>
  </si>
  <si>
    <t>Embed pipe support :             Use with AI-CORNER</t>
  </si>
  <si>
    <t>Embed bracket support: Use with AI-CORNER</t>
  </si>
  <si>
    <t>Corner bumper rubber black</t>
  </si>
  <si>
    <t>Front hook steel zinc</t>
  </si>
  <si>
    <t>Small bin hanger steel zinc</t>
  </si>
  <si>
    <t>Tool holder steel zinc</t>
  </si>
  <si>
    <t>Motor driven lift kit</t>
  </si>
  <si>
    <t>Crank driven lift kit</t>
  </si>
  <si>
    <t>Slides bracket steel zinc</t>
  </si>
  <si>
    <t>Roller double hook steel zinc</t>
  </si>
  <si>
    <t>Spring tow bar female steel bl</t>
  </si>
  <si>
    <t>Spring tow bar male steel bl</t>
  </si>
  <si>
    <t>Wrap tow bar female steel bl</t>
  </si>
  <si>
    <t>Wrap tow bar male steel bl</t>
  </si>
  <si>
    <t>White HDPE plastic 4X8X1/2''</t>
  </si>
  <si>
    <t>White HDPE plastic 4X8X1/4''</t>
  </si>
  <si>
    <t>Black HDPE plastic 4X8X1/2''</t>
  </si>
  <si>
    <t>Black HDPE plastic 4X8X1/4''</t>
  </si>
  <si>
    <t>Bolt for HJ-15 set black zinc</t>
  </si>
  <si>
    <t>Bolt for joint set black zinc</t>
  </si>
  <si>
    <t>Nut for joint set black zinc</t>
  </si>
  <si>
    <t>Bolt threadlock black zinc</t>
  </si>
  <si>
    <t>Bolt for joint set white zinc</t>
  </si>
  <si>
    <t>Nut for joint set white zinc</t>
  </si>
  <si>
    <t>Bolt for HJ-15 set white zinc</t>
  </si>
  <si>
    <t>Bolt threadlock white zinc</t>
  </si>
  <si>
    <t xml:space="preserve">100x Square screws #8 X 1/2" </t>
  </si>
  <si>
    <t>100x Counter. screws #6 X 1"</t>
  </si>
  <si>
    <t xml:space="preserve">100x Drilling screws #8 X 5/8" </t>
  </si>
  <si>
    <t>Bushing ss pipe steel zinc</t>
  </si>
  <si>
    <t>Caster up bracket steel zinc</t>
  </si>
  <si>
    <t>Caster low bracket steel zinc</t>
  </si>
  <si>
    <t>Caster ext. bracket steel zinc</t>
  </si>
  <si>
    <t>Extended bracket for 6" caster (4 per caster)</t>
  </si>
  <si>
    <t>Left caster plate steel bk</t>
  </si>
  <si>
    <t>Right caster plate steel bk</t>
  </si>
  <si>
    <t>Lock nut for caster white zinc</t>
  </si>
  <si>
    <t>4'' Swivel caster brake stem</t>
  </si>
  <si>
    <t>3'' Swivel stem caster brake</t>
  </si>
  <si>
    <t>4''ESD swivel stem caster brake</t>
  </si>
  <si>
    <t>3''ESD swivel stem caster brake</t>
  </si>
  <si>
    <t>4'' Swivel plate caster brake</t>
  </si>
  <si>
    <t>4'' Rigid plate caster</t>
  </si>
  <si>
    <t>6'' Swivel plate caster brake</t>
  </si>
  <si>
    <t>6'' Rigid plate caster</t>
  </si>
  <si>
    <t>Flow rack starter kit</t>
  </si>
  <si>
    <t>3'' Rigid stem caster stem</t>
  </si>
  <si>
    <t>4'' Rigid stem caster</t>
  </si>
  <si>
    <t>4'' ESD rigid stem caster</t>
  </si>
  <si>
    <t xml:space="preserve">Workstation starter kit </t>
  </si>
  <si>
    <t xml:space="preserve">Cart starter kit </t>
  </si>
  <si>
    <t xml:space="preserve">General starter kit </t>
  </si>
  <si>
    <t>Small starter kit</t>
  </si>
  <si>
    <t>Flexpipe crib</t>
  </si>
  <si>
    <t>2 days full training at your facility</t>
  </si>
  <si>
    <t>Trainings at Flexpipe's facility</t>
  </si>
  <si>
    <t>Hand deburring tool</t>
  </si>
  <si>
    <t xml:space="preserve">Portable band saw kit </t>
  </si>
  <si>
    <t>3x portable band saw blades</t>
  </si>
  <si>
    <t>Pipe Cutter</t>
  </si>
  <si>
    <t>5  hex drill bits 5mm</t>
  </si>
  <si>
    <t>Black foam pipe protector EDPM72''</t>
  </si>
  <si>
    <t>Ethafoam black 1,7lbs 4X9.5X1''</t>
  </si>
  <si>
    <t>24''X36'' white magnetic board</t>
  </si>
  <si>
    <t>36''X48" white magnetic board</t>
  </si>
  <si>
    <t>48''X36" white magnetic board</t>
  </si>
  <si>
    <t>14"  pair of drawer slides</t>
  </si>
  <si>
    <t>20'' pair of drawer slides</t>
  </si>
  <si>
    <t>24'' pair drawer slides</t>
  </si>
  <si>
    <t>14" pair drawer slides steel zn</t>
  </si>
  <si>
    <t>20'' pair drawer slides steel zn</t>
  </si>
  <si>
    <t>24'' pair drawer slides steel zn</t>
  </si>
  <si>
    <t>(917)935-6955</t>
  </si>
  <si>
    <t>(901)255-2889</t>
  </si>
  <si>
    <t>Crosslink foam gray 4lbs     with tape 48'' X 96'' X 3/4''</t>
  </si>
  <si>
    <t>Crosslink foam gray 4lbs   with tape 48'' X 96'' X 1/8''</t>
  </si>
  <si>
    <t>c</t>
  </si>
  <si>
    <t>Crosslink foam gray 4lbs 4X8X3/4''</t>
  </si>
  <si>
    <t>Crosslink foam gray 4lbs 4X8X1/8''</t>
  </si>
  <si>
    <t>48''X72'' white magnetic board</t>
  </si>
  <si>
    <t>48''X96'' white magnetic board</t>
  </si>
  <si>
    <t>Black 8' pipe (ESD)</t>
  </si>
  <si>
    <t>Stainless 8' pipe (ESD)</t>
  </si>
  <si>
    <t>Blue 8' 2mm thick pipe</t>
  </si>
  <si>
    <t>BC4</t>
  </si>
  <si>
    <t>BC6</t>
  </si>
  <si>
    <t>Ethafoam black 1,7lbs           48'' X 113'' X 1''</t>
  </si>
  <si>
    <t>KIT-TRAINING</t>
  </si>
  <si>
    <t>Trainings at Flexpipe's facility and a starter kit</t>
  </si>
  <si>
    <t>R40-SGUIDE</t>
  </si>
  <si>
    <t>H-24</t>
  </si>
  <si>
    <t>H-23</t>
  </si>
  <si>
    <t>HJ-24</t>
  </si>
  <si>
    <t>HJ-23</t>
  </si>
  <si>
    <t>H-23 (2) + AP-HINGE + M6</t>
  </si>
  <si>
    <t>Double pipe single hinge set</t>
  </si>
  <si>
    <t>H-24 (2) + AP-HINGE + M6 (2)</t>
  </si>
  <si>
    <t>Cross hinge set</t>
  </si>
  <si>
    <t>8'  straight roller guide</t>
  </si>
  <si>
    <t>Mathieu Bernier</t>
  </si>
  <si>
    <t>Sofia Labrosse</t>
  </si>
  <si>
    <t>slabrosse@flexpipeinc.com</t>
  </si>
  <si>
    <t>753 Winer Industrial Way, Suite A</t>
  </si>
  <si>
    <t>Lawrenceville, GA, 30046</t>
  </si>
  <si>
    <t>Derek Jacob</t>
  </si>
  <si>
    <t>(514)712-1808</t>
  </si>
  <si>
    <t>djacob@flexpipeinc.com</t>
  </si>
  <si>
    <t>Jamie Couvieau</t>
  </si>
  <si>
    <t>(416)619-0777</t>
  </si>
  <si>
    <t>jcouvieau@flexpipeinc.com</t>
  </si>
  <si>
    <t>H-23NP</t>
  </si>
  <si>
    <t>H-24NP</t>
  </si>
  <si>
    <t>HJ-24NP</t>
  </si>
  <si>
    <t>HJ-23NP</t>
  </si>
  <si>
    <t>AS-UREST</t>
  </si>
  <si>
    <t>AP-SLEEVE</t>
  </si>
  <si>
    <t>Pipe mount drop stop steel zinc</t>
  </si>
  <si>
    <t>M6-25BHAN</t>
  </si>
  <si>
    <t>M8-45B</t>
  </si>
  <si>
    <t xml:space="preserve">Bolt for 4" caster </t>
  </si>
  <si>
    <t>Boltt for 6" caster</t>
  </si>
  <si>
    <t>W-4PSB-KIT</t>
  </si>
  <si>
    <t>W-6PF-KIT</t>
  </si>
  <si>
    <t>4'' Swivel caster brake KIT</t>
  </si>
  <si>
    <t>4'' Rigid caster KIT</t>
  </si>
  <si>
    <t>W-6PSB-KIT</t>
  </si>
  <si>
    <t>W-4PF-KIT</t>
  </si>
  <si>
    <t>6'' Swivel caster brake KIT</t>
  </si>
  <si>
    <t>6'' Rigid caster KIT</t>
  </si>
  <si>
    <t>AP-HOLE</t>
  </si>
  <si>
    <t>8' PE plastic straight roller guide</t>
  </si>
  <si>
    <t>3 way cross hinge joint steel black</t>
  </si>
  <si>
    <t>Double pipe hinge set steel bk</t>
  </si>
  <si>
    <t>3 way cross hinge joint set steel bk</t>
  </si>
  <si>
    <t>Double pipe single hinge joint</t>
  </si>
  <si>
    <t>3 way cross hinge joint</t>
  </si>
  <si>
    <t>Round joint</t>
  </si>
  <si>
    <t>Double pipe hinge set steel cr</t>
  </si>
  <si>
    <t>3 way cross hinge joint set steel cr</t>
  </si>
  <si>
    <t>Hanger end cap steel zinc</t>
  </si>
  <si>
    <t>Open sleeve hanger steel zinc</t>
  </si>
  <si>
    <t>C Pipe rest steel zinc</t>
  </si>
  <si>
    <t>M8-35B</t>
  </si>
  <si>
    <t>Washer for 6" caster</t>
  </si>
  <si>
    <t>Bolt for 4" caster white zinc (4 per caster)</t>
  </si>
  <si>
    <t>Bolt for 6" caster white zinc (4 per caster)</t>
  </si>
  <si>
    <t>Washer for 6" caster white zinc</t>
  </si>
  <si>
    <t>Quick release lever bolt black zinc</t>
  </si>
  <si>
    <t>Foot brake for 4" caster</t>
  </si>
  <si>
    <t>Foot brake for 6" caster</t>
  </si>
  <si>
    <t>Hanger end cap</t>
  </si>
  <si>
    <t>Open sleeve hanger</t>
  </si>
  <si>
    <t>C pipe rest</t>
  </si>
  <si>
    <t>Bolt quick release (500)</t>
  </si>
  <si>
    <t>See website</t>
  </si>
  <si>
    <t>F-W5/16</t>
  </si>
  <si>
    <t>Self drilling screws    #8 X 5/8" to solidify joints</t>
  </si>
  <si>
    <t>Square screws #8 X 1/2" to install accessories</t>
  </si>
  <si>
    <t>CAD PRICE LIST 2020</t>
  </si>
  <si>
    <t>Atlanta + Montreal + Toronto + California</t>
  </si>
  <si>
    <r>
      <rPr>
        <b/>
        <sz val="16"/>
        <color rgb="FFFF6600"/>
        <rFont val="Arial"/>
        <family val="2"/>
      </rPr>
      <t>85MM</t>
    </r>
    <r>
      <rPr>
        <b/>
        <sz val="16"/>
        <color theme="0"/>
        <rFont val="Arial"/>
        <family val="2"/>
      </rPr>
      <t xml:space="preserve"> ROLLER TRACK </t>
    </r>
  </si>
  <si>
    <t>R85-RT96</t>
  </si>
  <si>
    <t>R85-MS</t>
  </si>
  <si>
    <t>R85-TS</t>
  </si>
  <si>
    <t>R85-DS</t>
  </si>
  <si>
    <t>L-M77012</t>
  </si>
  <si>
    <t>L-C77012</t>
  </si>
  <si>
    <r>
      <t xml:space="preserve">Kit élévateur avec moteur  : </t>
    </r>
    <r>
      <rPr>
        <sz val="10"/>
        <color theme="0"/>
        <rFont val="Arial"/>
        <family val="2"/>
      </rPr>
      <t>770lb cap. 12'' élévation</t>
    </r>
  </si>
  <si>
    <r>
      <t xml:space="preserve">Kit élévateur manuel  : </t>
    </r>
    <r>
      <rPr>
        <sz val="10"/>
        <color theme="0"/>
        <rFont val="Arial"/>
        <family val="2"/>
      </rPr>
      <t>770lbs cap. 12'' élévation</t>
    </r>
  </si>
  <si>
    <t xml:space="preserve">boîte de </t>
  </si>
  <si>
    <t>Countersunk screws #8 X 1" to install decking</t>
  </si>
  <si>
    <t>F-SF81</t>
  </si>
  <si>
    <t>KIT-MULTI</t>
  </si>
  <si>
    <t xml:space="preserve">Multi structures kit         </t>
  </si>
  <si>
    <t>D-WIRE-MESH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</si>
</sst>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* #,##0.00\ &quot;$&quot;_-;_-* #,##0.00\ &quot;$&quot;\-;_-* &quot;-&quot;??\ &quot;$&quot;_-;_-@_-"/>
    <numFmt numFmtId="165" formatCode="_-* #,##0.00\ _$_-;_-* #,##0.00\ _$\-;_-* &quot;-&quot;??\ _$_-;_-@_-"/>
    <numFmt numFmtId="166" formatCode="#,##0.00\ &quot;$&quot;"/>
    <numFmt numFmtId="167" formatCode="0.000"/>
    <numFmt numFmtId="168" formatCode="_([$$-409]* #,##0.00_);_([$$-409]* \(#,##0.00\);_([$$-409]* &quot;-&quot;??_);_(@_)"/>
    <numFmt numFmtId="169" formatCode="_ * #,##0.00_)\ [$$-C0C]_ ;_ * \(#,##0.00\)\ [$$-C0C]_ ;_ * &quot;-&quot;??_)\ [$$-C0C]_ ;_ @_ "/>
  </numFmts>
  <fonts count="133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family val="2"/>
    </font>
    <font>
      <b/>
      <sz val="18"/>
      <name val="Arial"/>
      <family val="2"/>
    </font>
    <font>
      <u/>
      <sz val="8"/>
      <color indexed="12"/>
      <name val="Arial"/>
      <family val="2"/>
    </font>
    <font>
      <u/>
      <sz val="8"/>
      <name val="Arial"/>
      <family val="2"/>
    </font>
    <font>
      <sz val="7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u/>
      <sz val="10"/>
      <name val="Arial"/>
      <family val="2"/>
    </font>
    <font>
      <sz val="10"/>
      <name val="Arial Black"/>
      <family val="2"/>
    </font>
    <font>
      <i/>
      <sz val="10"/>
      <name val="Arial"/>
      <family val="2"/>
    </font>
    <font>
      <sz val="26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Arial"/>
      <family val="2"/>
    </font>
    <font>
      <b/>
      <sz val="10"/>
      <color rgb="FF00B0F0"/>
      <name val="Arial"/>
      <family val="2"/>
    </font>
    <font>
      <b/>
      <sz val="12"/>
      <color theme="1"/>
      <name val="Maison Neue"/>
    </font>
    <font>
      <b/>
      <sz val="12"/>
      <color indexed="50"/>
      <name val="Maison Neue"/>
    </font>
    <font>
      <b/>
      <sz val="12"/>
      <name val="Maison Neue"/>
    </font>
    <font>
      <sz val="10"/>
      <name val="Maison Neue"/>
    </font>
    <font>
      <b/>
      <sz val="16"/>
      <color theme="0"/>
      <name val="Maison Neue"/>
    </font>
    <font>
      <sz val="14"/>
      <color theme="0"/>
      <name val="Maison Neue"/>
    </font>
    <font>
      <b/>
      <sz val="14"/>
      <color indexed="8"/>
      <name val="Maison Neue"/>
    </font>
    <font>
      <b/>
      <sz val="14"/>
      <color theme="0"/>
      <name val="Maison Neue"/>
    </font>
    <font>
      <b/>
      <sz val="14"/>
      <color theme="1"/>
      <name val="Maison Neue"/>
    </font>
    <font>
      <sz val="14"/>
      <name val="Maison Neue"/>
    </font>
    <font>
      <sz val="9"/>
      <name val="Maison Neue"/>
    </font>
    <font>
      <b/>
      <sz val="14"/>
      <name val="Maison Neue"/>
    </font>
    <font>
      <b/>
      <sz val="11"/>
      <name val="Maison Neue"/>
    </font>
    <font>
      <b/>
      <sz val="10"/>
      <name val="Maison Neue"/>
    </font>
    <font>
      <sz val="10"/>
      <color indexed="57"/>
      <name val="Maison Neue"/>
    </font>
    <font>
      <b/>
      <sz val="8"/>
      <name val="Maison Neue"/>
    </font>
    <font>
      <b/>
      <sz val="10"/>
      <color theme="1"/>
      <name val="Maison Neue"/>
    </font>
    <font>
      <sz val="10"/>
      <color theme="1"/>
      <name val="Maison Neue"/>
    </font>
    <font>
      <sz val="10"/>
      <color indexed="9"/>
      <name val="Maison Neue"/>
    </font>
    <font>
      <b/>
      <sz val="7"/>
      <name val="Maison Neue"/>
    </font>
    <font>
      <sz val="10"/>
      <color theme="0"/>
      <name val="Maison Neue"/>
    </font>
    <font>
      <b/>
      <sz val="10"/>
      <color rgb="FFFF0000"/>
      <name val="Maison Neue"/>
    </font>
    <font>
      <sz val="10"/>
      <color indexed="48"/>
      <name val="Maison Neue"/>
    </font>
    <font>
      <sz val="8"/>
      <color theme="0"/>
      <name val="Maison Neue"/>
    </font>
    <font>
      <sz val="8"/>
      <name val="Maison Neue"/>
    </font>
    <font>
      <sz val="10"/>
      <color indexed="10"/>
      <name val="Maison Neue"/>
    </font>
    <font>
      <sz val="11"/>
      <name val="Maison Neue"/>
    </font>
    <font>
      <sz val="11"/>
      <color indexed="57"/>
      <name val="Maison Neue"/>
    </font>
    <font>
      <sz val="9"/>
      <color indexed="57"/>
      <name val="Maison Neue"/>
    </font>
    <font>
      <b/>
      <sz val="16"/>
      <color indexed="48"/>
      <name val="Maison Neue"/>
    </font>
    <font>
      <sz val="12"/>
      <color rgb="FFFF0000"/>
      <name val="Maison Neue"/>
    </font>
    <font>
      <sz val="10"/>
      <color indexed="12"/>
      <name val="Maison Neue"/>
    </font>
    <font>
      <sz val="11"/>
      <color theme="1"/>
      <name val="Maison Neue"/>
    </font>
    <font>
      <b/>
      <sz val="11"/>
      <color theme="0"/>
      <name val="Maison Neue"/>
    </font>
    <font>
      <b/>
      <sz val="16"/>
      <color theme="0"/>
      <name val="TSTAR Headline"/>
      <family val="3"/>
    </font>
    <font>
      <sz val="9"/>
      <color rgb="FF92D050"/>
      <name val="Maison Neue"/>
    </font>
    <font>
      <sz val="10"/>
      <color rgb="FF92D050"/>
      <name val="Maison Neue"/>
    </font>
    <font>
      <sz val="8"/>
      <color theme="1"/>
      <name val="Maison Neue"/>
    </font>
    <font>
      <sz val="10"/>
      <name val="TSTAR"/>
      <family val="3"/>
    </font>
    <font>
      <sz val="16"/>
      <color rgb="FFFF0000"/>
      <name val="TSTAR"/>
      <family val="3"/>
    </font>
    <font>
      <b/>
      <sz val="14"/>
      <color rgb="FFE8E8DF"/>
      <name val="Maison Neue"/>
    </font>
    <font>
      <sz val="14"/>
      <color rgb="FF3C3C3C"/>
      <name val="Arial Black"/>
      <family val="2"/>
    </font>
    <font>
      <b/>
      <sz val="8.5"/>
      <color rgb="FFFF6400"/>
      <name val="Arial"/>
      <family val="2"/>
    </font>
    <font>
      <sz val="8"/>
      <color rgb="FF3C3C3C"/>
      <name val="Arial Black"/>
      <family val="2"/>
    </font>
    <font>
      <b/>
      <sz val="12"/>
      <color theme="0"/>
      <name val="Maison Neue"/>
    </font>
    <font>
      <sz val="10"/>
      <color theme="0"/>
      <name val="Arial"/>
      <family val="2"/>
    </font>
    <font>
      <sz val="10"/>
      <color rgb="FFFF6400"/>
      <name val="Maison Neue"/>
    </font>
    <font>
      <b/>
      <sz val="16"/>
      <color theme="0"/>
      <name val="Arial"/>
      <family val="2"/>
    </font>
    <font>
      <sz val="14"/>
      <color theme="0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color indexed="57"/>
      <name val="Arial"/>
      <family val="2"/>
    </font>
    <font>
      <sz val="11"/>
      <color rgb="FFFF6400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indexed="57"/>
      <name val="Arial"/>
      <family val="2"/>
    </font>
    <font>
      <b/>
      <sz val="14"/>
      <color theme="0"/>
      <name val="Arial"/>
      <family val="2"/>
    </font>
    <font>
      <sz val="11"/>
      <color indexed="9"/>
      <name val="Arial"/>
      <family val="2"/>
    </font>
    <font>
      <sz val="11"/>
      <color indexed="10"/>
      <name val="Arial"/>
      <family val="2"/>
    </font>
    <font>
      <b/>
      <sz val="11"/>
      <color theme="0"/>
      <name val="Arial"/>
      <family val="2"/>
    </font>
    <font>
      <b/>
      <sz val="11"/>
      <color indexed="8"/>
      <name val="Arial"/>
      <family val="2"/>
    </font>
    <font>
      <b/>
      <sz val="11"/>
      <color indexed="12"/>
      <name val="Arial"/>
      <family val="2"/>
    </font>
    <font>
      <sz val="11"/>
      <color rgb="FFFF6400"/>
      <name val="Maison Neue"/>
    </font>
    <font>
      <sz val="10"/>
      <color indexed="9"/>
      <name val="Arial"/>
      <family val="2"/>
    </font>
    <font>
      <sz val="9"/>
      <color theme="0"/>
      <name val="Arial"/>
      <family val="2"/>
    </font>
    <font>
      <u/>
      <sz val="9"/>
      <color indexed="12"/>
      <name val="Arial"/>
      <family val="2"/>
    </font>
    <font>
      <u/>
      <sz val="9"/>
      <color rgb="FFFF6400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53"/>
      <name val="Arial"/>
      <family val="2"/>
    </font>
    <font>
      <b/>
      <sz val="12"/>
      <color theme="0"/>
      <name val="Arial"/>
      <family val="2"/>
    </font>
    <font>
      <sz val="12"/>
      <name val="Arial"/>
      <family val="2"/>
    </font>
    <font>
      <b/>
      <sz val="12"/>
      <color rgb="FFFF640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i/>
      <sz val="12"/>
      <name val="Arial"/>
      <family val="2"/>
    </font>
    <font>
      <i/>
      <sz val="12"/>
      <color theme="0"/>
      <name val="Arial"/>
      <family val="2"/>
    </font>
    <font>
      <b/>
      <sz val="12"/>
      <color theme="1"/>
      <name val="Arial"/>
      <family val="2"/>
    </font>
    <font>
      <b/>
      <sz val="15"/>
      <name val="Arial"/>
      <family val="2"/>
    </font>
    <font>
      <sz val="15"/>
      <name val="Arial"/>
      <family val="2"/>
    </font>
    <font>
      <b/>
      <sz val="15"/>
      <color theme="1"/>
      <name val="Arial"/>
      <family val="2"/>
    </font>
    <font>
      <sz val="18"/>
      <color indexed="23"/>
      <name val="Arial"/>
      <family val="2"/>
    </font>
    <font>
      <sz val="18"/>
      <name val="Arial"/>
      <family val="2"/>
    </font>
    <font>
      <b/>
      <sz val="9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1"/>
      <name val="Arial"/>
      <family val="2"/>
    </font>
    <font>
      <b/>
      <sz val="11"/>
      <color rgb="FFFF6400"/>
      <name val="Arial"/>
      <family val="2"/>
    </font>
    <font>
      <b/>
      <sz val="8"/>
      <color theme="0"/>
      <name val="Arial"/>
      <family val="2"/>
    </font>
    <font>
      <sz val="9.5"/>
      <color indexed="9"/>
      <name val="Arial"/>
      <family val="2"/>
    </font>
    <font>
      <sz val="9.5"/>
      <color theme="0"/>
      <name val="Arial"/>
      <family val="2"/>
    </font>
    <font>
      <sz val="9.5"/>
      <name val="Arial"/>
      <family val="2"/>
    </font>
    <font>
      <sz val="12"/>
      <color theme="9" tint="0.79998168889431442"/>
      <name val="Arial"/>
      <family val="2"/>
    </font>
    <font>
      <b/>
      <sz val="8"/>
      <color rgb="FFFF6600"/>
      <name val="Arial"/>
      <family val="2"/>
    </font>
    <font>
      <sz val="8"/>
      <color rgb="FF92D050"/>
      <name val="Maison Neue"/>
    </font>
    <font>
      <sz val="6"/>
      <color theme="0"/>
      <name val="Arial"/>
      <family val="2"/>
    </font>
    <font>
      <b/>
      <sz val="6"/>
      <color indexed="53"/>
      <name val="Arial"/>
      <family val="2"/>
    </font>
    <font>
      <b/>
      <sz val="10"/>
      <color rgb="FFFF6600"/>
      <name val="Maison Neue"/>
    </font>
    <font>
      <sz val="10"/>
      <color rgb="FFFF6600"/>
      <name val="Arial"/>
      <family val="2"/>
    </font>
    <font>
      <b/>
      <sz val="11"/>
      <color rgb="FFFF6600"/>
      <name val="Arial"/>
      <family val="2"/>
    </font>
    <font>
      <sz val="11"/>
      <color rgb="FFFF6600"/>
      <name val="Arial"/>
      <family val="2"/>
    </font>
    <font>
      <b/>
      <sz val="11"/>
      <color rgb="FFFF6600"/>
      <name val="Maison Neue"/>
    </font>
    <font>
      <b/>
      <sz val="16"/>
      <color rgb="FFFF6600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B9B4AF"/>
        <bgColor indexed="64"/>
      </patternFill>
    </fill>
    <fill>
      <patternFill patternType="solid">
        <fgColor rgb="FFE8E8D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4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127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rgb="FFB9B4AF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/>
      <diagonal/>
    </border>
    <border>
      <left/>
      <right/>
      <top style="thin">
        <color rgb="FFB9B4AF"/>
      </top>
      <bottom/>
      <diagonal/>
    </border>
    <border>
      <left/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/>
      <bottom/>
      <diagonal/>
    </border>
    <border>
      <left/>
      <right style="thin">
        <color rgb="FFB9B4AF"/>
      </right>
      <top/>
      <bottom/>
      <diagonal/>
    </border>
    <border>
      <left style="thin">
        <color rgb="FFB9B4AF"/>
      </left>
      <right/>
      <top/>
      <bottom style="thin">
        <color rgb="FFB9B4AF"/>
      </bottom>
      <diagonal/>
    </border>
    <border>
      <left/>
      <right/>
      <top/>
      <bottom style="thin">
        <color rgb="FFB9B4AF"/>
      </bottom>
      <diagonal/>
    </border>
    <border>
      <left/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 style="thin">
        <color rgb="FF8C8987"/>
      </top>
      <bottom/>
      <diagonal/>
    </border>
    <border>
      <left/>
      <right/>
      <top style="thin">
        <color rgb="FF8C8987"/>
      </top>
      <bottom/>
      <diagonal/>
    </border>
    <border>
      <left style="thin">
        <color rgb="FF8C8987"/>
      </left>
      <right/>
      <top/>
      <bottom/>
      <diagonal/>
    </border>
    <border>
      <left/>
      <right style="thin">
        <color rgb="FF8C8987"/>
      </right>
      <top/>
      <bottom/>
      <diagonal/>
    </border>
    <border>
      <left/>
      <right/>
      <top style="thin">
        <color rgb="FF8C8987"/>
      </top>
      <bottom style="thin">
        <color rgb="FF8C8987"/>
      </bottom>
      <diagonal/>
    </border>
    <border>
      <left/>
      <right style="thin">
        <color rgb="FF8C8987"/>
      </right>
      <top style="thin">
        <color rgb="FF8C8987"/>
      </top>
      <bottom style="thin">
        <color rgb="FF8C8987"/>
      </bottom>
      <diagonal/>
    </border>
    <border>
      <left style="thin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/>
      <top style="thin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rgb="FFB9B4AF"/>
      </right>
      <top/>
      <bottom style="thin">
        <color rgb="FFB9B4AF"/>
      </bottom>
      <diagonal/>
    </border>
    <border>
      <left style="thin">
        <color rgb="FFB9B4AF"/>
      </left>
      <right style="thin">
        <color rgb="FFB9B4AF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medium">
        <color rgb="FFB9B4AF"/>
      </left>
      <right/>
      <top style="medium">
        <color rgb="FFB9B4AF"/>
      </top>
      <bottom style="medium">
        <color rgb="FFB9B4AF"/>
      </bottom>
      <diagonal/>
    </border>
    <border>
      <left/>
      <right/>
      <top style="medium">
        <color rgb="FFB9B4AF"/>
      </top>
      <bottom style="medium">
        <color rgb="FFB9B4AF"/>
      </bottom>
      <diagonal/>
    </border>
    <border>
      <left/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auto="1"/>
      </bottom>
      <diagonal/>
    </border>
    <border>
      <left/>
      <right/>
      <top style="thin">
        <color rgb="FFB9B4AF"/>
      </top>
      <bottom style="thin">
        <color auto="1"/>
      </bottom>
      <diagonal/>
    </border>
    <border>
      <left/>
      <right style="thin">
        <color rgb="FFB9B4AF"/>
      </right>
      <top style="thin">
        <color rgb="FFB9B4AF"/>
      </top>
      <bottom style="thin">
        <color auto="1"/>
      </bottom>
      <diagonal/>
    </border>
    <border>
      <left/>
      <right style="medium">
        <color rgb="FFB9B4AF"/>
      </right>
      <top/>
      <bottom style="medium">
        <color rgb="FFB9B4AF"/>
      </bottom>
      <diagonal/>
    </border>
    <border>
      <left style="thin">
        <color rgb="FF8C8987"/>
      </left>
      <right style="thin">
        <color rgb="FF8C8987"/>
      </right>
      <top/>
      <bottom style="thin">
        <color rgb="FF8C8987"/>
      </bottom>
      <diagonal/>
    </border>
    <border>
      <left style="medium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 style="thin">
        <color indexed="64"/>
      </right>
      <top style="medium">
        <color rgb="FFB9B4AF"/>
      </top>
      <bottom style="medium">
        <color rgb="FFB9B4AF"/>
      </bottom>
      <diagonal/>
    </border>
    <border>
      <left style="thin">
        <color indexed="64"/>
      </left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/>
      <bottom style="thin">
        <color rgb="FFB9B4AF"/>
      </bottom>
      <diagonal/>
    </border>
    <border>
      <left style="thin">
        <color indexed="64"/>
      </left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/>
      <bottom style="thin">
        <color rgb="FF8C8987"/>
      </bottom>
      <diagonal/>
    </border>
    <border>
      <left/>
      <right/>
      <top/>
      <bottom style="thin">
        <color rgb="FF8C8987"/>
      </bottom>
      <diagonal/>
    </border>
    <border>
      <left style="thin">
        <color indexed="64"/>
      </left>
      <right style="medium">
        <color rgb="FFB9B4AF"/>
      </right>
      <top/>
      <bottom style="medium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8C8987"/>
      </top>
      <bottom style="thin">
        <color rgb="FF8C8987"/>
      </bottom>
      <diagonal/>
    </border>
    <border>
      <left style="thin">
        <color indexed="64"/>
      </left>
      <right style="thin">
        <color rgb="FF8C8987"/>
      </right>
      <top style="thin">
        <color rgb="FF8C8987"/>
      </top>
      <bottom style="thin">
        <color rgb="FF8C8987"/>
      </bottom>
      <diagonal/>
    </border>
    <border>
      <left/>
      <right style="thin">
        <color indexed="64"/>
      </right>
      <top/>
      <bottom style="medium">
        <color rgb="FFB9B4AF"/>
      </bottom>
      <diagonal/>
    </border>
    <border>
      <left/>
      <right/>
      <top/>
      <bottom style="medium">
        <color rgb="FFB9B4AF"/>
      </bottom>
      <diagonal/>
    </border>
    <border>
      <left style="thin">
        <color rgb="FF8C8987"/>
      </left>
      <right style="thin">
        <color indexed="64"/>
      </right>
      <top style="thin">
        <color rgb="FF8C8987"/>
      </top>
      <bottom/>
      <diagonal/>
    </border>
    <border>
      <left style="thin">
        <color indexed="64"/>
      </left>
      <right style="thin">
        <color indexed="64"/>
      </right>
      <top style="thin">
        <color rgb="FF8C8987"/>
      </top>
      <bottom/>
      <diagonal/>
    </border>
    <border>
      <left style="thin">
        <color rgb="FFB9B4AF"/>
      </left>
      <right/>
      <top/>
      <bottom style="thin">
        <color rgb="FF8C8987"/>
      </bottom>
      <diagonal/>
    </border>
    <border>
      <left/>
      <right style="thin">
        <color rgb="FFB9B4AF"/>
      </right>
      <top/>
      <bottom style="thin">
        <color rgb="FF8C8987"/>
      </bottom>
      <diagonal/>
    </border>
    <border>
      <left style="thin">
        <color rgb="FFB9B4AF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thin">
        <color indexed="64"/>
      </left>
      <right style="medium">
        <color rgb="FFB9B4AF"/>
      </right>
      <top style="thin">
        <color indexed="64"/>
      </top>
      <bottom style="thin">
        <color rgb="FFB9B4AF"/>
      </bottom>
      <diagonal/>
    </border>
    <border>
      <left/>
      <right style="medium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/>
      <bottom/>
      <diagonal/>
    </border>
    <border>
      <left style="thin">
        <color indexed="64"/>
      </left>
      <right/>
      <top style="thin">
        <color rgb="FFB9B4AF"/>
      </top>
      <bottom style="thin">
        <color indexed="64"/>
      </bottom>
      <diagonal/>
    </border>
    <border>
      <left/>
      <right style="thin">
        <color indexed="64"/>
      </right>
      <top style="thin">
        <color rgb="FFB9B4AF"/>
      </top>
      <bottom style="thin">
        <color indexed="64"/>
      </bottom>
      <diagonal/>
    </border>
    <border>
      <left/>
      <right style="medium">
        <color rgb="FFB9B4AF"/>
      </right>
      <top/>
      <bottom/>
      <diagonal/>
    </border>
    <border>
      <left style="thin">
        <color rgb="FFB9B4AF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B9B4AF"/>
      </right>
      <top/>
      <bottom/>
      <diagonal/>
    </border>
    <border>
      <left style="thin">
        <color rgb="FFB9B4AF"/>
      </left>
      <right style="thin">
        <color rgb="FFB9B4AF"/>
      </right>
      <top style="thin">
        <color indexed="64"/>
      </top>
      <bottom/>
      <diagonal/>
    </border>
    <border>
      <left style="thin">
        <color rgb="FFB9B4AF"/>
      </left>
      <right style="thin">
        <color indexed="64"/>
      </right>
      <top style="thin">
        <color indexed="64"/>
      </top>
      <bottom/>
      <diagonal/>
    </border>
    <border>
      <left style="thin">
        <color rgb="FFB9B4AF"/>
      </left>
      <right style="thin">
        <color rgb="FF8C8987"/>
      </right>
      <top style="thin">
        <color rgb="FFB9B4AF"/>
      </top>
      <bottom style="thin">
        <color rgb="FFB9B4AF"/>
      </bottom>
      <diagonal/>
    </border>
    <border>
      <left style="thin">
        <color rgb="FF8C8987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/>
      <top/>
      <bottom style="thin">
        <color rgb="FFB9B4AF"/>
      </bottom>
      <diagonal/>
    </border>
    <border>
      <left/>
      <right style="medium">
        <color rgb="FFB9B4AF"/>
      </right>
      <top/>
      <bottom style="thin">
        <color rgb="FFB9B4AF"/>
      </bottom>
      <diagonal/>
    </border>
    <border>
      <left style="thin">
        <color indexed="64"/>
      </left>
      <right style="medium">
        <color rgb="FFB9B4AF"/>
      </right>
      <top/>
      <bottom/>
      <diagonal/>
    </border>
    <border>
      <left style="thin">
        <color indexed="64"/>
      </left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theme="0"/>
      </bottom>
      <diagonal/>
    </border>
    <border>
      <left/>
      <right/>
      <top style="thin">
        <color rgb="FFB9B4AF"/>
      </top>
      <bottom style="thin">
        <color theme="0"/>
      </bottom>
      <diagonal/>
    </border>
    <border>
      <left/>
      <right style="thin">
        <color rgb="FFB9B4AF"/>
      </right>
      <top style="thin">
        <color rgb="FFB9B4AF"/>
      </top>
      <bottom style="thin">
        <color theme="0"/>
      </bottom>
      <diagonal/>
    </border>
    <border>
      <left style="thin">
        <color rgb="FFB9B4AF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rgb="FFB9B4AF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medium">
        <color rgb="FFB9B4AF"/>
      </top>
      <bottom style="medium">
        <color rgb="FFB9B4AF"/>
      </bottom>
      <diagonal/>
    </border>
    <border>
      <left/>
      <right style="thin">
        <color indexed="64"/>
      </right>
      <top style="thin">
        <color indexed="64"/>
      </top>
      <bottom style="thin">
        <color rgb="FFB9B4AF"/>
      </bottom>
      <diagonal/>
    </border>
    <border>
      <left/>
      <right/>
      <top style="thin">
        <color indexed="64"/>
      </top>
      <bottom style="thin">
        <color rgb="FFB9B4AF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medium">
        <color indexed="64"/>
      </left>
      <right/>
      <top/>
      <bottom style="thin">
        <color rgb="FFB9B4AF"/>
      </bottom>
      <diagonal/>
    </border>
    <border>
      <left/>
      <right style="medium">
        <color indexed="64"/>
      </right>
      <top/>
      <bottom style="thin">
        <color rgb="FFB9B4AF"/>
      </bottom>
      <diagonal/>
    </border>
    <border>
      <left style="thin">
        <color rgb="FFE8E8DF"/>
      </left>
      <right style="thin">
        <color rgb="FFE8E8DF"/>
      </right>
      <top/>
      <bottom style="thin">
        <color indexed="64"/>
      </bottom>
      <diagonal/>
    </border>
    <border>
      <left style="thin">
        <color rgb="FFE8E8DF"/>
      </left>
      <right style="thin">
        <color rgb="FFE8E8DF"/>
      </right>
      <top/>
      <bottom/>
      <diagonal/>
    </border>
    <border>
      <left/>
      <right/>
      <top style="medium">
        <color rgb="FFB9B4AF"/>
      </top>
      <bottom style="thin">
        <color rgb="FFB9B4AF"/>
      </bottom>
      <diagonal/>
    </border>
    <border>
      <left style="thin">
        <color rgb="FFB9B4AF"/>
      </left>
      <right/>
      <top style="medium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indexed="64"/>
      </top>
      <bottom style="medium">
        <color rgb="FFB9B4AF"/>
      </bottom>
      <diagonal/>
    </border>
    <border>
      <left/>
      <right style="medium">
        <color rgb="FFB9B4AF"/>
      </right>
      <top style="thin">
        <color indexed="64"/>
      </top>
      <bottom style="medium">
        <color rgb="FFB9B4AF"/>
      </bottom>
      <diagonal/>
    </border>
  </borders>
  <cellStyleXfs count="11">
    <xf numFmtId="0" fontId="0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5" fillId="0" borderId="0"/>
    <xf numFmtId="0" fontId="7" fillId="0" borderId="0"/>
    <xf numFmtId="164" fontId="2" fillId="0" borderId="0" applyFont="0" applyFill="0" applyBorder="0" applyAlignment="0" applyProtection="0"/>
    <xf numFmtId="0" fontId="2" fillId="0" borderId="0"/>
    <xf numFmtId="0" fontId="1" fillId="0" borderId="0"/>
  </cellStyleXfs>
  <cellXfs count="1144">
    <xf numFmtId="0" fontId="0" fillId="0" borderId="0" xfId="0"/>
    <xf numFmtId="0" fontId="3" fillId="2" borderId="0" xfId="7" applyFont="1" applyFill="1" applyProtection="1">
      <protection locked="0"/>
    </xf>
    <xf numFmtId="0" fontId="7" fillId="0" borderId="0" xfId="5"/>
    <xf numFmtId="0" fontId="4" fillId="2" borderId="0" xfId="7" applyFont="1" applyFill="1" applyProtection="1">
      <protection locked="0"/>
    </xf>
    <xf numFmtId="0" fontId="8" fillId="2" borderId="0" xfId="7" applyFont="1" applyFill="1" applyProtection="1">
      <protection locked="0"/>
    </xf>
    <xf numFmtId="0" fontId="3" fillId="0" borderId="0" xfId="5" applyFont="1"/>
    <xf numFmtId="0" fontId="14" fillId="0" borderId="0" xfId="4" applyFont="1" applyAlignment="1" applyProtection="1"/>
    <xf numFmtId="0" fontId="14" fillId="2" borderId="0" xfId="4" applyFont="1" applyFill="1" applyAlignment="1">
      <protection locked="0"/>
    </xf>
    <xf numFmtId="0" fontId="7" fillId="2" borderId="0" xfId="7" applyFill="1" applyProtection="1">
      <protection locked="0"/>
    </xf>
    <xf numFmtId="0" fontId="5" fillId="2" borderId="0" xfId="4" applyFill="1" applyAlignment="1">
      <protection locked="0"/>
    </xf>
    <xf numFmtId="1" fontId="3" fillId="2" borderId="7" xfId="7" applyNumberFormat="1" applyFont="1" applyFill="1" applyBorder="1" applyAlignment="1" applyProtection="1">
      <alignment horizontal="center" vertical="center"/>
      <protection locked="0"/>
    </xf>
    <xf numFmtId="0" fontId="4" fillId="0" borderId="0" xfId="5" applyFont="1"/>
    <xf numFmtId="0" fontId="3" fillId="0" borderId="13" xfId="5" applyFont="1" applyBorder="1"/>
    <xf numFmtId="0" fontId="3" fillId="6" borderId="0" xfId="5" applyFont="1" applyFill="1"/>
    <xf numFmtId="0" fontId="3" fillId="6" borderId="0" xfId="7" applyFont="1" applyFill="1" applyAlignment="1" applyProtection="1">
      <alignment horizontal="center" vertical="center" wrapText="1"/>
      <protection locked="0"/>
    </xf>
    <xf numFmtId="0" fontId="3" fillId="6" borderId="0" xfId="7" applyFont="1" applyFill="1" applyAlignment="1" applyProtection="1">
      <alignment horizontal="center" vertical="center"/>
      <protection locked="0"/>
    </xf>
    <xf numFmtId="0" fontId="3" fillId="0" borderId="0" xfId="7" applyFont="1" applyAlignment="1" applyProtection="1">
      <alignment horizontal="center" vertical="center" wrapText="1"/>
      <protection locked="0"/>
    </xf>
    <xf numFmtId="1" fontId="3" fillId="2" borderId="0" xfId="7" applyNumberFormat="1" applyFont="1" applyFill="1" applyAlignment="1" applyProtection="1">
      <alignment horizontal="center" vertical="center"/>
      <protection locked="0"/>
    </xf>
    <xf numFmtId="0" fontId="26" fillId="0" borderId="0" xfId="5" applyFont="1"/>
    <xf numFmtId="49" fontId="3" fillId="2" borderId="0" xfId="5" applyNumberFormat="1" applyFont="1" applyFill="1"/>
    <xf numFmtId="0" fontId="3" fillId="2" borderId="0" xfId="7" applyFont="1" applyFill="1" applyAlignment="1" applyProtection="1">
      <alignment horizontal="left" vertical="center"/>
      <protection locked="0"/>
    </xf>
    <xf numFmtId="0" fontId="27" fillId="2" borderId="0" xfId="7" applyFont="1" applyFill="1" applyAlignment="1" applyProtection="1">
      <alignment horizontal="right" vertical="center"/>
      <protection locked="0"/>
    </xf>
    <xf numFmtId="0" fontId="3" fillId="2" borderId="0" xfId="7" applyFont="1" applyFill="1" applyAlignment="1" applyProtection="1">
      <alignment vertical="center"/>
      <protection locked="0"/>
    </xf>
    <xf numFmtId="0" fontId="3" fillId="2" borderId="0" xfId="7" applyFont="1" applyFill="1" applyAlignment="1" applyProtection="1">
      <alignment horizontal="right" vertical="center"/>
      <protection locked="0"/>
    </xf>
    <xf numFmtId="0" fontId="3" fillId="2" borderId="0" xfId="7" applyFont="1" applyFill="1" applyAlignment="1" applyProtection="1">
      <alignment vertical="center" wrapText="1"/>
      <protection locked="0"/>
    </xf>
    <xf numFmtId="0" fontId="3" fillId="0" borderId="14" xfId="5" applyFont="1" applyBorder="1"/>
    <xf numFmtId="0" fontId="3" fillId="0" borderId="15" xfId="5" applyFont="1" applyBorder="1"/>
    <xf numFmtId="0" fontId="16" fillId="0" borderId="8" xfId="5" applyFont="1" applyBorder="1"/>
    <xf numFmtId="0" fontId="3" fillId="0" borderId="12" xfId="5" applyFont="1" applyBorder="1"/>
    <xf numFmtId="0" fontId="16" fillId="0" borderId="9" xfId="5" applyFont="1" applyBorder="1"/>
    <xf numFmtId="0" fontId="3" fillId="0" borderId="10" xfId="5" applyFont="1" applyBorder="1"/>
    <xf numFmtId="0" fontId="3" fillId="0" borderId="10" xfId="5" applyFont="1" applyBorder="1" applyAlignment="1">
      <alignment horizontal="right"/>
    </xf>
    <xf numFmtId="1" fontId="3" fillId="0" borderId="10" xfId="5" applyNumberFormat="1" applyFont="1" applyBorder="1"/>
    <xf numFmtId="0" fontId="3" fillId="0" borderId="11" xfId="5" applyFont="1" applyBorder="1"/>
    <xf numFmtId="0" fontId="17" fillId="0" borderId="14" xfId="5" applyFont="1" applyBorder="1"/>
    <xf numFmtId="0" fontId="17" fillId="0" borderId="15" xfId="5" applyFont="1" applyBorder="1"/>
    <xf numFmtId="0" fontId="17" fillId="0" borderId="13" xfId="5" applyFont="1" applyBorder="1"/>
    <xf numFmtId="0" fontId="15" fillId="0" borderId="16" xfId="5" applyFont="1" applyBorder="1"/>
    <xf numFmtId="0" fontId="15" fillId="0" borderId="17" xfId="5" applyFont="1" applyBorder="1"/>
    <xf numFmtId="0" fontId="3" fillId="0" borderId="17" xfId="5" applyFont="1" applyBorder="1"/>
    <xf numFmtId="0" fontId="17" fillId="0" borderId="8" xfId="5" applyFont="1" applyBorder="1"/>
    <xf numFmtId="0" fontId="17" fillId="0" borderId="0" xfId="5" applyFont="1"/>
    <xf numFmtId="0" fontId="17" fillId="0" borderId="12" xfId="5" applyFont="1" applyBorder="1"/>
    <xf numFmtId="0" fontId="17" fillId="0" borderId="9" xfId="5" applyFont="1" applyBorder="1"/>
    <xf numFmtId="0" fontId="17" fillId="0" borderId="10" xfId="5" applyFont="1" applyBorder="1"/>
    <xf numFmtId="0" fontId="18" fillId="0" borderId="10" xfId="5" applyFont="1" applyBorder="1"/>
    <xf numFmtId="0" fontId="17" fillId="0" borderId="11" xfId="5" applyFont="1" applyBorder="1"/>
    <xf numFmtId="0" fontId="16" fillId="0" borderId="0" xfId="5" applyFont="1"/>
    <xf numFmtId="0" fontId="3" fillId="0" borderId="0" xfId="7" applyFont="1" applyProtection="1">
      <protection locked="0"/>
    </xf>
    <xf numFmtId="0" fontId="4" fillId="6" borderId="0" xfId="5" applyFont="1" applyFill="1"/>
    <xf numFmtId="10" fontId="3" fillId="0" borderId="0" xfId="5" applyNumberFormat="1" applyFont="1"/>
    <xf numFmtId="10" fontId="3" fillId="2" borderId="0" xfId="5" applyNumberFormat="1" applyFont="1" applyFill="1"/>
    <xf numFmtId="0" fontId="4" fillId="0" borderId="0" xfId="7" applyFont="1" applyAlignment="1" applyProtection="1">
      <alignment horizontal="center" vertical="center"/>
      <protection locked="0" hidden="1"/>
    </xf>
    <xf numFmtId="0" fontId="3" fillId="0" borderId="0" xfId="7" applyFont="1" applyAlignment="1" applyProtection="1">
      <alignment horizontal="left" vertical="center"/>
      <protection locked="0"/>
    </xf>
    <xf numFmtId="0" fontId="8" fillId="2" borderId="10" xfId="7" applyFont="1" applyFill="1" applyBorder="1" applyProtection="1">
      <protection locked="0"/>
    </xf>
    <xf numFmtId="0" fontId="8" fillId="2" borderId="9" xfId="7" applyFont="1" applyFill="1" applyBorder="1" applyProtection="1">
      <protection locked="0"/>
    </xf>
    <xf numFmtId="0" fontId="8" fillId="0" borderId="0" xfId="5" applyFont="1"/>
    <xf numFmtId="0" fontId="8" fillId="6" borderId="11" xfId="7" applyFont="1" applyFill="1" applyBorder="1" applyAlignment="1" applyProtection="1">
      <alignment horizontal="center" vertical="center" wrapText="1"/>
      <protection locked="0"/>
    </xf>
    <xf numFmtId="0" fontId="8" fillId="6" borderId="0" xfId="7" applyFont="1" applyFill="1" applyAlignment="1" applyProtection="1">
      <alignment horizontal="center" vertical="center" wrapText="1"/>
      <protection locked="0"/>
    </xf>
    <xf numFmtId="0" fontId="8" fillId="6" borderId="0" xfId="7" applyFont="1" applyFill="1" applyAlignment="1" applyProtection="1">
      <alignment horizontal="center" vertical="center"/>
      <protection locked="0"/>
    </xf>
    <xf numFmtId="0" fontId="19" fillId="2" borderId="14" xfId="7" applyFont="1" applyFill="1" applyBorder="1" applyProtection="1">
      <protection locked="0"/>
    </xf>
    <xf numFmtId="0" fontId="7" fillId="2" borderId="15" xfId="7" applyFill="1" applyBorder="1" applyProtection="1">
      <protection locked="0"/>
    </xf>
    <xf numFmtId="0" fontId="7" fillId="0" borderId="13" xfId="5" applyBorder="1"/>
    <xf numFmtId="0" fontId="19" fillId="6" borderId="14" xfId="5" applyFont="1" applyFill="1" applyBorder="1"/>
    <xf numFmtId="0" fontId="7" fillId="2" borderId="13" xfId="7" applyFill="1" applyBorder="1" applyProtection="1">
      <protection locked="0"/>
    </xf>
    <xf numFmtId="0" fontId="7" fillId="2" borderId="14" xfId="7" applyFill="1" applyBorder="1" applyProtection="1">
      <protection locked="0"/>
    </xf>
    <xf numFmtId="0" fontId="7" fillId="2" borderId="15" xfId="7" applyFill="1" applyBorder="1" applyAlignment="1" applyProtection="1">
      <alignment horizontal="right"/>
      <protection locked="0"/>
    </xf>
    <xf numFmtId="0" fontId="7" fillId="0" borderId="8" xfId="7" applyBorder="1" applyAlignment="1" applyProtection="1">
      <alignment horizontal="left"/>
      <protection locked="0"/>
    </xf>
    <xf numFmtId="0" fontId="7" fillId="0" borderId="0" xfId="7" applyAlignment="1" applyProtection="1">
      <alignment horizontal="left"/>
      <protection locked="0"/>
    </xf>
    <xf numFmtId="0" fontId="7" fillId="6" borderId="12" xfId="5" applyFill="1" applyBorder="1"/>
    <xf numFmtId="0" fontId="7" fillId="2" borderId="8" xfId="7" applyFill="1" applyBorder="1" applyProtection="1">
      <protection locked="0"/>
    </xf>
    <xf numFmtId="0" fontId="7" fillId="2" borderId="12" xfId="7" applyFill="1" applyBorder="1" applyProtection="1">
      <protection locked="0"/>
    </xf>
    <xf numFmtId="0" fontId="7" fillId="2" borderId="0" xfId="7" applyFill="1" applyAlignment="1" applyProtection="1">
      <alignment horizontal="left" indent="3"/>
      <protection locked="0"/>
    </xf>
    <xf numFmtId="14" fontId="7" fillId="2" borderId="12" xfId="7" applyNumberFormat="1" applyFill="1" applyBorder="1" applyAlignment="1" applyProtection="1">
      <alignment horizontal="left"/>
      <protection locked="0"/>
    </xf>
    <xf numFmtId="0" fontId="7" fillId="2" borderId="8" xfId="7" applyFill="1" applyBorder="1" applyAlignment="1" applyProtection="1">
      <alignment horizontal="left"/>
      <protection locked="0"/>
    </xf>
    <xf numFmtId="0" fontId="7" fillId="2" borderId="9" xfId="7" applyFill="1" applyBorder="1" applyAlignment="1" applyProtection="1">
      <alignment horizontal="left"/>
      <protection locked="0"/>
    </xf>
    <xf numFmtId="0" fontId="7" fillId="2" borderId="10" xfId="7" applyFill="1" applyBorder="1" applyProtection="1">
      <protection locked="0"/>
    </xf>
    <xf numFmtId="0" fontId="7" fillId="6" borderId="11" xfId="5" applyFill="1" applyBorder="1"/>
    <xf numFmtId="0" fontId="7" fillId="2" borderId="9" xfId="7" applyFill="1" applyBorder="1" applyProtection="1">
      <protection locked="0"/>
    </xf>
    <xf numFmtId="0" fontId="7" fillId="2" borderId="11" xfId="7" applyFill="1" applyBorder="1" applyProtection="1">
      <protection locked="0"/>
    </xf>
    <xf numFmtId="0" fontId="7" fillId="2" borderId="0" xfId="7" applyFill="1"/>
    <xf numFmtId="0" fontId="7" fillId="6" borderId="0" xfId="5" applyFill="1"/>
    <xf numFmtId="0" fontId="7" fillId="2" borderId="0" xfId="7" applyFill="1" applyAlignment="1" applyProtection="1">
      <alignment horizontal="right"/>
      <protection locked="0"/>
    </xf>
    <xf numFmtId="0" fontId="7" fillId="6" borderId="0" xfId="7" applyFill="1" applyProtection="1">
      <protection locked="0"/>
    </xf>
    <xf numFmtId="0" fontId="7" fillId="2" borderId="9" xfId="7" applyFill="1" applyBorder="1" applyAlignment="1" applyProtection="1">
      <alignment horizontal="right"/>
      <protection locked="0"/>
    </xf>
    <xf numFmtId="0" fontId="19" fillId="2" borderId="8" xfId="7" applyFont="1" applyFill="1" applyBorder="1" applyAlignment="1" applyProtection="1">
      <alignment horizontal="left"/>
      <protection locked="0"/>
    </xf>
    <xf numFmtId="0" fontId="19" fillId="2" borderId="12" xfId="7" applyFont="1" applyFill="1" applyBorder="1" applyProtection="1">
      <protection locked="0"/>
    </xf>
    <xf numFmtId="0" fontId="7" fillId="2" borderId="8" xfId="7" applyFill="1" applyBorder="1" applyAlignment="1" applyProtection="1">
      <alignment horizontal="right"/>
      <protection locked="0"/>
    </xf>
    <xf numFmtId="0" fontId="19" fillId="2" borderId="12" xfId="4" applyFont="1" applyFill="1" applyBorder="1" applyAlignment="1">
      <protection locked="0"/>
    </xf>
    <xf numFmtId="0" fontId="5" fillId="2" borderId="10" xfId="4" applyFill="1" applyBorder="1" applyAlignment="1">
      <protection locked="0"/>
    </xf>
    <xf numFmtId="0" fontId="19" fillId="2" borderId="11" xfId="4" applyFont="1" applyFill="1" applyBorder="1" applyAlignment="1">
      <protection locked="0"/>
    </xf>
    <xf numFmtId="0" fontId="19" fillId="2" borderId="0" xfId="4" applyFont="1" applyFill="1" applyAlignment="1">
      <protection locked="0"/>
    </xf>
    <xf numFmtId="0" fontId="7" fillId="2" borderId="21" xfId="7" applyFill="1" applyBorder="1" applyAlignment="1" applyProtection="1">
      <alignment horizontal="center"/>
      <protection locked="0"/>
    </xf>
    <xf numFmtId="0" fontId="7" fillId="2" borderId="22" xfId="7" applyFill="1" applyBorder="1" applyAlignment="1" applyProtection="1">
      <alignment horizontal="center"/>
      <protection locked="0"/>
    </xf>
    <xf numFmtId="0" fontId="7" fillId="2" borderId="14" xfId="7" applyFill="1" applyBorder="1" applyAlignment="1" applyProtection="1">
      <alignment horizontal="right"/>
      <protection locked="0"/>
    </xf>
    <xf numFmtId="0" fontId="7" fillId="2" borderId="12" xfId="4" applyFont="1" applyFill="1" applyBorder="1" applyAlignment="1">
      <protection locked="0"/>
    </xf>
    <xf numFmtId="0" fontId="7" fillId="6" borderId="12" xfId="7" applyFill="1" applyBorder="1" applyAlignment="1" applyProtection="1">
      <alignment vertical="center" wrapText="1"/>
      <protection locked="0"/>
    </xf>
    <xf numFmtId="0" fontId="7" fillId="6" borderId="0" xfId="7" applyFill="1" applyAlignment="1" applyProtection="1">
      <alignment vertical="center" wrapText="1"/>
      <protection locked="0"/>
    </xf>
    <xf numFmtId="0" fontId="7" fillId="6" borderId="9" xfId="7" applyFill="1" applyBorder="1" applyAlignment="1" applyProtection="1">
      <alignment horizontal="right" vertical="center" wrapText="1"/>
      <protection locked="0"/>
    </xf>
    <xf numFmtId="0" fontId="19" fillId="2" borderId="14" xfId="7" applyFont="1" applyFill="1" applyBorder="1" applyAlignment="1" applyProtection="1">
      <alignment horizontal="left"/>
      <protection locked="0"/>
    </xf>
    <xf numFmtId="0" fontId="8" fillId="2" borderId="0" xfId="7" applyFont="1" applyFill="1" applyAlignment="1" applyProtection="1">
      <alignment horizontal="right" vertical="center"/>
      <protection locked="0"/>
    </xf>
    <xf numFmtId="166" fontId="7" fillId="7" borderId="7" xfId="7" applyNumberFormat="1" applyFill="1" applyBorder="1" applyAlignment="1">
      <alignment horizontal="right" vertical="center"/>
    </xf>
    <xf numFmtId="166" fontId="7" fillId="2" borderId="7" xfId="7" applyNumberFormat="1" applyFill="1" applyBorder="1" applyAlignment="1">
      <alignment horizontal="right" vertical="center"/>
    </xf>
    <xf numFmtId="0" fontId="9" fillId="2" borderId="0" xfId="7" applyFont="1" applyFill="1" applyAlignment="1" applyProtection="1">
      <alignment horizontal="right" vertical="center"/>
      <protection locked="0"/>
    </xf>
    <xf numFmtId="0" fontId="7" fillId="0" borderId="15" xfId="5" applyBorder="1"/>
    <xf numFmtId="0" fontId="7" fillId="2" borderId="0" xfId="7" applyFill="1" applyAlignment="1" applyProtection="1">
      <alignment horizontal="center"/>
      <protection locked="0"/>
    </xf>
    <xf numFmtId="0" fontId="19" fillId="6" borderId="15" xfId="5" applyFont="1" applyFill="1" applyBorder="1"/>
    <xf numFmtId="0" fontId="19" fillId="6" borderId="13" xfId="5" applyFont="1" applyFill="1" applyBorder="1"/>
    <xf numFmtId="0" fontId="7" fillId="6" borderId="12" xfId="5" applyFill="1" applyBorder="1" applyAlignment="1">
      <alignment horizontal="left"/>
    </xf>
    <xf numFmtId="0" fontId="7" fillId="0" borderId="12" xfId="5" applyBorder="1"/>
    <xf numFmtId="0" fontId="7" fillId="0" borderId="0" xfId="0" applyFont="1" applyAlignment="1">
      <alignment horizontal="right"/>
    </xf>
    <xf numFmtId="0" fontId="0" fillId="0" borderId="3" xfId="0" applyBorder="1"/>
    <xf numFmtId="0" fontId="0" fillId="0" borderId="3" xfId="0" applyBorder="1" applyAlignment="1">
      <alignment horizontal="left" indent="1"/>
    </xf>
    <xf numFmtId="0" fontId="7" fillId="0" borderId="3" xfId="0" applyFont="1" applyBorder="1" applyAlignment="1">
      <alignment horizontal="left" indent="1"/>
    </xf>
    <xf numFmtId="0" fontId="0" fillId="0" borderId="4" xfId="0" applyBorder="1"/>
    <xf numFmtId="0" fontId="0" fillId="0" borderId="6" xfId="0" applyBorder="1"/>
    <xf numFmtId="0" fontId="0" fillId="0" borderId="19" xfId="0" applyBorder="1"/>
    <xf numFmtId="0" fontId="0" fillId="0" borderId="20" xfId="0" applyBorder="1"/>
    <xf numFmtId="0" fontId="0" fillId="0" borderId="19" xfId="0" applyBorder="1" applyAlignment="1">
      <alignment horizontal="left" indent="1"/>
    </xf>
    <xf numFmtId="0" fontId="0" fillId="0" borderId="0" xfId="0" applyAlignment="1">
      <alignment horizontal="center"/>
    </xf>
    <xf numFmtId="0" fontId="0" fillId="0" borderId="0" xfId="0" applyAlignment="1">
      <alignment horizontal="left" indent="1"/>
    </xf>
    <xf numFmtId="0" fontId="7" fillId="0" borderId="6" xfId="0" applyFont="1" applyBorder="1"/>
    <xf numFmtId="0" fontId="7" fillId="0" borderId="6" xfId="0" quotePrefix="1" applyFont="1" applyBorder="1" applyAlignment="1">
      <alignment horizontal="right"/>
    </xf>
    <xf numFmtId="0" fontId="0" fillId="0" borderId="18" xfId="0" applyBorder="1"/>
    <xf numFmtId="0" fontId="0" fillId="0" borderId="23" xfId="0" applyBorder="1"/>
    <xf numFmtId="0" fontId="0" fillId="0" borderId="2" xfId="0" applyBorder="1" applyAlignment="1">
      <alignment horizontal="left" indent="1"/>
    </xf>
    <xf numFmtId="0" fontId="0" fillId="0" borderId="5" xfId="0" applyBorder="1" applyAlignment="1">
      <alignment horizontal="left" indent="1"/>
    </xf>
    <xf numFmtId="0" fontId="0" fillId="0" borderId="24" xfId="0" applyBorder="1"/>
    <xf numFmtId="0" fontId="0" fillId="0" borderId="25" xfId="0" applyBorder="1"/>
    <xf numFmtId="0" fontId="7" fillId="0" borderId="0" xfId="0" applyFont="1"/>
    <xf numFmtId="0" fontId="7" fillId="0" borderId="24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2" xfId="0" applyBorder="1"/>
    <xf numFmtId="0" fontId="0" fillId="0" borderId="5" xfId="0" applyBorder="1"/>
    <xf numFmtId="0" fontId="21" fillId="0" borderId="0" xfId="0" applyFont="1" applyAlignment="1">
      <alignment horizontal="left" indent="1"/>
    </xf>
    <xf numFmtId="0" fontId="0" fillId="0" borderId="4" xfId="0" applyBorder="1" applyAlignment="1">
      <alignment horizontal="left" indent="1"/>
    </xf>
    <xf numFmtId="0" fontId="0" fillId="0" borderId="20" xfId="0" applyBorder="1" applyAlignment="1">
      <alignment horizontal="left" indent="1"/>
    </xf>
    <xf numFmtId="0" fontId="7" fillId="0" borderId="6" xfId="0" applyFont="1" applyBorder="1" applyAlignment="1">
      <alignment horizontal="left" indent="1"/>
    </xf>
    <xf numFmtId="0" fontId="7" fillId="0" borderId="19" xfId="0" applyFont="1" applyBorder="1"/>
    <xf numFmtId="0" fontId="0" fillId="0" borderId="23" xfId="0" applyBorder="1" applyAlignment="1">
      <alignment horizontal="center" vertical="center"/>
    </xf>
    <xf numFmtId="0" fontId="7" fillId="0" borderId="18" xfId="0" applyFont="1" applyBorder="1"/>
    <xf numFmtId="0" fontId="0" fillId="8" borderId="0" xfId="0" applyFill="1"/>
    <xf numFmtId="0" fontId="7" fillId="8" borderId="0" xfId="0" applyFont="1" applyFill="1"/>
    <xf numFmtId="16" fontId="7" fillId="0" borderId="0" xfId="0" quotePrefix="1" applyNumberFormat="1" applyFont="1" applyAlignment="1">
      <alignment horizontal="right"/>
    </xf>
    <xf numFmtId="0" fontId="7" fillId="0" borderId="0" xfId="0" quotePrefix="1" applyFont="1" applyAlignment="1">
      <alignment horizontal="right"/>
    </xf>
    <xf numFmtId="0" fontId="23" fillId="0" borderId="0" xfId="0" applyFont="1"/>
    <xf numFmtId="0" fontId="7" fillId="0" borderId="0" xfId="0" applyFont="1" applyAlignment="1">
      <alignment horizontal="center"/>
    </xf>
    <xf numFmtId="0" fontId="0" fillId="8" borderId="5" xfId="0" applyFill="1" applyBorder="1"/>
    <xf numFmtId="0" fontId="0" fillId="8" borderId="6" xfId="0" applyFill="1" applyBorder="1"/>
    <xf numFmtId="0" fontId="24" fillId="0" borderId="18" xfId="0" applyFont="1" applyBorder="1" applyAlignment="1">
      <alignment horizontal="left" indent="1"/>
    </xf>
    <xf numFmtId="0" fontId="7" fillId="8" borderId="18" xfId="0" applyFont="1" applyFill="1" applyBorder="1" applyAlignment="1">
      <alignment horizontal="left" indent="1"/>
    </xf>
    <xf numFmtId="1" fontId="0" fillId="8" borderId="19" xfId="0" applyNumberFormat="1" applyFill="1" applyBorder="1"/>
    <xf numFmtId="0" fontId="8" fillId="2" borderId="7" xfId="7" applyFont="1" applyFill="1" applyBorder="1" applyProtection="1">
      <protection locked="0"/>
    </xf>
    <xf numFmtId="0" fontId="9" fillId="0" borderId="7" xfId="7" applyFont="1" applyBorder="1" applyAlignment="1" applyProtection="1">
      <alignment horizontal="center" vertical="center"/>
      <protection locked="0"/>
    </xf>
    <xf numFmtId="0" fontId="9" fillId="0" borderId="7" xfId="7" applyFont="1" applyBorder="1" applyAlignment="1" applyProtection="1">
      <alignment horizontal="left" vertical="center"/>
      <protection locked="0"/>
    </xf>
    <xf numFmtId="166" fontId="8" fillId="9" borderId="7" xfId="7" applyNumberFormat="1" applyFont="1" applyFill="1" applyBorder="1" applyAlignment="1" applyProtection="1">
      <alignment horizontal="right" vertical="center"/>
      <protection locked="0"/>
    </xf>
    <xf numFmtId="1" fontId="8" fillId="2" borderId="7" xfId="7" applyNumberFormat="1" applyFont="1" applyFill="1" applyBorder="1" applyAlignment="1" applyProtection="1">
      <alignment horizontal="center" vertical="center"/>
      <protection locked="0"/>
    </xf>
    <xf numFmtId="166" fontId="8" fillId="2" borderId="7" xfId="3" applyNumberFormat="1" applyFont="1" applyFill="1" applyBorder="1" applyAlignment="1" applyProtection="1">
      <alignment horizontal="right" vertical="center"/>
      <protection locked="0"/>
    </xf>
    <xf numFmtId="0" fontId="4" fillId="9" borderId="7" xfId="7" applyFont="1" applyFill="1" applyBorder="1" applyAlignment="1" applyProtection="1">
      <alignment horizontal="center" vertical="center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3" fillId="2" borderId="7" xfId="7" applyFont="1" applyFill="1" applyBorder="1" applyProtection="1">
      <protection locked="0"/>
    </xf>
    <xf numFmtId="1" fontId="7" fillId="2" borderId="13" xfId="7" quotePrefix="1" applyNumberFormat="1" applyFill="1" applyBorder="1" applyAlignment="1" applyProtection="1">
      <alignment horizontal="left"/>
      <protection locked="0"/>
    </xf>
    <xf numFmtId="0" fontId="31" fillId="0" borderId="0" xfId="0" applyFont="1"/>
    <xf numFmtId="0" fontId="32" fillId="0" borderId="0" xfId="0" applyFont="1"/>
    <xf numFmtId="0" fontId="34" fillId="0" borderId="0" xfId="0" applyFont="1"/>
    <xf numFmtId="0" fontId="52" fillId="0" borderId="0" xfId="0" applyFont="1"/>
    <xf numFmtId="0" fontId="43" fillId="0" borderId="0" xfId="0" applyFont="1"/>
    <xf numFmtId="0" fontId="38" fillId="0" borderId="0" xfId="0" applyFont="1"/>
    <xf numFmtId="0" fontId="56" fillId="0" borderId="0" xfId="0" applyFont="1" applyAlignment="1">
      <alignment horizontal="center" vertical="center"/>
    </xf>
    <xf numFmtId="0" fontId="57" fillId="0" borderId="0" xfId="0" applyFont="1"/>
    <xf numFmtId="0" fontId="39" fillId="0" borderId="0" xfId="0" applyFont="1"/>
    <xf numFmtId="0" fontId="55" fillId="0" borderId="0" xfId="0" applyFont="1"/>
    <xf numFmtId="0" fontId="56" fillId="0" borderId="0" xfId="0" applyFont="1"/>
    <xf numFmtId="0" fontId="49" fillId="0" borderId="0" xfId="0" applyFont="1"/>
    <xf numFmtId="0" fontId="49" fillId="0" borderId="0" xfId="0" applyFont="1" applyAlignment="1">
      <alignment vertical="center"/>
    </xf>
    <xf numFmtId="0" fontId="60" fillId="0" borderId="0" xfId="0" applyFont="1"/>
    <xf numFmtId="0" fontId="46" fillId="0" borderId="0" xfId="0" applyFont="1"/>
    <xf numFmtId="0" fontId="64" fillId="10" borderId="7" xfId="0" applyFont="1" applyFill="1" applyBorder="1"/>
    <xf numFmtId="166" fontId="64" fillId="10" borderId="7" xfId="0" applyNumberFormat="1" applyFont="1" applyFill="1" applyBorder="1"/>
    <xf numFmtId="2" fontId="64" fillId="10" borderId="7" xfId="0" applyNumberFormat="1" applyFont="1" applyFill="1" applyBorder="1"/>
    <xf numFmtId="0" fontId="64" fillId="11" borderId="0" xfId="0" applyFont="1" applyFill="1"/>
    <xf numFmtId="166" fontId="32" fillId="0" borderId="0" xfId="0" applyNumberFormat="1" applyFont="1"/>
    <xf numFmtId="167" fontId="32" fillId="0" borderId="0" xfId="0" applyNumberFormat="1" applyFont="1"/>
    <xf numFmtId="2" fontId="32" fillId="0" borderId="0" xfId="0" applyNumberFormat="1" applyFont="1"/>
    <xf numFmtId="0" fontId="65" fillId="0" borderId="7" xfId="0" applyFont="1" applyBorder="1"/>
    <xf numFmtId="166" fontId="53" fillId="0" borderId="7" xfId="0" applyNumberFormat="1" applyFont="1" applyBorder="1"/>
    <xf numFmtId="167" fontId="53" fillId="0" borderId="7" xfId="0" applyNumberFormat="1" applyFont="1" applyBorder="1"/>
    <xf numFmtId="0" fontId="53" fillId="0" borderId="7" xfId="0" applyFont="1" applyBorder="1"/>
    <xf numFmtId="166" fontId="42" fillId="0" borderId="7" xfId="0" applyNumberFormat="1" applyFont="1" applyBorder="1"/>
    <xf numFmtId="0" fontId="44" fillId="8" borderId="7" xfId="0" applyFont="1" applyFill="1" applyBorder="1" applyAlignment="1">
      <alignment horizontal="center"/>
    </xf>
    <xf numFmtId="0" fontId="32" fillId="8" borderId="7" xfId="0" applyFont="1" applyFill="1" applyBorder="1"/>
    <xf numFmtId="0" fontId="44" fillId="0" borderId="7" xfId="0" applyFont="1" applyBorder="1"/>
    <xf numFmtId="2" fontId="32" fillId="0" borderId="7" xfId="0" applyNumberFormat="1" applyFont="1" applyBorder="1"/>
    <xf numFmtId="0" fontId="32" fillId="0" borderId="7" xfId="0" applyFont="1" applyBorder="1"/>
    <xf numFmtId="166" fontId="44" fillId="0" borderId="7" xfId="0" applyNumberFormat="1" applyFont="1" applyBorder="1"/>
    <xf numFmtId="167" fontId="44" fillId="0" borderId="7" xfId="0" applyNumberFormat="1" applyFont="1" applyBorder="1"/>
    <xf numFmtId="2" fontId="42" fillId="0" borderId="7" xfId="0" applyNumberFormat="1" applyFont="1" applyBorder="1"/>
    <xf numFmtId="0" fontId="42" fillId="0" borderId="0" xfId="0" applyFont="1"/>
    <xf numFmtId="166" fontId="32" fillId="0" borderId="7" xfId="0" applyNumberFormat="1" applyFont="1" applyBorder="1"/>
    <xf numFmtId="167" fontId="32" fillId="0" borderId="7" xfId="0" applyNumberFormat="1" applyFont="1" applyBorder="1"/>
    <xf numFmtId="0" fontId="40" fillId="5" borderId="7" xfId="0" applyFont="1" applyFill="1" applyBorder="1"/>
    <xf numFmtId="166" fontId="40" fillId="5" borderId="7" xfId="0" applyNumberFormat="1" applyFont="1" applyFill="1" applyBorder="1"/>
    <xf numFmtId="167" fontId="40" fillId="5" borderId="7" xfId="0" applyNumberFormat="1" applyFont="1" applyFill="1" applyBorder="1"/>
    <xf numFmtId="2" fontId="40" fillId="5" borderId="7" xfId="0" applyNumberFormat="1" applyFont="1" applyFill="1" applyBorder="1"/>
    <xf numFmtId="0" fontId="40" fillId="0" borderId="0" xfId="0" applyFont="1"/>
    <xf numFmtId="1" fontId="32" fillId="0" borderId="7" xfId="0" applyNumberFormat="1" applyFont="1" applyBorder="1"/>
    <xf numFmtId="3" fontId="32" fillId="0" borderId="7" xfId="0" applyNumberFormat="1" applyFont="1" applyBorder="1"/>
    <xf numFmtId="0" fontId="32" fillId="12" borderId="7" xfId="0" applyFont="1" applyFill="1" applyBorder="1" applyAlignment="1">
      <alignment horizontal="center"/>
    </xf>
    <xf numFmtId="0" fontId="39" fillId="12" borderId="7" xfId="0" applyFont="1" applyFill="1" applyBorder="1"/>
    <xf numFmtId="1" fontId="32" fillId="12" borderId="7" xfId="0" applyNumberFormat="1" applyFont="1" applyFill="1" applyBorder="1"/>
    <xf numFmtId="3" fontId="32" fillId="12" borderId="7" xfId="0" applyNumberFormat="1" applyFont="1" applyFill="1" applyBorder="1"/>
    <xf numFmtId="0" fontId="39" fillId="13" borderId="7" xfId="0" applyFont="1" applyFill="1" applyBorder="1"/>
    <xf numFmtId="1" fontId="32" fillId="13" borderId="7" xfId="0" applyNumberFormat="1" applyFont="1" applyFill="1" applyBorder="1"/>
    <xf numFmtId="3" fontId="32" fillId="13" borderId="7" xfId="0" applyNumberFormat="1" applyFont="1" applyFill="1" applyBorder="1"/>
    <xf numFmtId="0" fontId="32" fillId="13" borderId="7" xfId="0" applyFont="1" applyFill="1" applyBorder="1"/>
    <xf numFmtId="0" fontId="67" fillId="0" borderId="0" xfId="0" applyFont="1"/>
    <xf numFmtId="0" fontId="32" fillId="21" borderId="0" xfId="0" applyFont="1" applyFill="1"/>
    <xf numFmtId="0" fontId="39" fillId="21" borderId="0" xfId="0" applyFont="1" applyFill="1"/>
    <xf numFmtId="0" fontId="55" fillId="21" borderId="0" xfId="0" applyFont="1" applyFill="1"/>
    <xf numFmtId="0" fontId="33" fillId="21" borderId="0" xfId="4" applyFont="1" applyFill="1" applyAlignment="1" applyProtection="1">
      <alignment horizontal="center"/>
    </xf>
    <xf numFmtId="0" fontId="36" fillId="21" borderId="0" xfId="0" applyFont="1" applyFill="1" applyAlignment="1">
      <alignment horizontal="center"/>
    </xf>
    <xf numFmtId="0" fontId="56" fillId="21" borderId="0" xfId="0" applyFont="1" applyFill="1"/>
    <xf numFmtId="0" fontId="33" fillId="21" borderId="0" xfId="0" applyFont="1" applyFill="1" applyAlignment="1">
      <alignment horizontal="center"/>
    </xf>
    <xf numFmtId="0" fontId="43" fillId="21" borderId="0" xfId="0" applyFont="1" applyFill="1"/>
    <xf numFmtId="0" fontId="42" fillId="21" borderId="0" xfId="0" applyFont="1" applyFill="1"/>
    <xf numFmtId="0" fontId="59" fillId="21" borderId="0" xfId="0" applyFont="1" applyFill="1" applyAlignment="1">
      <alignment horizontal="center" vertical="center" textRotation="90"/>
    </xf>
    <xf numFmtId="0" fontId="31" fillId="21" borderId="0" xfId="0" applyFont="1" applyFill="1" applyAlignment="1">
      <alignment horizontal="center" vertical="center" textRotation="90"/>
    </xf>
    <xf numFmtId="0" fontId="41" fillId="21" borderId="0" xfId="0" applyFont="1" applyFill="1" applyAlignment="1">
      <alignment horizontal="center" vertical="center" textRotation="90"/>
    </xf>
    <xf numFmtId="0" fontId="32" fillId="21" borderId="0" xfId="0" applyFont="1" applyFill="1" applyAlignment="1">
      <alignment horizontal="center"/>
    </xf>
    <xf numFmtId="0" fontId="63" fillId="21" borderId="0" xfId="4" applyFont="1" applyFill="1" applyAlignment="1" applyProtection="1">
      <alignment horizontal="center"/>
    </xf>
    <xf numFmtId="0" fontId="63" fillId="21" borderId="0" xfId="4" applyFont="1" applyFill="1" applyAlignment="1" applyProtection="1">
      <alignment horizontal="center" vertical="center"/>
    </xf>
    <xf numFmtId="0" fontId="32" fillId="6" borderId="0" xfId="0" applyFont="1" applyFill="1"/>
    <xf numFmtId="0" fontId="42" fillId="6" borderId="0" xfId="0" applyFont="1" applyFill="1"/>
    <xf numFmtId="0" fontId="50" fillId="6" borderId="0" xfId="0" applyFont="1" applyFill="1"/>
    <xf numFmtId="0" fontId="51" fillId="21" borderId="0" xfId="0" applyFont="1" applyFill="1"/>
    <xf numFmtId="0" fontId="53" fillId="21" borderId="0" xfId="0" applyFont="1" applyFill="1" applyAlignment="1">
      <alignment horizontal="left"/>
    </xf>
    <xf numFmtId="0" fontId="63" fillId="21" borderId="0" xfId="4" applyFont="1" applyFill="1" applyAlignment="1" applyProtection="1">
      <alignment horizontal="center" wrapText="1"/>
    </xf>
    <xf numFmtId="0" fontId="77" fillId="0" borderId="0" xfId="0" applyFont="1"/>
    <xf numFmtId="0" fontId="73" fillId="21" borderId="0" xfId="0" applyFont="1" applyFill="1" applyAlignment="1">
      <alignment horizontal="center" vertical="center" textRotation="90"/>
    </xf>
    <xf numFmtId="0" fontId="76" fillId="21" borderId="0" xfId="4" applyFont="1" applyFill="1" applyAlignment="1" applyProtection="1">
      <alignment horizontal="center"/>
    </xf>
    <xf numFmtId="0" fontId="74" fillId="0" borderId="0" xfId="0" applyFont="1"/>
    <xf numFmtId="0" fontId="78" fillId="0" borderId="0" xfId="0" applyFont="1"/>
    <xf numFmtId="0" fontId="59" fillId="21" borderId="0" xfId="0" applyFont="1" applyFill="1" applyAlignment="1">
      <alignment horizontal="center" textRotation="90"/>
    </xf>
    <xf numFmtId="0" fontId="57" fillId="21" borderId="0" xfId="0" applyFont="1" applyFill="1"/>
    <xf numFmtId="0" fontId="56" fillId="21" borderId="0" xfId="0" applyFont="1" applyFill="1" applyAlignment="1">
      <alignment horizontal="center"/>
    </xf>
    <xf numFmtId="0" fontId="62" fillId="21" borderId="0" xfId="0" applyFont="1" applyFill="1" applyAlignment="1">
      <alignment horizontal="center" vertical="center" textRotation="90"/>
    </xf>
    <xf numFmtId="0" fontId="59" fillId="21" borderId="37" xfId="0" applyFont="1" applyFill="1" applyBorder="1" applyAlignment="1">
      <alignment horizontal="center" vertical="center" textRotation="90"/>
    </xf>
    <xf numFmtId="0" fontId="2" fillId="21" borderId="0" xfId="0" applyFont="1" applyFill="1"/>
    <xf numFmtId="0" fontId="4" fillId="21" borderId="0" xfId="0" applyFont="1" applyFill="1"/>
    <xf numFmtId="0" fontId="3" fillId="21" borderId="0" xfId="0" applyFont="1" applyFill="1" applyAlignment="1">
      <alignment horizontal="center"/>
    </xf>
    <xf numFmtId="0" fontId="84" fillId="21" borderId="0" xfId="0" applyFont="1" applyFill="1"/>
    <xf numFmtId="0" fontId="8" fillId="21" borderId="0" xfId="0" applyFont="1" applyFill="1"/>
    <xf numFmtId="168" fontId="2" fillId="21" borderId="0" xfId="2" applyNumberFormat="1" applyFill="1" applyAlignment="1">
      <alignment horizontal="center"/>
    </xf>
    <xf numFmtId="0" fontId="82" fillId="21" borderId="0" xfId="0" applyFont="1" applyFill="1" applyAlignment="1" applyProtection="1">
      <alignment horizontal="center"/>
      <protection locked="0"/>
    </xf>
    <xf numFmtId="165" fontId="8" fillId="21" borderId="0" xfId="1" applyFont="1" applyFill="1" applyAlignment="1">
      <alignment horizontal="left"/>
    </xf>
    <xf numFmtId="164" fontId="8" fillId="21" borderId="0" xfId="2" applyFont="1" applyFill="1" applyAlignment="1">
      <alignment horizontal="left"/>
    </xf>
    <xf numFmtId="164" fontId="2" fillId="21" borderId="0" xfId="2" applyFill="1" applyAlignment="1">
      <alignment horizontal="right"/>
    </xf>
    <xf numFmtId="0" fontId="8" fillId="21" borderId="0" xfId="0" applyFont="1" applyFill="1" applyAlignment="1">
      <alignment horizontal="left"/>
    </xf>
    <xf numFmtId="0" fontId="86" fillId="21" borderId="0" xfId="0" applyFont="1" applyFill="1" applyAlignment="1">
      <alignment horizontal="center"/>
    </xf>
    <xf numFmtId="0" fontId="2" fillId="21" borderId="1" xfId="0" applyFont="1" applyFill="1" applyBorder="1"/>
    <xf numFmtId="0" fontId="8" fillId="21" borderId="0" xfId="2" applyNumberFormat="1" applyFont="1" applyFill="1" applyAlignment="1">
      <alignment horizontal="center"/>
    </xf>
    <xf numFmtId="0" fontId="8" fillId="21" borderId="0" xfId="2" applyNumberFormat="1" applyFont="1" applyFill="1" applyAlignment="1">
      <alignment horizontal="left"/>
    </xf>
    <xf numFmtId="0" fontId="87" fillId="21" borderId="0" xfId="0" applyFont="1" applyFill="1" applyAlignment="1">
      <alignment horizontal="center"/>
    </xf>
    <xf numFmtId="0" fontId="86" fillId="21" borderId="0" xfId="0" applyFont="1" applyFill="1"/>
    <xf numFmtId="164" fontId="8" fillId="21" borderId="0" xfId="2" applyFont="1" applyFill="1" applyAlignment="1">
      <alignment horizontal="right"/>
    </xf>
    <xf numFmtId="168" fontId="8" fillId="21" borderId="0" xfId="1" applyNumberFormat="1" applyFont="1" applyFill="1" applyAlignment="1">
      <alignment horizontal="left"/>
    </xf>
    <xf numFmtId="0" fontId="76" fillId="21" borderId="0" xfId="0" applyFont="1" applyFill="1" applyAlignment="1">
      <alignment horizontal="center"/>
    </xf>
    <xf numFmtId="164" fontId="3" fillId="21" borderId="1" xfId="2" applyFont="1" applyFill="1" applyBorder="1" applyAlignment="1">
      <alignment horizontal="center"/>
    </xf>
    <xf numFmtId="0" fontId="8" fillId="21" borderId="0" xfId="2" applyNumberFormat="1" applyFont="1" applyFill="1" applyAlignment="1">
      <alignment horizontal="right"/>
    </xf>
    <xf numFmtId="0" fontId="84" fillId="0" borderId="36" xfId="0" applyFont="1" applyBorder="1" applyAlignment="1">
      <alignment horizontal="center"/>
    </xf>
    <xf numFmtId="0" fontId="84" fillId="0" borderId="0" xfId="0" applyFont="1" applyAlignment="1">
      <alignment horizontal="center"/>
    </xf>
    <xf numFmtId="0" fontId="84" fillId="0" borderId="37" xfId="0" applyFont="1" applyBorder="1" applyAlignment="1">
      <alignment horizontal="center"/>
    </xf>
    <xf numFmtId="0" fontId="84" fillId="21" borderId="0" xfId="2" applyNumberFormat="1" applyFont="1" applyFill="1" applyAlignment="1">
      <alignment horizontal="center"/>
    </xf>
    <xf numFmtId="0" fontId="84" fillId="21" borderId="0" xfId="2" applyNumberFormat="1" applyFont="1" applyFill="1" applyAlignment="1">
      <alignment horizontal="right"/>
    </xf>
    <xf numFmtId="0" fontId="84" fillId="21" borderId="0" xfId="2" applyNumberFormat="1" applyFont="1" applyFill="1" applyAlignment="1">
      <alignment horizontal="left"/>
    </xf>
    <xf numFmtId="0" fontId="84" fillId="21" borderId="0" xfId="0" applyFont="1" applyFill="1" applyAlignment="1">
      <alignment horizontal="center"/>
    </xf>
    <xf numFmtId="168" fontId="84" fillId="21" borderId="0" xfId="1" applyNumberFormat="1" applyFont="1" applyFill="1" applyAlignment="1">
      <alignment horizontal="left"/>
    </xf>
    <xf numFmtId="164" fontId="84" fillId="21" borderId="0" xfId="2" applyFont="1" applyFill="1" applyAlignment="1">
      <alignment horizontal="left"/>
    </xf>
    <xf numFmtId="164" fontId="84" fillId="21" borderId="0" xfId="2" applyFont="1" applyFill="1" applyAlignment="1">
      <alignment horizontal="right"/>
    </xf>
    <xf numFmtId="0" fontId="84" fillId="21" borderId="0" xfId="0" applyFont="1" applyFill="1" applyAlignment="1">
      <alignment horizontal="left"/>
    </xf>
    <xf numFmtId="168" fontId="85" fillId="21" borderId="0" xfId="1" applyNumberFormat="1" applyFont="1" applyFill="1" applyAlignment="1">
      <alignment horizontal="left"/>
    </xf>
    <xf numFmtId="164" fontId="85" fillId="21" borderId="0" xfId="2" applyFont="1" applyFill="1" applyAlignment="1">
      <alignment horizontal="right"/>
    </xf>
    <xf numFmtId="0" fontId="85" fillId="21" borderId="0" xfId="0" applyFont="1" applyFill="1" applyAlignment="1">
      <alignment horizontal="left"/>
    </xf>
    <xf numFmtId="164" fontId="85" fillId="21" borderId="0" xfId="2" applyFont="1" applyFill="1" applyAlignment="1">
      <alignment horizontal="left"/>
    </xf>
    <xf numFmtId="164" fontId="84" fillId="21" borderId="0" xfId="2" applyFont="1" applyFill="1" applyAlignment="1">
      <alignment horizontal="center"/>
    </xf>
    <xf numFmtId="0" fontId="89" fillId="21" borderId="0" xfId="0" applyFont="1" applyFill="1" applyAlignment="1">
      <alignment horizontal="center"/>
    </xf>
    <xf numFmtId="0" fontId="83" fillId="21" borderId="0" xfId="0" applyFont="1" applyFill="1"/>
    <xf numFmtId="0" fontId="90" fillId="21" borderId="0" xfId="0" applyFont="1" applyFill="1" applyAlignment="1">
      <alignment horizontal="center"/>
    </xf>
    <xf numFmtId="0" fontId="84" fillId="0" borderId="33" xfId="0" applyFont="1" applyBorder="1" applyAlignment="1">
      <alignment horizontal="center"/>
    </xf>
    <xf numFmtId="0" fontId="84" fillId="0" borderId="34" xfId="0" applyFont="1" applyBorder="1" applyAlignment="1">
      <alignment horizontal="center"/>
    </xf>
    <xf numFmtId="0" fontId="84" fillId="0" borderId="35" xfId="0" applyFont="1" applyBorder="1" applyAlignment="1">
      <alignment horizontal="center"/>
    </xf>
    <xf numFmtId="0" fontId="84" fillId="21" borderId="36" xfId="0" applyFont="1" applyFill="1" applyBorder="1"/>
    <xf numFmtId="0" fontId="84" fillId="0" borderId="31" xfId="0" applyFont="1" applyBorder="1" applyAlignment="1">
      <alignment horizontal="center"/>
    </xf>
    <xf numFmtId="3" fontId="84" fillId="21" borderId="0" xfId="2" applyNumberFormat="1" applyFont="1" applyFill="1" applyAlignment="1">
      <alignment horizontal="left"/>
    </xf>
    <xf numFmtId="164" fontId="84" fillId="9" borderId="0" xfId="2" applyFont="1" applyFill="1" applyAlignment="1">
      <alignment horizontal="center"/>
    </xf>
    <xf numFmtId="0" fontId="86" fillId="9" borderId="0" xfId="0" applyFont="1" applyFill="1" applyAlignment="1" applyProtection="1">
      <alignment horizontal="center"/>
      <protection locked="0"/>
    </xf>
    <xf numFmtId="0" fontId="84" fillId="9" borderId="0" xfId="0" applyFont="1" applyFill="1"/>
    <xf numFmtId="168" fontId="84" fillId="21" borderId="0" xfId="2" applyNumberFormat="1" applyFont="1" applyFill="1" applyAlignment="1">
      <alignment horizontal="center"/>
    </xf>
    <xf numFmtId="0" fontId="86" fillId="21" borderId="0" xfId="0" applyFont="1" applyFill="1" applyAlignment="1" applyProtection="1">
      <alignment horizontal="center"/>
      <protection locked="0"/>
    </xf>
    <xf numFmtId="0" fontId="84" fillId="21" borderId="92" xfId="0" applyFont="1" applyFill="1" applyBorder="1"/>
    <xf numFmtId="0" fontId="86" fillId="21" borderId="0" xfId="0" applyFont="1" applyFill="1" applyAlignment="1">
      <alignment vertical="center"/>
    </xf>
    <xf numFmtId="0" fontId="84" fillId="21" borderId="39" xfId="0" applyFont="1" applyFill="1" applyBorder="1"/>
    <xf numFmtId="164" fontId="84" fillId="21" borderId="39" xfId="2" applyFont="1" applyFill="1" applyBorder="1" applyAlignment="1">
      <alignment horizontal="center"/>
    </xf>
    <xf numFmtId="0" fontId="86" fillId="21" borderId="39" xfId="0" applyFont="1" applyFill="1" applyBorder="1" applyAlignment="1" applyProtection="1">
      <alignment horizontal="center"/>
      <protection locked="0"/>
    </xf>
    <xf numFmtId="0" fontId="84" fillId="21" borderId="37" xfId="0" applyFont="1" applyFill="1" applyBorder="1"/>
    <xf numFmtId="0" fontId="84" fillId="0" borderId="33" xfId="0" applyFont="1" applyBorder="1"/>
    <xf numFmtId="0" fontId="84" fillId="0" borderId="34" xfId="0" applyFont="1" applyBorder="1"/>
    <xf numFmtId="0" fontId="84" fillId="0" borderId="35" xfId="0" applyFont="1" applyBorder="1"/>
    <xf numFmtId="0" fontId="84" fillId="0" borderId="36" xfId="0" applyFont="1" applyBorder="1"/>
    <xf numFmtId="0" fontId="84" fillId="0" borderId="0" xfId="0" applyFont="1"/>
    <xf numFmtId="0" fontId="84" fillId="0" borderId="37" xfId="0" applyFont="1" applyBorder="1"/>
    <xf numFmtId="1" fontId="89" fillId="21" borderId="0" xfId="0" applyNumberFormat="1" applyFont="1" applyFill="1" applyAlignment="1">
      <alignment horizontal="center"/>
    </xf>
    <xf numFmtId="0" fontId="84" fillId="0" borderId="38" xfId="0" applyFont="1" applyBorder="1"/>
    <xf numFmtId="0" fontId="84" fillId="0" borderId="39" xfId="0" applyFont="1" applyBorder="1"/>
    <xf numFmtId="0" fontId="84" fillId="0" borderId="40" xfId="0" applyFont="1" applyBorder="1"/>
    <xf numFmtId="0" fontId="44" fillId="22" borderId="7" xfId="0" applyFont="1" applyFill="1" applyBorder="1" applyAlignment="1">
      <alignment horizontal="center"/>
    </xf>
    <xf numFmtId="0" fontId="32" fillId="22" borderId="7" xfId="0" applyFont="1" applyFill="1" applyBorder="1"/>
    <xf numFmtId="0" fontId="44" fillId="22" borderId="7" xfId="0" applyFont="1" applyFill="1" applyBorder="1"/>
    <xf numFmtId="166" fontId="53" fillId="22" borderId="7" xfId="0" applyNumberFormat="1" applyFont="1" applyFill="1" applyBorder="1"/>
    <xf numFmtId="167" fontId="53" fillId="22" borderId="7" xfId="0" applyNumberFormat="1" applyFont="1" applyFill="1" applyBorder="1"/>
    <xf numFmtId="0" fontId="53" fillId="22" borderId="7" xfId="0" applyFont="1" applyFill="1" applyBorder="1"/>
    <xf numFmtId="2" fontId="32" fillId="22" borderId="7" xfId="0" applyNumberFormat="1" applyFont="1" applyFill="1" applyBorder="1"/>
    <xf numFmtId="0" fontId="32" fillId="22" borderId="0" xfId="0" applyFont="1" applyFill="1"/>
    <xf numFmtId="0" fontId="44" fillId="22" borderId="0" xfId="0" applyFont="1" applyFill="1" applyAlignment="1">
      <alignment horizontal="center" vertical="center" wrapText="1"/>
    </xf>
    <xf numFmtId="0" fontId="53" fillId="22" borderId="0" xfId="0" applyFont="1" applyFill="1" applyAlignment="1">
      <alignment horizontal="center" vertical="center" wrapText="1"/>
    </xf>
    <xf numFmtId="167" fontId="53" fillId="22" borderId="0" xfId="0" applyNumberFormat="1" applyFont="1" applyFill="1" applyAlignment="1">
      <alignment horizontal="center" vertical="center" wrapText="1"/>
    </xf>
    <xf numFmtId="166" fontId="53" fillId="22" borderId="0" xfId="0" applyNumberFormat="1" applyFont="1" applyFill="1" applyAlignment="1">
      <alignment horizontal="center" vertical="center" wrapText="1"/>
    </xf>
    <xf numFmtId="3" fontId="53" fillId="22" borderId="7" xfId="0" applyNumberFormat="1" applyFont="1" applyFill="1" applyBorder="1"/>
    <xf numFmtId="167" fontId="66" fillId="22" borderId="7" xfId="0" applyNumberFormat="1" applyFont="1" applyFill="1" applyBorder="1"/>
    <xf numFmtId="166" fontId="42" fillId="22" borderId="23" xfId="0" applyNumberFormat="1" applyFont="1" applyFill="1" applyBorder="1"/>
    <xf numFmtId="0" fontId="35" fillId="21" borderId="0" xfId="0" applyFont="1" applyFill="1" applyAlignment="1">
      <alignment horizontal="center" vertical="center"/>
    </xf>
    <xf numFmtId="0" fontId="37" fillId="21" borderId="0" xfId="0" applyFont="1" applyFill="1" applyAlignment="1">
      <alignment horizontal="center" vertical="center"/>
    </xf>
    <xf numFmtId="0" fontId="29" fillId="23" borderId="0" xfId="0" applyFont="1" applyFill="1" applyAlignment="1">
      <alignment horizontal="left"/>
    </xf>
    <xf numFmtId="0" fontId="102" fillId="6" borderId="0" xfId="0" applyFont="1" applyFill="1"/>
    <xf numFmtId="0" fontId="102" fillId="0" borderId="0" xfId="0" applyFont="1"/>
    <xf numFmtId="0" fontId="103" fillId="6" borderId="0" xfId="0" applyFont="1" applyFill="1"/>
    <xf numFmtId="0" fontId="38" fillId="21" borderId="0" xfId="0" applyFont="1" applyFill="1"/>
    <xf numFmtId="0" fontId="42" fillId="21" borderId="0" xfId="0" applyFont="1" applyFill="1" applyAlignment="1">
      <alignment horizontal="center" wrapText="1"/>
    </xf>
    <xf numFmtId="0" fontId="43" fillId="21" borderId="0" xfId="0" applyFont="1" applyFill="1" applyAlignment="1">
      <alignment horizontal="center" wrapText="1"/>
    </xf>
    <xf numFmtId="1" fontId="54" fillId="21" borderId="0" xfId="0" applyNumberFormat="1" applyFont="1" applyFill="1" applyAlignment="1">
      <alignment horizontal="center"/>
    </xf>
    <xf numFmtId="0" fontId="58" fillId="21" borderId="0" xfId="0" applyFont="1" applyFill="1" applyAlignment="1">
      <alignment horizontal="center"/>
    </xf>
    <xf numFmtId="0" fontId="55" fillId="21" borderId="36" xfId="0" applyFont="1" applyFill="1" applyBorder="1"/>
    <xf numFmtId="0" fontId="76" fillId="21" borderId="0" xfId="4" applyFont="1" applyFill="1" applyAlignment="1" applyProtection="1">
      <alignment horizontal="center" vertical="center"/>
    </xf>
    <xf numFmtId="164" fontId="84" fillId="21" borderId="34" xfId="2" applyFont="1" applyFill="1" applyBorder="1" applyAlignment="1">
      <alignment horizontal="center"/>
    </xf>
    <xf numFmtId="164" fontId="84" fillId="21" borderId="34" xfId="2" applyFont="1" applyFill="1" applyBorder="1" applyAlignment="1">
      <alignment horizontal="right"/>
    </xf>
    <xf numFmtId="0" fontId="84" fillId="21" borderId="34" xfId="2" applyNumberFormat="1" applyFont="1" applyFill="1" applyBorder="1" applyAlignment="1">
      <alignment horizontal="left"/>
    </xf>
    <xf numFmtId="164" fontId="84" fillId="21" borderId="48" xfId="2" applyFont="1" applyFill="1" applyBorder="1" applyAlignment="1">
      <alignment horizontal="center"/>
    </xf>
    <xf numFmtId="164" fontId="84" fillId="21" borderId="48" xfId="2" applyFont="1" applyFill="1" applyBorder="1" applyAlignment="1">
      <alignment horizontal="right"/>
    </xf>
    <xf numFmtId="0" fontId="84" fillId="21" borderId="48" xfId="2" applyNumberFormat="1" applyFont="1" applyFill="1" applyBorder="1" applyAlignment="1">
      <alignment horizontal="left"/>
    </xf>
    <xf numFmtId="0" fontId="87" fillId="21" borderId="39" xfId="0" applyFont="1" applyFill="1" applyBorder="1" applyAlignment="1">
      <alignment horizontal="center"/>
    </xf>
    <xf numFmtId="0" fontId="73" fillId="21" borderId="37" xfId="0" applyFont="1" applyFill="1" applyBorder="1" applyAlignment="1">
      <alignment horizontal="center" vertical="center" textRotation="90"/>
    </xf>
    <xf numFmtId="0" fontId="76" fillId="0" borderId="0" xfId="4" applyFont="1" applyAlignment="1" applyProtection="1">
      <alignment horizontal="center"/>
    </xf>
    <xf numFmtId="0" fontId="46" fillId="0" borderId="0" xfId="0" applyFont="1" applyAlignment="1">
      <alignment horizontal="right"/>
    </xf>
    <xf numFmtId="0" fontId="46" fillId="0" borderId="0" xfId="0" applyFont="1" applyAlignment="1">
      <alignment horizontal="left"/>
    </xf>
    <xf numFmtId="0" fontId="35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69" fillId="0" borderId="0" xfId="0" applyFont="1" applyAlignment="1">
      <alignment horizontal="center"/>
    </xf>
    <xf numFmtId="0" fontId="102" fillId="0" borderId="0" xfId="0" applyFont="1" applyAlignment="1">
      <alignment horizontal="left" vertical="center" wrapText="1"/>
    </xf>
    <xf numFmtId="0" fontId="105" fillId="0" borderId="0" xfId="0" applyFont="1" applyAlignment="1">
      <alignment horizontal="center"/>
    </xf>
    <xf numFmtId="0" fontId="102" fillId="0" borderId="92" xfId="0" applyFont="1" applyBorder="1" applyAlignment="1" applyProtection="1">
      <alignment horizontal="center" vertical="center"/>
      <protection locked="0"/>
    </xf>
    <xf numFmtId="0" fontId="69" fillId="0" borderId="0" xfId="0" applyFont="1" applyAlignment="1">
      <alignment horizontal="center" vertical="center"/>
    </xf>
    <xf numFmtId="0" fontId="101" fillId="23" borderId="0" xfId="0" applyFont="1" applyFill="1" applyAlignment="1">
      <alignment horizontal="left"/>
    </xf>
    <xf numFmtId="0" fontId="101" fillId="23" borderId="0" xfId="0" applyFont="1" applyFill="1"/>
    <xf numFmtId="0" fontId="30" fillId="23" borderId="0" xfId="0" applyFont="1" applyFill="1" applyAlignment="1">
      <alignment vertical="center"/>
    </xf>
    <xf numFmtId="0" fontId="40" fillId="21" borderId="0" xfId="0" applyFont="1" applyFill="1"/>
    <xf numFmtId="164" fontId="32" fillId="21" borderId="0" xfId="2" applyFont="1" applyFill="1" applyAlignment="1">
      <alignment horizontal="center"/>
    </xf>
    <xf numFmtId="164" fontId="32" fillId="21" borderId="0" xfId="2" applyFont="1" applyFill="1" applyAlignment="1">
      <alignment horizontal="right"/>
    </xf>
    <xf numFmtId="0" fontId="32" fillId="21" borderId="0" xfId="2" applyNumberFormat="1" applyFont="1" applyFill="1" applyAlignment="1">
      <alignment horizontal="left"/>
    </xf>
    <xf numFmtId="0" fontId="32" fillId="21" borderId="0" xfId="0" applyFont="1" applyFill="1" applyAlignment="1">
      <alignment horizontal="left"/>
    </xf>
    <xf numFmtId="0" fontId="86" fillId="21" borderId="121" xfId="0" applyFont="1" applyFill="1" applyBorder="1" applyAlignment="1">
      <alignment vertical="center"/>
    </xf>
    <xf numFmtId="0" fontId="86" fillId="21" borderId="120" xfId="0" applyFont="1" applyFill="1" applyBorder="1" applyAlignment="1">
      <alignment horizontal="center"/>
    </xf>
    <xf numFmtId="0" fontId="34" fillId="21" borderId="0" xfId="0" applyFont="1" applyFill="1"/>
    <xf numFmtId="0" fontId="52" fillId="21" borderId="0" xfId="0" applyFont="1" applyFill="1"/>
    <xf numFmtId="0" fontId="56" fillId="21" borderId="0" xfId="0" applyFont="1" applyFill="1" applyAlignment="1">
      <alignment horizontal="center" vertical="center"/>
    </xf>
    <xf numFmtId="0" fontId="77" fillId="21" borderId="0" xfId="0" applyFont="1" applyFill="1"/>
    <xf numFmtId="0" fontId="49" fillId="21" borderId="0" xfId="0" applyFont="1" applyFill="1"/>
    <xf numFmtId="0" fontId="49" fillId="21" borderId="0" xfId="0" applyFont="1" applyFill="1" applyAlignment="1">
      <alignment vertical="center"/>
    </xf>
    <xf numFmtId="0" fontId="60" fillId="21" borderId="0" xfId="0" applyFont="1" applyFill="1"/>
    <xf numFmtId="0" fontId="74" fillId="21" borderId="0" xfId="0" applyFont="1" applyFill="1"/>
    <xf numFmtId="164" fontId="2" fillId="21" borderId="0" xfId="2" applyFill="1" applyAlignment="1">
      <alignment horizontal="center"/>
    </xf>
    <xf numFmtId="0" fontId="32" fillId="21" borderId="36" xfId="0" applyFont="1" applyFill="1" applyBorder="1"/>
    <xf numFmtId="0" fontId="32" fillId="21" borderId="0" xfId="0" applyFont="1" applyFill="1" applyAlignment="1">
      <alignment vertical="center"/>
    </xf>
    <xf numFmtId="0" fontId="32" fillId="6" borderId="0" xfId="0" applyFont="1" applyFill="1" applyAlignment="1">
      <alignment vertical="center"/>
    </xf>
    <xf numFmtId="0" fontId="32" fillId="0" borderId="0" xfId="0" applyFont="1" applyAlignment="1">
      <alignment vertical="center"/>
    </xf>
    <xf numFmtId="0" fontId="44" fillId="6" borderId="0" xfId="0" applyFont="1" applyFill="1" applyAlignment="1">
      <alignment horizontal="center" vertical="center"/>
    </xf>
    <xf numFmtId="0" fontId="45" fillId="6" borderId="0" xfId="0" applyFont="1" applyFill="1" applyAlignment="1">
      <alignment horizontal="center" vertical="center"/>
    </xf>
    <xf numFmtId="164" fontId="45" fillId="6" borderId="0" xfId="2" applyFont="1" applyFill="1" applyAlignment="1">
      <alignment horizontal="center" vertical="center"/>
    </xf>
    <xf numFmtId="1" fontId="32" fillId="21" borderId="0" xfId="0" applyNumberFormat="1" applyFont="1" applyFill="1" applyAlignment="1">
      <alignment vertical="center"/>
    </xf>
    <xf numFmtId="0" fontId="48" fillId="6" borderId="0" xfId="0" applyFont="1" applyFill="1" applyAlignment="1">
      <alignment horizontal="center" vertical="center"/>
    </xf>
    <xf numFmtId="0" fontId="32" fillId="6" borderId="0" xfId="0" applyFont="1" applyFill="1" applyAlignment="1">
      <alignment horizontal="center" vertical="center"/>
    </xf>
    <xf numFmtId="0" fontId="106" fillId="0" borderId="92" xfId="0" applyFont="1" applyBorder="1" applyAlignment="1" applyProtection="1">
      <alignment horizontal="center" vertical="center"/>
      <protection locked="0"/>
    </xf>
    <xf numFmtId="0" fontId="107" fillId="0" borderId="92" xfId="0" applyFont="1" applyBorder="1" applyAlignment="1" applyProtection="1">
      <alignment horizontal="center" vertical="center"/>
      <protection locked="0"/>
    </xf>
    <xf numFmtId="49" fontId="106" fillId="0" borderId="0" xfId="0" applyNumberFormat="1" applyFont="1" applyAlignment="1" applyProtection="1">
      <alignment horizontal="center" vertical="center"/>
      <protection locked="0"/>
    </xf>
    <xf numFmtId="0" fontId="102" fillId="0" borderId="0" xfId="0" applyFont="1" applyAlignment="1">
      <alignment horizontal="right" vertical="center"/>
    </xf>
    <xf numFmtId="0" fontId="102" fillId="0" borderId="0" xfId="0" applyFont="1" applyAlignment="1">
      <alignment horizontal="center" vertical="center"/>
    </xf>
    <xf numFmtId="0" fontId="102" fillId="0" borderId="0" xfId="0" applyFont="1" applyAlignment="1">
      <alignment vertical="center"/>
    </xf>
    <xf numFmtId="0" fontId="2" fillId="2" borderId="0" xfId="7" applyFont="1" applyFill="1" applyProtection="1">
      <protection locked="0"/>
    </xf>
    <xf numFmtId="0" fontId="13" fillId="2" borderId="0" xfId="7" applyFont="1" applyFill="1" applyProtection="1">
      <protection locked="0"/>
    </xf>
    <xf numFmtId="0" fontId="2" fillId="0" borderId="0" xfId="5" applyFont="1"/>
    <xf numFmtId="0" fontId="6" fillId="0" borderId="0" xfId="5" applyFont="1"/>
    <xf numFmtId="0" fontId="6" fillId="0" borderId="0" xfId="7" applyFont="1" applyProtection="1">
      <protection locked="0"/>
    </xf>
    <xf numFmtId="0" fontId="3" fillId="6" borderId="0" xfId="7" applyFont="1" applyFill="1" applyProtection="1">
      <protection locked="0"/>
    </xf>
    <xf numFmtId="0" fontId="6" fillId="2" borderId="0" xfId="7" applyFont="1" applyFill="1" applyAlignment="1" applyProtection="1">
      <alignment horizontal="right"/>
      <protection locked="0"/>
    </xf>
    <xf numFmtId="0" fontId="6" fillId="2" borderId="0" xfId="7" applyFont="1" applyFill="1" applyAlignment="1" applyProtection="1">
      <alignment horizontal="left" indent="3"/>
      <protection locked="0"/>
    </xf>
    <xf numFmtId="14" fontId="2" fillId="2" borderId="0" xfId="7" applyNumberFormat="1" applyFont="1" applyFill="1" applyAlignment="1" applyProtection="1">
      <alignment horizontal="left"/>
      <protection locked="0"/>
    </xf>
    <xf numFmtId="0" fontId="9" fillId="2" borderId="0" xfId="7" applyFont="1" applyFill="1" applyAlignment="1" applyProtection="1">
      <alignment horizontal="left" indent="3"/>
      <protection locked="0"/>
    </xf>
    <xf numFmtId="0" fontId="2" fillId="2" borderId="0" xfId="7" applyFont="1" applyFill="1"/>
    <xf numFmtId="0" fontId="9" fillId="2" borderId="0" xfId="7" applyFont="1" applyFill="1" applyProtection="1">
      <protection locked="0"/>
    </xf>
    <xf numFmtId="0" fontId="2" fillId="2" borderId="0" xfId="7" applyFont="1" applyFill="1" applyAlignment="1" applyProtection="1">
      <alignment horizontal="center"/>
      <protection locked="0"/>
    </xf>
    <xf numFmtId="0" fontId="9" fillId="2" borderId="0" xfId="7" applyFont="1" applyFill="1" applyAlignment="1" applyProtection="1">
      <alignment horizontal="right"/>
      <protection locked="0"/>
    </xf>
    <xf numFmtId="0" fontId="114" fillId="0" borderId="0" xfId="5" applyFont="1"/>
    <xf numFmtId="0" fontId="15" fillId="2" borderId="0" xfId="7" applyFont="1" applyFill="1" applyProtection="1">
      <protection locked="0"/>
    </xf>
    <xf numFmtId="0" fontId="15" fillId="2" borderId="0" xfId="4" applyFont="1" applyFill="1" applyAlignment="1">
      <protection locked="0"/>
    </xf>
    <xf numFmtId="0" fontId="2" fillId="2" borderId="0" xfId="4" applyFont="1" applyFill="1" applyAlignment="1">
      <protection locked="0"/>
    </xf>
    <xf numFmtId="0" fontId="14" fillId="0" borderId="0" xfId="4" applyFont="1" applyAlignment="1">
      <protection locked="0"/>
    </xf>
    <xf numFmtId="0" fontId="115" fillId="11" borderId="7" xfId="7" applyFont="1" applyFill="1" applyBorder="1" applyAlignment="1" applyProtection="1">
      <alignment horizontal="center" vertical="center"/>
      <protection locked="0"/>
    </xf>
    <xf numFmtId="0" fontId="2" fillId="2" borderId="7" xfId="7" applyFont="1" applyFill="1" applyBorder="1" applyAlignment="1" applyProtection="1">
      <alignment horizontal="center" vertical="center"/>
      <protection locked="0"/>
    </xf>
    <xf numFmtId="0" fontId="2" fillId="0" borderId="0" xfId="7" applyFont="1" applyAlignment="1" applyProtection="1">
      <alignment horizontal="center" vertical="center" wrapText="1"/>
      <protection locked="0"/>
    </xf>
    <xf numFmtId="0" fontId="2" fillId="0" borderId="0" xfId="7" applyFont="1" applyAlignment="1" applyProtection="1">
      <alignment horizontal="center" vertical="center"/>
      <protection locked="0"/>
    </xf>
    <xf numFmtId="0" fontId="6" fillId="0" borderId="7" xfId="7" applyFont="1" applyBorder="1" applyAlignment="1" applyProtection="1">
      <alignment horizontal="center" vertical="center"/>
      <protection locked="0"/>
    </xf>
    <xf numFmtId="166" fontId="2" fillId="9" borderId="7" xfId="7" applyNumberFormat="1" applyFont="1" applyFill="1" applyBorder="1" applyAlignment="1" applyProtection="1">
      <alignment horizontal="right" vertical="center"/>
      <protection locked="0"/>
    </xf>
    <xf numFmtId="0" fontId="6" fillId="2" borderId="0" xfId="7" applyFont="1" applyFill="1" applyProtection="1">
      <protection locked="0"/>
    </xf>
    <xf numFmtId="1" fontId="2" fillId="2" borderId="7" xfId="7" applyNumberFormat="1" applyFont="1" applyFill="1" applyBorder="1" applyAlignment="1" applyProtection="1">
      <alignment horizontal="center" vertical="center"/>
      <protection locked="0"/>
    </xf>
    <xf numFmtId="0" fontId="116" fillId="0" borderId="0" xfId="5" applyFont="1"/>
    <xf numFmtId="49" fontId="2" fillId="0" borderId="0" xfId="5" applyNumberFormat="1" applyFont="1"/>
    <xf numFmtId="0" fontId="2" fillId="2" borderId="0" xfId="7" applyFont="1" applyFill="1" applyAlignment="1" applyProtection="1">
      <alignment horizontal="left" vertical="center"/>
      <protection locked="0"/>
    </xf>
    <xf numFmtId="0" fontId="74" fillId="2" borderId="0" xfId="7" applyFont="1" applyFill="1" applyAlignment="1" applyProtection="1">
      <alignment horizontal="right" vertical="center"/>
      <protection locked="0"/>
    </xf>
    <xf numFmtId="0" fontId="2" fillId="2" borderId="0" xfId="7" applyFont="1" applyFill="1" applyAlignment="1" applyProtection="1">
      <alignment vertical="center"/>
      <protection locked="0"/>
    </xf>
    <xf numFmtId="0" fontId="2" fillId="2" borderId="0" xfId="7" applyFont="1" applyFill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horizontal="left" vertical="center"/>
      <protection locked="0"/>
    </xf>
    <xf numFmtId="0" fontId="6" fillId="2" borderId="0" xfId="7" applyFont="1" applyFill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vertical="center" wrapText="1"/>
      <protection locked="0"/>
    </xf>
    <xf numFmtId="0" fontId="2" fillId="0" borderId="0" xfId="7" applyFont="1" applyProtection="1">
      <protection locked="0"/>
    </xf>
    <xf numFmtId="0" fontId="2" fillId="0" borderId="0" xfId="7" applyFont="1" applyAlignment="1" applyProtection="1">
      <alignment vertical="center" wrapText="1"/>
      <protection locked="0"/>
    </xf>
    <xf numFmtId="0" fontId="2" fillId="0" borderId="0" xfId="7" applyFont="1" applyAlignment="1" applyProtection="1">
      <alignment vertical="center"/>
      <protection locked="0"/>
    </xf>
    <xf numFmtId="0" fontId="2" fillId="0" borderId="0" xfId="7" applyFont="1" applyAlignment="1" applyProtection="1">
      <alignment horizontal="left" vertical="center"/>
      <protection locked="0"/>
    </xf>
    <xf numFmtId="0" fontId="5" fillId="0" borderId="0" xfId="4" applyAlignment="1" applyProtection="1"/>
    <xf numFmtId="0" fontId="2" fillId="0" borderId="0" xfId="5" quotePrefix="1" applyFont="1"/>
    <xf numFmtId="0" fontId="5" fillId="0" borderId="0" xfId="4" applyAlignment="1">
      <protection locked="0"/>
    </xf>
    <xf numFmtId="10" fontId="2" fillId="0" borderId="0" xfId="5" applyNumberFormat="1" applyFont="1"/>
    <xf numFmtId="0" fontId="6" fillId="21" borderId="7" xfId="7" applyFont="1" applyFill="1" applyBorder="1" applyAlignment="1" applyProtection="1">
      <alignment horizontal="center" vertical="center"/>
      <protection locked="0"/>
    </xf>
    <xf numFmtId="0" fontId="6" fillId="21" borderId="27" xfId="7" applyFont="1" applyFill="1" applyBorder="1" applyAlignment="1" applyProtection="1">
      <alignment horizontal="center" vertical="center"/>
      <protection locked="0"/>
    </xf>
    <xf numFmtId="0" fontId="31" fillId="23" borderId="0" xfId="0" applyFont="1" applyFill="1"/>
    <xf numFmtId="164" fontId="8" fillId="0" borderId="39" xfId="2" applyFont="1" applyBorder="1" applyAlignment="1">
      <alignment horizontal="left" vertical="center"/>
    </xf>
    <xf numFmtId="164" fontId="8" fillId="0" borderId="39" xfId="2" applyFont="1" applyBorder="1" applyAlignment="1">
      <alignment horizontal="right" vertical="center"/>
    </xf>
    <xf numFmtId="0" fontId="8" fillId="0" borderId="40" xfId="0" applyFont="1" applyBorder="1" applyAlignment="1">
      <alignment horizontal="left" vertical="center"/>
    </xf>
    <xf numFmtId="0" fontId="84" fillId="21" borderId="0" xfId="0" applyFont="1" applyFill="1" applyAlignment="1">
      <alignment vertical="center"/>
    </xf>
    <xf numFmtId="164" fontId="8" fillId="0" borderId="48" xfId="2" applyFont="1" applyBorder="1" applyAlignment="1">
      <alignment horizontal="left" vertical="center"/>
    </xf>
    <xf numFmtId="168" fontId="84" fillId="21" borderId="0" xfId="1" applyNumberFormat="1" applyFont="1" applyFill="1" applyAlignment="1">
      <alignment horizontal="left" vertical="center"/>
    </xf>
    <xf numFmtId="164" fontId="84" fillId="21" borderId="0" xfId="2" applyFont="1" applyFill="1" applyAlignment="1">
      <alignment horizontal="left" vertical="center"/>
    </xf>
    <xf numFmtId="164" fontId="84" fillId="21" borderId="0" xfId="2" applyFont="1" applyFill="1" applyAlignment="1">
      <alignment horizontal="right" vertical="center"/>
    </xf>
    <xf numFmtId="0" fontId="84" fillId="21" borderId="0" xfId="0" applyFont="1" applyFill="1" applyAlignment="1">
      <alignment horizontal="left" vertical="center"/>
    </xf>
    <xf numFmtId="0" fontId="85" fillId="21" borderId="0" xfId="0" applyFont="1" applyFill="1" applyAlignment="1">
      <alignment vertical="center"/>
    </xf>
    <xf numFmtId="0" fontId="39" fillId="21" borderId="0" xfId="0" applyFont="1" applyFill="1" applyAlignment="1">
      <alignment vertical="center"/>
    </xf>
    <xf numFmtId="164" fontId="8" fillId="0" borderId="48" xfId="2" applyFont="1" applyBorder="1" applyAlignment="1">
      <alignment horizontal="right" vertical="center"/>
    </xf>
    <xf numFmtId="0" fontId="8" fillId="0" borderId="49" xfId="0" applyFont="1" applyBorder="1" applyAlignment="1">
      <alignment horizontal="left" vertical="center"/>
    </xf>
    <xf numFmtId="0" fontId="8" fillId="21" borderId="0" xfId="0" applyFont="1" applyFill="1" applyAlignment="1">
      <alignment vertical="center"/>
    </xf>
    <xf numFmtId="0" fontId="39" fillId="0" borderId="0" xfId="0" applyFont="1" applyAlignment="1">
      <alignment vertical="center"/>
    </xf>
    <xf numFmtId="164" fontId="84" fillId="21" borderId="0" xfId="2" applyFont="1" applyFill="1" applyAlignment="1">
      <alignment horizontal="center" vertical="center"/>
    </xf>
    <xf numFmtId="0" fontId="84" fillId="21" borderId="0" xfId="2" applyNumberFormat="1" applyFont="1" applyFill="1" applyAlignment="1">
      <alignment horizontal="left" vertical="center"/>
    </xf>
    <xf numFmtId="164" fontId="8" fillId="0" borderId="0" xfId="2" applyFont="1" applyAlignment="1">
      <alignment horizontal="left" vertical="center"/>
    </xf>
    <xf numFmtId="164" fontId="8" fillId="0" borderId="0" xfId="2" applyFont="1" applyAlignment="1">
      <alignment horizontal="right" vertical="center"/>
    </xf>
    <xf numFmtId="0" fontId="8" fillId="0" borderId="0" xfId="0" applyFont="1" applyAlignment="1">
      <alignment horizontal="left" vertical="center"/>
    </xf>
    <xf numFmtId="0" fontId="84" fillId="21" borderId="92" xfId="0" applyFont="1" applyFill="1" applyBorder="1" applyAlignment="1">
      <alignment vertical="center"/>
    </xf>
    <xf numFmtId="0" fontId="39" fillId="21" borderId="36" xfId="0" applyFont="1" applyFill="1" applyBorder="1" applyAlignment="1">
      <alignment vertical="center"/>
    </xf>
    <xf numFmtId="164" fontId="8" fillId="6" borderId="48" xfId="2" applyFont="1" applyFill="1" applyBorder="1" applyAlignment="1">
      <alignment horizontal="left" vertical="center"/>
    </xf>
    <xf numFmtId="164" fontId="8" fillId="6" borderId="48" xfId="2" applyFont="1" applyFill="1" applyBorder="1" applyAlignment="1">
      <alignment horizontal="right" vertical="center"/>
    </xf>
    <xf numFmtId="0" fontId="8" fillId="6" borderId="49" xfId="0" applyFont="1" applyFill="1" applyBorder="1" applyAlignment="1">
      <alignment horizontal="left" vertical="center"/>
    </xf>
    <xf numFmtId="168" fontId="84" fillId="21" borderId="0" xfId="2" applyNumberFormat="1" applyFont="1" applyFill="1" applyAlignment="1">
      <alignment horizontal="center" vertical="center"/>
    </xf>
    <xf numFmtId="0" fontId="86" fillId="21" borderId="0" xfId="0" applyFont="1" applyFill="1" applyAlignment="1" applyProtection="1">
      <alignment horizontal="center" vertical="center"/>
      <protection locked="0"/>
    </xf>
    <xf numFmtId="164" fontId="3" fillId="0" borderId="48" xfId="2" applyFont="1" applyBorder="1" applyAlignment="1">
      <alignment horizontal="left" vertical="center"/>
    </xf>
    <xf numFmtId="164" fontId="3" fillId="0" borderId="48" xfId="2" applyFont="1" applyBorder="1" applyAlignment="1">
      <alignment horizontal="right" vertical="center"/>
    </xf>
    <xf numFmtId="0" fontId="3" fillId="6" borderId="49" xfId="0" applyFont="1" applyFill="1" applyBorder="1" applyAlignment="1">
      <alignment horizontal="left" vertical="center"/>
    </xf>
    <xf numFmtId="1" fontId="54" fillId="21" borderId="0" xfId="0" applyNumberFormat="1" applyFont="1" applyFill="1" applyAlignment="1">
      <alignment horizontal="center" vertical="center"/>
    </xf>
    <xf numFmtId="0" fontId="2" fillId="0" borderId="0" xfId="7" applyFont="1" applyAlignment="1" applyProtection="1">
      <alignment horizontal="center"/>
      <protection locked="0"/>
    </xf>
    <xf numFmtId="0" fontId="8" fillId="2" borderId="29" xfId="7" applyFont="1" applyFill="1" applyBorder="1" applyAlignment="1" applyProtection="1">
      <alignment horizontal="left" vertical="center"/>
      <protection locked="0"/>
    </xf>
    <xf numFmtId="0" fontId="8" fillId="2" borderId="27" xfId="7" applyFont="1" applyFill="1" applyBorder="1" applyAlignment="1" applyProtection="1">
      <alignment horizontal="right" vertical="center"/>
      <protection locked="0"/>
    </xf>
    <xf numFmtId="0" fontId="118" fillId="11" borderId="7" xfId="7" applyFont="1" applyFill="1" applyBorder="1" applyProtection="1">
      <protection locked="0"/>
    </xf>
    <xf numFmtId="0" fontId="74" fillId="11" borderId="7" xfId="7" applyFont="1" applyFill="1" applyBorder="1" applyAlignment="1" applyProtection="1">
      <alignment horizontal="right" vertical="center"/>
      <protection locked="0" hidden="1"/>
    </xf>
    <xf numFmtId="0" fontId="118" fillId="11" borderId="7" xfId="7" applyFont="1" applyFill="1" applyBorder="1" applyAlignment="1" applyProtection="1">
      <alignment horizontal="left" vertical="center"/>
      <protection locked="0"/>
    </xf>
    <xf numFmtId="0" fontId="53" fillId="22" borderId="7" xfId="0" applyFont="1" applyFill="1" applyBorder="1" applyAlignment="1">
      <alignment horizontal="left"/>
    </xf>
    <xf numFmtId="1" fontId="2" fillId="2" borderId="0" xfId="7" applyNumberFormat="1" applyFont="1" applyFill="1" applyAlignment="1" applyProtection="1">
      <alignment horizontal="left"/>
      <protection locked="0"/>
    </xf>
    <xf numFmtId="0" fontId="83" fillId="21" borderId="0" xfId="0" applyFont="1" applyFill="1" applyAlignment="1" applyProtection="1">
      <alignment horizontal="center"/>
      <protection locked="0"/>
    </xf>
    <xf numFmtId="169" fontId="8" fillId="0" borderId="47" xfId="1" applyNumberFormat="1" applyFont="1" applyBorder="1" applyAlignment="1">
      <alignment horizontal="left" vertical="center"/>
    </xf>
    <xf numFmtId="169" fontId="3" fillId="0" borderId="47" xfId="1" applyNumberFormat="1" applyFont="1" applyBorder="1" applyAlignment="1">
      <alignment horizontal="left" vertical="center"/>
    </xf>
    <xf numFmtId="169" fontId="8" fillId="0" borderId="38" xfId="1" applyNumberFormat="1" applyFont="1" applyBorder="1" applyAlignment="1">
      <alignment horizontal="left" vertical="center"/>
    </xf>
    <xf numFmtId="169" fontId="8" fillId="6" borderId="47" xfId="1" applyNumberFormat="1" applyFont="1" applyFill="1" applyBorder="1" applyAlignment="1">
      <alignment horizontal="left" vertical="center"/>
    </xf>
    <xf numFmtId="169" fontId="8" fillId="0" borderId="31" xfId="1" applyNumberFormat="1" applyFont="1" applyBorder="1" applyAlignment="1">
      <alignment horizontal="left" vertical="center"/>
    </xf>
    <xf numFmtId="169" fontId="8" fillId="0" borderId="0" xfId="1" applyNumberFormat="1" applyFont="1" applyAlignment="1">
      <alignment horizontal="left" vertical="center"/>
    </xf>
    <xf numFmtId="169" fontId="8" fillId="0" borderId="47" xfId="1" applyNumberFormat="1" applyFont="1" applyBorder="1" applyAlignment="1">
      <alignment horizontal="right" vertical="center"/>
    </xf>
    <xf numFmtId="169" fontId="2" fillId="2" borderId="7" xfId="3" applyNumberFormat="1" applyFont="1" applyFill="1" applyBorder="1" applyAlignment="1" applyProtection="1">
      <alignment horizontal="right" vertical="center"/>
      <protection locked="0"/>
    </xf>
    <xf numFmtId="169" fontId="2" fillId="9" borderId="7" xfId="7" applyNumberFormat="1" applyFont="1" applyFill="1" applyBorder="1" applyAlignment="1" applyProtection="1">
      <alignment horizontal="right" vertical="center"/>
      <protection locked="0"/>
    </xf>
    <xf numFmtId="169" fontId="6" fillId="9" borderId="7" xfId="7" applyNumberFormat="1" applyFont="1" applyFill="1" applyBorder="1" applyAlignment="1">
      <alignment horizontal="right" vertical="center"/>
    </xf>
    <xf numFmtId="169" fontId="2" fillId="9" borderId="7" xfId="7" applyNumberFormat="1" applyFont="1" applyFill="1" applyBorder="1" applyAlignment="1">
      <alignment horizontal="right" vertical="center"/>
    </xf>
    <xf numFmtId="169" fontId="80" fillId="21" borderId="0" xfId="2" applyNumberFormat="1" applyFont="1" applyFill="1" applyAlignment="1">
      <alignment horizontal="center"/>
    </xf>
    <xf numFmtId="169" fontId="80" fillId="6" borderId="0" xfId="2" applyNumberFormat="1" applyFont="1" applyFill="1" applyAlignment="1">
      <alignment horizontal="center"/>
    </xf>
    <xf numFmtId="0" fontId="83" fillId="6" borderId="0" xfId="0" applyFont="1" applyFill="1" applyAlignment="1" applyProtection="1">
      <alignment horizontal="center"/>
      <protection locked="0"/>
    </xf>
    <xf numFmtId="0" fontId="84" fillId="6" borderId="0" xfId="0" applyFont="1" applyFill="1"/>
    <xf numFmtId="0" fontId="2" fillId="22" borderId="7" xfId="0" applyFont="1" applyFill="1" applyBorder="1"/>
    <xf numFmtId="0" fontId="81" fillId="0" borderId="34" xfId="0" applyFont="1" applyBorder="1" applyAlignment="1">
      <alignment horizontal="right" vertical="center" indent="1"/>
    </xf>
    <xf numFmtId="0" fontId="102" fillId="0" borderId="0" xfId="0" applyFont="1" applyAlignment="1" applyProtection="1">
      <alignment horizontal="center" vertical="center"/>
      <protection locked="0"/>
    </xf>
    <xf numFmtId="0" fontId="101" fillId="23" borderId="0" xfId="0" applyFont="1" applyFill="1" applyAlignment="1">
      <alignment horizontal="left" vertical="center"/>
    </xf>
    <xf numFmtId="0" fontId="121" fillId="0" borderId="34" xfId="0" applyFont="1" applyBorder="1" applyAlignment="1" applyProtection="1">
      <alignment horizontal="center" vertical="center"/>
      <protection locked="0"/>
    </xf>
    <xf numFmtId="0" fontId="44" fillId="0" borderId="7" xfId="0" applyFont="1" applyBorder="1" applyAlignment="1">
      <alignment horizontal="center"/>
    </xf>
    <xf numFmtId="0" fontId="32" fillId="0" borderId="24" xfId="0" applyFont="1" applyBorder="1" applyAlignment="1">
      <alignment horizontal="center"/>
    </xf>
    <xf numFmtId="1" fontId="44" fillId="0" borderId="7" xfId="0" applyNumberFormat="1" applyFont="1" applyBorder="1"/>
    <xf numFmtId="0" fontId="124" fillId="10" borderId="7" xfId="0" applyFont="1" applyFill="1" applyBorder="1"/>
    <xf numFmtId="0" fontId="44" fillId="21" borderId="7" xfId="0" applyFont="1" applyFill="1" applyBorder="1" applyAlignment="1">
      <alignment horizontal="center"/>
    </xf>
    <xf numFmtId="0" fontId="32" fillId="21" borderId="7" xfId="0" applyFont="1" applyFill="1" applyBorder="1"/>
    <xf numFmtId="0" fontId="44" fillId="21" borderId="7" xfId="0" applyFont="1" applyFill="1" applyBorder="1"/>
    <xf numFmtId="166" fontId="53" fillId="21" borderId="7" xfId="0" applyNumberFormat="1" applyFont="1" applyFill="1" applyBorder="1"/>
    <xf numFmtId="0" fontId="53" fillId="21" borderId="7" xfId="0" applyFont="1" applyFill="1" applyBorder="1"/>
    <xf numFmtId="2" fontId="32" fillId="21" borderId="7" xfId="0" applyNumberFormat="1" applyFont="1" applyFill="1" applyBorder="1"/>
    <xf numFmtId="0" fontId="42" fillId="21" borderId="24" xfId="0" applyFont="1" applyFill="1" applyBorder="1"/>
    <xf numFmtId="166" fontId="42" fillId="21" borderId="0" xfId="0" applyNumberFormat="1" applyFont="1" applyFill="1"/>
    <xf numFmtId="167" fontId="53" fillId="24" borderId="7" xfId="0" applyNumberFormat="1" applyFont="1" applyFill="1" applyBorder="1"/>
    <xf numFmtId="0" fontId="131" fillId="0" borderId="39" xfId="0" applyFont="1" applyBorder="1" applyAlignment="1">
      <alignment horizontal="center"/>
    </xf>
    <xf numFmtId="169" fontId="8" fillId="21" borderId="0" xfId="1" applyNumberFormat="1" applyFont="1" applyFill="1" applyAlignment="1">
      <alignment horizontal="left" vertical="center"/>
    </xf>
    <xf numFmtId="164" fontId="8" fillId="21" borderId="0" xfId="2" applyFont="1" applyFill="1" applyAlignment="1">
      <alignment horizontal="left" vertical="center"/>
    </xf>
    <xf numFmtId="164" fontId="8" fillId="21" borderId="0" xfId="2" applyFont="1" applyFill="1" applyAlignment="1">
      <alignment horizontal="right" vertical="center"/>
    </xf>
    <xf numFmtId="0" fontId="8" fillId="21" borderId="0" xfId="0" applyFont="1" applyFill="1" applyAlignment="1">
      <alignment horizontal="left" vertical="center"/>
    </xf>
    <xf numFmtId="0" fontId="84" fillId="21" borderId="36" xfId="0" applyFont="1" applyFill="1" applyBorder="1" applyAlignment="1">
      <alignment vertical="center"/>
    </xf>
    <xf numFmtId="164" fontId="84" fillId="21" borderId="39" xfId="2" applyFont="1" applyFill="1" applyBorder="1" applyAlignment="1">
      <alignment horizontal="right"/>
    </xf>
    <xf numFmtId="0" fontId="84" fillId="21" borderId="39" xfId="2" applyNumberFormat="1" applyFont="1" applyFill="1" applyBorder="1" applyAlignment="1">
      <alignment horizontal="left"/>
    </xf>
    <xf numFmtId="167" fontId="16" fillId="21" borderId="25" xfId="6" applyNumberFormat="1" applyFont="1" applyFill="1" applyBorder="1" applyAlignment="1">
      <alignment horizontal="right" vertical="center"/>
    </xf>
    <xf numFmtId="167" fontId="53" fillId="22" borderId="24" xfId="0" applyNumberFormat="1" applyFont="1" applyFill="1" applyBorder="1"/>
    <xf numFmtId="167" fontId="3" fillId="21" borderId="7" xfId="6" applyNumberFormat="1" applyFont="1" applyFill="1" applyBorder="1" applyAlignment="1">
      <alignment horizontal="right" vertical="center"/>
    </xf>
    <xf numFmtId="0" fontId="8" fillId="0" borderId="39" xfId="0" applyFont="1" applyBorder="1" applyAlignment="1">
      <alignment horizontal="left" vertical="center"/>
    </xf>
    <xf numFmtId="169" fontId="8" fillId="0" borderId="39" xfId="1" applyNumberFormat="1" applyFont="1" applyBorder="1" applyAlignment="1">
      <alignment horizontal="left" vertical="center"/>
    </xf>
    <xf numFmtId="167" fontId="3" fillId="8" borderId="25" xfId="6" applyNumberFormat="1" applyFont="1" applyFill="1" applyBorder="1" applyAlignment="1">
      <alignment horizontal="right" vertical="center"/>
    </xf>
    <xf numFmtId="167" fontId="16" fillId="8" borderId="25" xfId="6" applyNumberFormat="1" applyFont="1" applyFill="1" applyBorder="1" applyAlignment="1">
      <alignment horizontal="right" vertical="center"/>
    </xf>
    <xf numFmtId="167" fontId="53" fillId="8" borderId="7" xfId="0" applyNumberFormat="1" applyFont="1" applyFill="1" applyBorder="1"/>
    <xf numFmtId="0" fontId="32" fillId="25" borderId="7" xfId="0" applyFont="1" applyFill="1" applyBorder="1"/>
    <xf numFmtId="0" fontId="44" fillId="25" borderId="7" xfId="0" applyFont="1" applyFill="1" applyBorder="1"/>
    <xf numFmtId="166" fontId="53" fillId="25" borderId="7" xfId="0" applyNumberFormat="1" applyFont="1" applyFill="1" applyBorder="1"/>
    <xf numFmtId="167" fontId="53" fillId="25" borderId="7" xfId="0" applyNumberFormat="1" applyFont="1" applyFill="1" applyBorder="1"/>
    <xf numFmtId="0" fontId="53" fillId="25" borderId="7" xfId="0" applyFont="1" applyFill="1" applyBorder="1"/>
    <xf numFmtId="2" fontId="32" fillId="25" borderId="7" xfId="0" applyNumberFormat="1" applyFont="1" applyFill="1" applyBorder="1"/>
    <xf numFmtId="0" fontId="32" fillId="25" borderId="7" xfId="0" quotePrefix="1" applyFont="1" applyFill="1" applyBorder="1"/>
    <xf numFmtId="0" fontId="8" fillId="0" borderId="40" xfId="0" applyFont="1" applyFill="1" applyBorder="1" applyAlignment="1">
      <alignment horizontal="left" vertical="center"/>
    </xf>
    <xf numFmtId="0" fontId="84" fillId="0" borderId="0" xfId="0" applyFont="1"/>
    <xf numFmtId="0" fontId="84" fillId="0" borderId="33" xfId="0" applyFont="1" applyBorder="1"/>
    <xf numFmtId="0" fontId="84" fillId="0" borderId="34" xfId="0" applyFont="1" applyBorder="1"/>
    <xf numFmtId="0" fontId="84" fillId="0" borderId="35" xfId="0" applyFont="1" applyBorder="1"/>
    <xf numFmtId="0" fontId="84" fillId="0" borderId="36" xfId="0" applyFont="1" applyBorder="1"/>
    <xf numFmtId="0" fontId="84" fillId="0" borderId="37" xfId="0" applyFont="1" applyBorder="1"/>
    <xf numFmtId="0" fontId="80" fillId="6" borderId="0" xfId="0" applyFont="1" applyFill="1"/>
    <xf numFmtId="169" fontId="8" fillId="21" borderId="0" xfId="1" applyNumberFormat="1" applyFont="1" applyFill="1" applyBorder="1" applyAlignment="1">
      <alignment horizontal="left" vertical="center"/>
    </xf>
    <xf numFmtId="164" fontId="8" fillId="21" borderId="0" xfId="2" applyFont="1" applyFill="1" applyBorder="1" applyAlignment="1">
      <alignment horizontal="left" vertical="center"/>
    </xf>
    <xf numFmtId="164" fontId="8" fillId="21" borderId="0" xfId="2" applyFont="1" applyFill="1" applyBorder="1" applyAlignment="1">
      <alignment horizontal="right" vertical="center"/>
    </xf>
    <xf numFmtId="0" fontId="8" fillId="21" borderId="0" xfId="0" applyFont="1" applyFill="1" applyBorder="1" applyAlignment="1">
      <alignment horizontal="left" vertical="center"/>
    </xf>
    <xf numFmtId="0" fontId="84" fillId="21" borderId="0" xfId="0" applyFont="1" applyFill="1" applyBorder="1"/>
    <xf numFmtId="167" fontId="53" fillId="6" borderId="7" xfId="0" applyNumberFormat="1" applyFont="1" applyFill="1" applyBorder="1" applyAlignment="1">
      <alignment horizontal="right"/>
    </xf>
    <xf numFmtId="0" fontId="84" fillId="21" borderId="0" xfId="0" applyFont="1" applyFill="1" applyBorder="1" applyProtection="1"/>
    <xf numFmtId="0" fontId="86" fillId="21" borderId="0" xfId="0" applyFont="1" applyFill="1" applyBorder="1" applyProtection="1"/>
    <xf numFmtId="169" fontId="3" fillId="0" borderId="47" xfId="1" applyNumberFormat="1" applyFont="1" applyFill="1" applyBorder="1" applyAlignment="1" applyProtection="1">
      <alignment horizontal="left" vertical="center"/>
    </xf>
    <xf numFmtId="164" fontId="8" fillId="0" borderId="48" xfId="2" applyFont="1" applyBorder="1" applyAlignment="1" applyProtection="1">
      <alignment horizontal="left" vertical="center"/>
    </xf>
    <xf numFmtId="164" fontId="8" fillId="0" borderId="48" xfId="2" applyFont="1" applyFill="1" applyBorder="1" applyAlignment="1" applyProtection="1">
      <alignment horizontal="right" vertical="center"/>
    </xf>
    <xf numFmtId="0" fontId="8" fillId="0" borderId="49" xfId="0" applyFont="1" applyBorder="1" applyAlignment="1" applyProtection="1">
      <alignment horizontal="left" vertical="center"/>
    </xf>
    <xf numFmtId="0" fontId="84" fillId="21" borderId="0" xfId="0" applyFont="1" applyFill="1" applyBorder="1" applyAlignment="1" applyProtection="1">
      <alignment vertical="center"/>
    </xf>
    <xf numFmtId="169" fontId="8" fillId="0" borderId="47" xfId="1" applyNumberFormat="1" applyFont="1" applyFill="1" applyBorder="1" applyAlignment="1" applyProtection="1">
      <alignment horizontal="left" vertical="center"/>
    </xf>
    <xf numFmtId="0" fontId="84" fillId="6" borderId="36" xfId="0" applyNumberFormat="1" applyFont="1" applyFill="1" applyBorder="1" applyAlignment="1" applyProtection="1">
      <alignment horizontal="center"/>
    </xf>
    <xf numFmtId="0" fontId="84" fillId="6" borderId="0" xfId="0" applyNumberFormat="1" applyFont="1" applyFill="1" applyBorder="1" applyAlignment="1" applyProtection="1">
      <alignment horizontal="center"/>
    </xf>
    <xf numFmtId="0" fontId="84" fillId="6" borderId="37" xfId="0" applyNumberFormat="1" applyFont="1" applyFill="1" applyBorder="1" applyAlignment="1" applyProtection="1">
      <alignment horizontal="center"/>
    </xf>
    <xf numFmtId="0" fontId="84" fillId="0" borderId="33" xfId="0" applyNumberFormat="1" applyFont="1" applyBorder="1" applyAlignment="1" applyProtection="1">
      <alignment horizontal="center"/>
    </xf>
    <xf numFmtId="0" fontId="84" fillId="0" borderId="34" xfId="0" applyNumberFormat="1" applyFont="1" applyBorder="1" applyAlignment="1" applyProtection="1">
      <alignment horizontal="center"/>
    </xf>
    <xf numFmtId="0" fontId="84" fillId="0" borderId="35" xfId="0" applyNumberFormat="1" applyFont="1" applyBorder="1" applyAlignment="1" applyProtection="1">
      <alignment horizontal="center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4" fillId="0" borderId="38" xfId="0" applyNumberFormat="1" applyFont="1" applyBorder="1" applyAlignment="1" applyProtection="1">
      <alignment horizontal="center"/>
    </xf>
    <xf numFmtId="0" fontId="84" fillId="0" borderId="39" xfId="0" applyNumberFormat="1" applyFont="1" applyBorder="1" applyAlignment="1" applyProtection="1">
      <alignment horizontal="center"/>
    </xf>
    <xf numFmtId="0" fontId="84" fillId="0" borderId="40" xfId="0" applyNumberFormat="1" applyFont="1" applyBorder="1" applyAlignment="1" applyProtection="1">
      <alignment horizontal="center"/>
    </xf>
    <xf numFmtId="0" fontId="44" fillId="6" borderId="7" xfId="0" applyFont="1" applyFill="1" applyBorder="1" applyAlignment="1">
      <alignment horizontal="center"/>
    </xf>
    <xf numFmtId="167" fontId="53" fillId="21" borderId="7" xfId="0" applyNumberFormat="1" applyFont="1" applyFill="1" applyBorder="1"/>
    <xf numFmtId="0" fontId="32" fillId="21" borderId="0" xfId="0" applyFont="1" applyFill="1" applyBorder="1"/>
    <xf numFmtId="168" fontId="8" fillId="21" borderId="0" xfId="1" applyNumberFormat="1" applyFont="1" applyFill="1" applyBorder="1" applyAlignment="1">
      <alignment horizontal="left"/>
    </xf>
    <xf numFmtId="164" fontId="8" fillId="21" borderId="0" xfId="2" applyFont="1" applyFill="1" applyBorder="1" applyAlignment="1">
      <alignment horizontal="left"/>
    </xf>
    <xf numFmtId="164" fontId="8" fillId="21" borderId="0" xfId="2" applyFont="1" applyFill="1" applyBorder="1" applyAlignment="1">
      <alignment horizontal="right"/>
    </xf>
    <xf numFmtId="0" fontId="8" fillId="21" borderId="0" xfId="0" applyFont="1" applyFill="1" applyBorder="1" applyAlignment="1">
      <alignment horizontal="left"/>
    </xf>
    <xf numFmtId="0" fontId="2" fillId="21" borderId="0" xfId="0" applyFont="1" applyFill="1" applyBorder="1"/>
    <xf numFmtId="0" fontId="8" fillId="21" borderId="0" xfId="2" applyNumberFormat="1" applyFont="1" applyFill="1" applyBorder="1" applyAlignment="1">
      <alignment horizontal="center"/>
    </xf>
    <xf numFmtId="0" fontId="8" fillId="21" borderId="0" xfId="2" applyNumberFormat="1" applyFont="1" applyFill="1" applyBorder="1" applyAlignment="1">
      <alignment horizontal="right"/>
    </xf>
    <xf numFmtId="0" fontId="8" fillId="21" borderId="0" xfId="2" applyNumberFormat="1" applyFont="1" applyFill="1" applyBorder="1" applyAlignment="1">
      <alignment horizontal="left"/>
    </xf>
    <xf numFmtId="0" fontId="59" fillId="21" borderId="0" xfId="0" applyFont="1" applyFill="1" applyBorder="1" applyAlignment="1">
      <alignment horizontal="center" vertical="center" textRotation="90"/>
    </xf>
    <xf numFmtId="164" fontId="2" fillId="21" borderId="0" xfId="2" applyFill="1" applyBorder="1" applyAlignment="1">
      <alignment horizontal="center"/>
    </xf>
    <xf numFmtId="0" fontId="82" fillId="21" borderId="0" xfId="0" applyFont="1" applyFill="1" applyBorder="1" applyAlignment="1" applyProtection="1">
      <alignment horizontal="center"/>
      <protection locked="0"/>
    </xf>
    <xf numFmtId="0" fontId="39" fillId="21" borderId="0" xfId="0" applyFont="1" applyFill="1" applyBorder="1"/>
    <xf numFmtId="164" fontId="2" fillId="21" borderId="0" xfId="2" applyFill="1" applyBorder="1" applyAlignment="1">
      <alignment horizontal="right"/>
    </xf>
    <xf numFmtId="0" fontId="2" fillId="21" borderId="0" xfId="0" applyFont="1" applyFill="1" applyBorder="1" applyAlignment="1">
      <alignment horizontal="left"/>
    </xf>
    <xf numFmtId="0" fontId="8" fillId="21" borderId="0" xfId="0" applyFont="1" applyFill="1" applyBorder="1"/>
    <xf numFmtId="164" fontId="8" fillId="21" borderId="0" xfId="2" applyFont="1" applyFill="1" applyBorder="1" applyAlignment="1">
      <alignment horizontal="center"/>
    </xf>
    <xf numFmtId="0" fontId="84" fillId="0" borderId="38" xfId="0" applyFont="1" applyBorder="1" applyAlignment="1">
      <alignment horizontal="center"/>
    </xf>
    <xf numFmtId="0" fontId="84" fillId="0" borderId="39" xfId="0" applyFont="1" applyBorder="1" applyAlignment="1">
      <alignment horizontal="center"/>
    </xf>
    <xf numFmtId="0" fontId="84" fillId="0" borderId="40" xfId="0" applyFont="1" applyBorder="1" applyAlignment="1">
      <alignment horizontal="center"/>
    </xf>
    <xf numFmtId="0" fontId="80" fillId="20" borderId="33" xfId="0" applyFont="1" applyFill="1" applyBorder="1" applyAlignment="1">
      <alignment horizontal="center"/>
    </xf>
    <xf numFmtId="0" fontId="80" fillId="20" borderId="34" xfId="0" applyFont="1" applyFill="1" applyBorder="1" applyAlignment="1">
      <alignment horizontal="center"/>
    </xf>
    <xf numFmtId="0" fontId="80" fillId="20" borderId="35" xfId="0" applyFont="1" applyFill="1" applyBorder="1" applyAlignment="1">
      <alignment horizontal="center"/>
    </xf>
    <xf numFmtId="0" fontId="85" fillId="11" borderId="27" xfId="0" applyFont="1" applyFill="1" applyBorder="1" applyAlignment="1">
      <alignment horizontal="center" vertical="center" wrapText="1"/>
    </xf>
    <xf numFmtId="0" fontId="85" fillId="11" borderId="28" xfId="0" applyFont="1" applyFill="1" applyBorder="1" applyAlignment="1">
      <alignment horizontal="center" vertical="center" wrapText="1"/>
    </xf>
    <xf numFmtId="0" fontId="85" fillId="11" borderId="3" xfId="0" applyFont="1" applyFill="1" applyBorder="1" applyAlignment="1">
      <alignment horizontal="center" vertical="center" wrapText="1"/>
    </xf>
    <xf numFmtId="0" fontId="85" fillId="11" borderId="4" xfId="0" applyFont="1" applyFill="1" applyBorder="1" applyAlignment="1">
      <alignment horizontal="center" vertical="center" wrapText="1"/>
    </xf>
    <xf numFmtId="0" fontId="85" fillId="11" borderId="29" xfId="0" applyFont="1" applyFill="1" applyBorder="1" applyAlignment="1">
      <alignment horizontal="center" vertical="center" wrapText="1"/>
    </xf>
    <xf numFmtId="169" fontId="80" fillId="0" borderId="102" xfId="2" applyNumberFormat="1" applyFont="1" applyBorder="1" applyAlignment="1">
      <alignment horizontal="center"/>
    </xf>
    <xf numFmtId="169" fontId="80" fillId="0" borderId="39" xfId="2" applyNumberFormat="1" applyFont="1" applyBorder="1" applyAlignment="1">
      <alignment horizontal="center"/>
    </xf>
    <xf numFmtId="0" fontId="83" fillId="21" borderId="102" xfId="0" applyFont="1" applyFill="1" applyBorder="1" applyAlignment="1" applyProtection="1">
      <alignment horizontal="center"/>
      <protection locked="0"/>
    </xf>
    <xf numFmtId="0" fontId="83" fillId="21" borderId="103" xfId="0" applyFont="1" applyFill="1" applyBorder="1" applyAlignment="1" applyProtection="1">
      <alignment horizontal="center"/>
      <protection locked="0"/>
    </xf>
    <xf numFmtId="169" fontId="80" fillId="0" borderId="103" xfId="2" applyNumberFormat="1" applyFont="1" applyBorder="1" applyAlignment="1">
      <alignment horizontal="center"/>
    </xf>
    <xf numFmtId="0" fontId="84" fillId="21" borderId="0" xfId="0" applyFont="1" applyFill="1" applyAlignment="1">
      <alignment horizontal="center"/>
    </xf>
    <xf numFmtId="169" fontId="80" fillId="0" borderId="63" xfId="2" applyNumberFormat="1" applyFont="1" applyBorder="1" applyAlignment="1">
      <alignment horizontal="center"/>
    </xf>
    <xf numFmtId="169" fontId="80" fillId="0" borderId="124" xfId="2" applyNumberFormat="1" applyFont="1" applyBorder="1" applyAlignment="1">
      <alignment horizontal="center"/>
    </xf>
    <xf numFmtId="0" fontId="83" fillId="21" borderId="63" xfId="0" applyFont="1" applyFill="1" applyBorder="1" applyAlignment="1" applyProtection="1">
      <alignment horizontal="center"/>
      <protection locked="0"/>
    </xf>
    <xf numFmtId="0" fontId="83" fillId="21" borderId="88" xfId="0" applyFont="1" applyFill="1" applyBorder="1" applyAlignment="1" applyProtection="1">
      <alignment horizontal="center"/>
      <protection locked="0"/>
    </xf>
    <xf numFmtId="0" fontId="84" fillId="0" borderId="33" xfId="0" applyFont="1" applyBorder="1" applyAlignment="1">
      <alignment horizontal="center"/>
    </xf>
    <xf numFmtId="0" fontId="84" fillId="0" borderId="34" xfId="0" applyFont="1" applyBorder="1" applyAlignment="1">
      <alignment horizontal="center"/>
    </xf>
    <xf numFmtId="0" fontId="84" fillId="0" borderId="35" xfId="0" applyFont="1" applyBorder="1" applyAlignment="1">
      <alignment horizontal="center"/>
    </xf>
    <xf numFmtId="0" fontId="80" fillId="20" borderId="60" xfId="0" applyFont="1" applyFill="1" applyBorder="1" applyAlignment="1">
      <alignment horizontal="center"/>
    </xf>
    <xf numFmtId="0" fontId="80" fillId="20" borderId="61" xfId="0" applyFont="1" applyFill="1" applyBorder="1" applyAlignment="1">
      <alignment horizontal="center"/>
    </xf>
    <xf numFmtId="0" fontId="80" fillId="20" borderId="62" xfId="0" applyFont="1" applyFill="1" applyBorder="1" applyAlignment="1">
      <alignment horizontal="center"/>
    </xf>
    <xf numFmtId="169" fontId="80" fillId="0" borderId="38" xfId="2" applyNumberFormat="1" applyFont="1" applyBorder="1" applyAlignment="1">
      <alignment horizontal="center"/>
    </xf>
    <xf numFmtId="0" fontId="83" fillId="21" borderId="47" xfId="0" applyFont="1" applyFill="1" applyBorder="1" applyAlignment="1" applyProtection="1">
      <alignment horizontal="center"/>
      <protection locked="0"/>
    </xf>
    <xf numFmtId="0" fontId="83" fillId="21" borderId="49" xfId="0" applyFont="1" applyFill="1" applyBorder="1" applyAlignment="1" applyProtection="1">
      <alignment horizontal="center"/>
      <protection locked="0"/>
    </xf>
    <xf numFmtId="0" fontId="85" fillId="11" borderId="5" xfId="0" applyFont="1" applyFill="1" applyBorder="1" applyAlignment="1">
      <alignment horizontal="center" vertical="center" wrapText="1"/>
    </xf>
    <xf numFmtId="0" fontId="85" fillId="11" borderId="0" xfId="0" applyFont="1" applyFill="1" applyAlignment="1">
      <alignment horizontal="center" vertical="center" wrapText="1"/>
    </xf>
    <xf numFmtId="0" fontId="85" fillId="11" borderId="6" xfId="0" applyFont="1" applyFill="1" applyBorder="1" applyAlignment="1">
      <alignment horizontal="center" vertical="center" wrapText="1"/>
    </xf>
    <xf numFmtId="169" fontId="80" fillId="0" borderId="115" xfId="2" applyNumberFormat="1" applyFont="1" applyBorder="1" applyAlignment="1">
      <alignment horizontal="center"/>
    </xf>
    <xf numFmtId="169" fontId="80" fillId="0" borderId="87" xfId="2" applyNumberFormat="1" applyFont="1" applyBorder="1" applyAlignment="1">
      <alignment horizontal="center"/>
    </xf>
    <xf numFmtId="0" fontId="80" fillId="21" borderId="0" xfId="0" applyFont="1" applyFill="1" applyAlignment="1">
      <alignment horizontal="center"/>
    </xf>
    <xf numFmtId="0" fontId="84" fillId="0" borderId="36" xfId="0" applyFont="1" applyBorder="1" applyAlignment="1">
      <alignment horizontal="center"/>
    </xf>
    <xf numFmtId="0" fontId="84" fillId="0" borderId="0" xfId="0" applyFont="1" applyAlignment="1">
      <alignment horizontal="center"/>
    </xf>
    <xf numFmtId="0" fontId="84" fillId="0" borderId="37" xfId="0" applyFont="1" applyBorder="1" applyAlignment="1">
      <alignment horizontal="center"/>
    </xf>
    <xf numFmtId="169" fontId="80" fillId="0" borderId="73" xfId="2" applyNumberFormat="1" applyFont="1" applyBorder="1" applyAlignment="1">
      <alignment horizontal="center"/>
    </xf>
    <xf numFmtId="169" fontId="80" fillId="0" borderId="74" xfId="2" applyNumberFormat="1" applyFont="1" applyBorder="1" applyAlignment="1">
      <alignment horizontal="center"/>
    </xf>
    <xf numFmtId="0" fontId="83" fillId="21" borderId="80" xfId="0" applyFont="1" applyFill="1" applyBorder="1" applyAlignment="1" applyProtection="1">
      <alignment horizontal="center"/>
      <protection locked="0"/>
    </xf>
    <xf numFmtId="0" fontId="83" fillId="21" borderId="77" xfId="0" applyFont="1" applyFill="1" applyBorder="1" applyAlignment="1" applyProtection="1">
      <alignment horizontal="center"/>
      <protection locked="0"/>
    </xf>
    <xf numFmtId="0" fontId="85" fillId="11" borderId="27" xfId="0" applyFont="1" applyFill="1" applyBorder="1" applyAlignment="1">
      <alignment horizontal="center" wrapText="1"/>
    </xf>
    <xf numFmtId="0" fontId="85" fillId="11" borderId="28" xfId="0" applyFont="1" applyFill="1" applyBorder="1" applyAlignment="1">
      <alignment horizontal="center" wrapText="1"/>
    </xf>
    <xf numFmtId="0" fontId="85" fillId="11" borderId="29" xfId="0" applyFont="1" applyFill="1" applyBorder="1" applyAlignment="1">
      <alignment horizontal="center" wrapText="1"/>
    </xf>
    <xf numFmtId="0" fontId="84" fillId="0" borderId="31" xfId="0" applyFont="1" applyBorder="1" applyAlignment="1">
      <alignment horizontal="center"/>
    </xf>
    <xf numFmtId="0" fontId="83" fillId="21" borderId="6" xfId="0" applyFont="1" applyFill="1" applyBorder="1" applyAlignment="1" applyProtection="1">
      <alignment horizontal="center"/>
      <protection locked="0"/>
    </xf>
    <xf numFmtId="0" fontId="83" fillId="21" borderId="104" xfId="0" applyFont="1" applyFill="1" applyBorder="1" applyAlignment="1" applyProtection="1">
      <alignment horizontal="center"/>
      <protection locked="0"/>
    </xf>
    <xf numFmtId="0" fontId="83" fillId="21" borderId="71" xfId="0" applyFont="1" applyFill="1" applyBorder="1" applyAlignment="1" applyProtection="1">
      <alignment horizontal="center"/>
      <protection locked="0"/>
    </xf>
    <xf numFmtId="0" fontId="83" fillId="21" borderId="114" xfId="0" applyFont="1" applyFill="1" applyBorder="1" applyAlignment="1" applyProtection="1">
      <alignment horizontal="center"/>
      <protection locked="0"/>
    </xf>
    <xf numFmtId="0" fontId="80" fillId="20" borderId="36" xfId="0" applyFont="1" applyFill="1" applyBorder="1" applyAlignment="1">
      <alignment horizontal="center"/>
    </xf>
    <xf numFmtId="0" fontId="80" fillId="20" borderId="0" xfId="0" applyFont="1" applyFill="1" applyAlignment="1">
      <alignment horizontal="center"/>
    </xf>
    <xf numFmtId="0" fontId="80" fillId="20" borderId="37" xfId="0" applyFont="1" applyFill="1" applyBorder="1" applyAlignment="1">
      <alignment horizontal="center"/>
    </xf>
    <xf numFmtId="169" fontId="101" fillId="23" borderId="0" xfId="0" applyNumberFormat="1" applyFont="1" applyFill="1" applyAlignment="1">
      <alignment horizontal="center" vertical="center"/>
    </xf>
    <xf numFmtId="0" fontId="80" fillId="20" borderId="57" xfId="0" applyFont="1" applyFill="1" applyBorder="1" applyAlignment="1">
      <alignment horizontal="center"/>
    </xf>
    <xf numFmtId="0" fontId="80" fillId="20" borderId="58" xfId="0" applyFont="1" applyFill="1" applyBorder="1" applyAlignment="1">
      <alignment horizontal="center"/>
    </xf>
    <xf numFmtId="0" fontId="80" fillId="20" borderId="59" xfId="0" applyFont="1" applyFill="1" applyBorder="1" applyAlignment="1">
      <alignment horizontal="center"/>
    </xf>
    <xf numFmtId="169" fontId="80" fillId="0" borderId="60" xfId="2" applyNumberFormat="1" applyFont="1" applyBorder="1" applyAlignment="1">
      <alignment horizontal="center"/>
    </xf>
    <xf numFmtId="169" fontId="80" fillId="0" borderId="62" xfId="2" applyNumberFormat="1" applyFont="1" applyBorder="1" applyAlignment="1">
      <alignment horizontal="center"/>
    </xf>
    <xf numFmtId="169" fontId="80" fillId="0" borderId="57" xfId="2" applyNumberFormat="1" applyFont="1" applyBorder="1" applyAlignment="1">
      <alignment horizontal="center"/>
    </xf>
    <xf numFmtId="169" fontId="80" fillId="0" borderId="106" xfId="2" applyNumberFormat="1" applyFont="1" applyBorder="1" applyAlignment="1">
      <alignment horizontal="center"/>
    </xf>
    <xf numFmtId="0" fontId="85" fillId="11" borderId="7" xfId="0" applyFont="1" applyFill="1" applyBorder="1" applyAlignment="1">
      <alignment horizontal="center" wrapText="1"/>
    </xf>
    <xf numFmtId="0" fontId="85" fillId="11" borderId="23" xfId="0" applyFont="1" applyFill="1" applyBorder="1" applyAlignment="1">
      <alignment horizontal="center" wrapText="1"/>
    </xf>
    <xf numFmtId="0" fontId="85" fillId="11" borderId="3" xfId="0" applyFont="1" applyFill="1" applyBorder="1" applyAlignment="1">
      <alignment horizontal="center" wrapText="1"/>
    </xf>
    <xf numFmtId="0" fontId="85" fillId="11" borderId="4" xfId="0" applyFont="1" applyFill="1" applyBorder="1" applyAlignment="1">
      <alignment horizontal="center" wrapText="1"/>
    </xf>
    <xf numFmtId="0" fontId="83" fillId="21" borderId="125" xfId="0" applyFont="1" applyFill="1" applyBorder="1" applyAlignment="1" applyProtection="1">
      <alignment horizontal="center"/>
      <protection locked="0"/>
    </xf>
    <xf numFmtId="0" fontId="83" fillId="21" borderId="126" xfId="0" applyFont="1" applyFill="1" applyBorder="1" applyAlignment="1" applyProtection="1">
      <alignment horizontal="center"/>
      <protection locked="0"/>
    </xf>
    <xf numFmtId="0" fontId="76" fillId="11" borderId="0" xfId="4" applyFont="1" applyFill="1" applyAlignment="1" applyProtection="1">
      <alignment horizontal="center" vertical="center"/>
    </xf>
    <xf numFmtId="169" fontId="80" fillId="0" borderId="117" xfId="3" applyNumberFormat="1" applyFont="1" applyBorder="1" applyAlignment="1">
      <alignment horizontal="center"/>
    </xf>
    <xf numFmtId="169" fontId="80" fillId="0" borderId="87" xfId="3" applyNumberFormat="1" applyFont="1" applyBorder="1" applyAlignment="1">
      <alignment horizontal="center"/>
    </xf>
    <xf numFmtId="0" fontId="83" fillId="21" borderId="81" xfId="0" applyFont="1" applyFill="1" applyBorder="1" applyAlignment="1" applyProtection="1">
      <alignment horizontal="center"/>
      <protection locked="0"/>
    </xf>
    <xf numFmtId="0" fontId="83" fillId="21" borderId="67" xfId="0" applyFont="1" applyFill="1" applyBorder="1" applyAlignment="1" applyProtection="1">
      <alignment horizontal="center"/>
      <protection locked="0"/>
    </xf>
    <xf numFmtId="0" fontId="95" fillId="11" borderId="2" xfId="0" applyFont="1" applyFill="1" applyBorder="1" applyAlignment="1">
      <alignment horizontal="center" wrapText="1"/>
    </xf>
    <xf numFmtId="0" fontId="95" fillId="11" borderId="3" xfId="0" applyFont="1" applyFill="1" applyBorder="1" applyAlignment="1">
      <alignment horizontal="center" wrapText="1"/>
    </xf>
    <xf numFmtId="0" fontId="95" fillId="11" borderId="4" xfId="0" applyFont="1" applyFill="1" applyBorder="1" applyAlignment="1">
      <alignment horizontal="center" wrapText="1"/>
    </xf>
    <xf numFmtId="169" fontId="80" fillId="0" borderId="117" xfId="2" applyNumberFormat="1" applyFont="1" applyBorder="1" applyAlignment="1">
      <alignment horizontal="center"/>
    </xf>
    <xf numFmtId="0" fontId="86" fillId="21" borderId="0" xfId="0" applyFont="1" applyFill="1" applyAlignment="1" applyProtection="1">
      <alignment horizontal="center"/>
      <protection locked="0"/>
    </xf>
    <xf numFmtId="0" fontId="80" fillId="20" borderId="96" xfId="0" applyFont="1" applyFill="1" applyBorder="1" applyAlignment="1">
      <alignment horizontal="center"/>
    </xf>
    <xf numFmtId="0" fontId="80" fillId="20" borderId="24" xfId="0" applyFont="1" applyFill="1" applyBorder="1" applyAlignment="1">
      <alignment horizontal="center"/>
    </xf>
    <xf numFmtId="0" fontId="80" fillId="20" borderId="97" xfId="0" applyFont="1" applyFill="1" applyBorder="1" applyAlignment="1">
      <alignment horizontal="center"/>
    </xf>
    <xf numFmtId="0" fontId="84" fillId="0" borderId="33" xfId="0" applyFont="1" applyBorder="1" applyAlignment="1">
      <alignment horizontal="center" wrapText="1"/>
    </xf>
    <xf numFmtId="0" fontId="84" fillId="0" borderId="34" xfId="0" applyFont="1" applyBorder="1" applyAlignment="1">
      <alignment horizontal="center" wrapText="1"/>
    </xf>
    <xf numFmtId="0" fontId="84" fillId="0" borderId="35" xfId="0" applyFont="1" applyBorder="1" applyAlignment="1">
      <alignment horizontal="center" wrapText="1"/>
    </xf>
    <xf numFmtId="0" fontId="84" fillId="0" borderId="36" xfId="0" applyFont="1" applyBorder="1" applyAlignment="1">
      <alignment horizontal="center" wrapText="1"/>
    </xf>
    <xf numFmtId="0" fontId="84" fillId="0" borderId="0" xfId="0" applyFont="1" applyAlignment="1">
      <alignment horizontal="center" wrapText="1"/>
    </xf>
    <xf numFmtId="0" fontId="84" fillId="0" borderId="37" xfId="0" applyFont="1" applyBorder="1" applyAlignment="1">
      <alignment horizontal="center" wrapText="1"/>
    </xf>
    <xf numFmtId="0" fontId="84" fillId="0" borderId="38" xfId="0" applyFont="1" applyBorder="1" applyAlignment="1">
      <alignment horizontal="center" wrapText="1"/>
    </xf>
    <xf numFmtId="0" fontId="84" fillId="0" borderId="39" xfId="0" applyFont="1" applyBorder="1" applyAlignment="1">
      <alignment horizontal="center" wrapText="1"/>
    </xf>
    <xf numFmtId="0" fontId="84" fillId="0" borderId="40" xfId="0" applyFont="1" applyBorder="1" applyAlignment="1">
      <alignment horizontal="center" wrapText="1"/>
    </xf>
    <xf numFmtId="0" fontId="80" fillId="20" borderId="33" xfId="0" applyNumberFormat="1" applyFont="1" applyFill="1" applyBorder="1" applyAlignment="1" applyProtection="1">
      <alignment horizontal="center"/>
    </xf>
    <xf numFmtId="0" fontId="80" fillId="20" borderId="34" xfId="0" applyNumberFormat="1" applyFont="1" applyFill="1" applyBorder="1" applyAlignment="1" applyProtection="1">
      <alignment horizontal="center"/>
    </xf>
    <xf numFmtId="0" fontId="80" fillId="20" borderId="35" xfId="0" applyNumberFormat="1" applyFont="1" applyFill="1" applyBorder="1" applyAlignment="1" applyProtection="1">
      <alignment horizontal="center"/>
    </xf>
    <xf numFmtId="0" fontId="85" fillId="11" borderId="27" xfId="0" applyFont="1" applyFill="1" applyBorder="1" applyAlignment="1" applyProtection="1">
      <alignment horizontal="center" vertical="center" wrapText="1"/>
    </xf>
    <xf numFmtId="0" fontId="85" fillId="11" borderId="28" xfId="0" applyFont="1" applyFill="1" applyBorder="1" applyAlignment="1" applyProtection="1">
      <alignment horizontal="center" vertical="center" wrapText="1"/>
    </xf>
    <xf numFmtId="0" fontId="85" fillId="11" borderId="3" xfId="0" applyFont="1" applyFill="1" applyBorder="1" applyAlignment="1" applyProtection="1">
      <alignment horizontal="center" vertical="center" wrapText="1"/>
    </xf>
    <xf numFmtId="0" fontId="85" fillId="11" borderId="4" xfId="0" applyFont="1" applyFill="1" applyBorder="1" applyAlignment="1" applyProtection="1">
      <alignment horizontal="center" vertical="center" wrapText="1"/>
    </xf>
    <xf numFmtId="169" fontId="80" fillId="0" borderId="38" xfId="2" applyNumberFormat="1" applyFont="1" applyFill="1" applyBorder="1" applyAlignment="1" applyProtection="1">
      <alignment horizontal="center"/>
    </xf>
    <xf numFmtId="169" fontId="80" fillId="0" borderId="39" xfId="2" applyNumberFormat="1" applyFont="1" applyFill="1" applyBorder="1" applyAlignment="1" applyProtection="1">
      <alignment horizontal="center"/>
    </xf>
    <xf numFmtId="0" fontId="84" fillId="6" borderId="33" xfId="0" applyNumberFormat="1" applyFont="1" applyFill="1" applyBorder="1" applyAlignment="1" applyProtection="1">
      <alignment horizontal="center"/>
    </xf>
    <xf numFmtId="0" fontId="84" fillId="6" borderId="34" xfId="0" applyNumberFormat="1" applyFont="1" applyFill="1" applyBorder="1" applyAlignment="1" applyProtection="1">
      <alignment horizontal="center"/>
    </xf>
    <xf numFmtId="0" fontId="84" fillId="6" borderId="35" xfId="0" applyNumberFormat="1" applyFont="1" applyFill="1" applyBorder="1" applyAlignment="1" applyProtection="1">
      <alignment horizontal="center"/>
    </xf>
    <xf numFmtId="0" fontId="84" fillId="6" borderId="36" xfId="0" applyNumberFormat="1" applyFont="1" applyFill="1" applyBorder="1" applyAlignment="1" applyProtection="1">
      <alignment horizontal="center"/>
    </xf>
    <xf numFmtId="0" fontId="84" fillId="6" borderId="0" xfId="0" applyNumberFormat="1" applyFont="1" applyFill="1" applyBorder="1" applyAlignment="1" applyProtection="1">
      <alignment horizontal="center"/>
    </xf>
    <xf numFmtId="0" fontId="84" fillId="6" borderId="37" xfId="0" applyNumberFormat="1" applyFont="1" applyFill="1" applyBorder="1" applyAlignment="1" applyProtection="1">
      <alignment horizontal="center"/>
    </xf>
    <xf numFmtId="0" fontId="84" fillId="6" borderId="38" xfId="0" applyNumberFormat="1" applyFont="1" applyFill="1" applyBorder="1" applyAlignment="1" applyProtection="1">
      <alignment horizontal="center"/>
    </xf>
    <xf numFmtId="0" fontId="84" fillId="6" borderId="39" xfId="0" applyNumberFormat="1" applyFont="1" applyFill="1" applyBorder="1" applyAlignment="1" applyProtection="1">
      <alignment horizontal="center"/>
    </xf>
    <xf numFmtId="0" fontId="84" fillId="6" borderId="40" xfId="0" applyNumberFormat="1" applyFont="1" applyFill="1" applyBorder="1" applyAlignment="1" applyProtection="1">
      <alignment horizontal="center"/>
    </xf>
    <xf numFmtId="0" fontId="81" fillId="0" borderId="33" xfId="0" applyFont="1" applyBorder="1" applyAlignment="1">
      <alignment horizontal="right" vertical="center" indent="1"/>
    </xf>
    <xf numFmtId="0" fontId="81" fillId="0" borderId="34" xfId="0" applyFont="1" applyBorder="1" applyAlignment="1">
      <alignment horizontal="right" vertical="center" indent="1"/>
    </xf>
    <xf numFmtId="0" fontId="81" fillId="0" borderId="35" xfId="0" applyFont="1" applyBorder="1" applyAlignment="1">
      <alignment horizontal="right" vertical="center" indent="1"/>
    </xf>
    <xf numFmtId="0" fontId="81" fillId="0" borderId="36" xfId="0" applyFont="1" applyBorder="1" applyAlignment="1">
      <alignment horizontal="right" vertical="center" indent="1"/>
    </xf>
    <xf numFmtId="0" fontId="81" fillId="0" borderId="0" xfId="0" applyFont="1" applyAlignment="1">
      <alignment horizontal="right" vertical="center" indent="1"/>
    </xf>
    <xf numFmtId="0" fontId="81" fillId="20" borderId="36" xfId="0" applyFont="1" applyFill="1" applyBorder="1" applyAlignment="1">
      <alignment horizontal="right" vertical="center" indent="1"/>
    </xf>
    <xf numFmtId="0" fontId="102" fillId="0" borderId="0" xfId="0" applyFont="1" applyAlignment="1">
      <alignment horizontal="right" vertical="center" indent="1"/>
    </xf>
    <xf numFmtId="0" fontId="102" fillId="0" borderId="95" xfId="0" applyFont="1" applyBorder="1" applyAlignment="1">
      <alignment horizontal="right" vertical="center" indent="1"/>
    </xf>
    <xf numFmtId="0" fontId="81" fillId="0" borderId="38" xfId="0" applyFont="1" applyBorder="1" applyAlignment="1">
      <alignment horizontal="right" vertical="center" indent="1"/>
    </xf>
    <xf numFmtId="0" fontId="81" fillId="0" borderId="39" xfId="0" applyFont="1" applyBorder="1" applyAlignment="1">
      <alignment horizontal="right" vertical="center" indent="1"/>
    </xf>
    <xf numFmtId="0" fontId="81" fillId="0" borderId="103" xfId="0" applyFont="1" applyBorder="1" applyAlignment="1">
      <alignment horizontal="right" vertical="center" indent="1"/>
    </xf>
    <xf numFmtId="0" fontId="81" fillId="0" borderId="47" xfId="0" applyFont="1" applyBorder="1" applyAlignment="1">
      <alignment horizontal="right" vertical="center" indent="1"/>
    </xf>
    <xf numFmtId="0" fontId="81" fillId="0" borderId="48" xfId="0" applyFont="1" applyBorder="1" applyAlignment="1">
      <alignment horizontal="right" vertical="center" indent="1"/>
    </xf>
    <xf numFmtId="0" fontId="101" fillId="23" borderId="0" xfId="0" applyFont="1" applyFill="1" applyAlignment="1">
      <alignment horizontal="right" vertical="center" indent="1"/>
    </xf>
    <xf numFmtId="0" fontId="104" fillId="23" borderId="0" xfId="0" applyFont="1" applyFill="1" applyAlignment="1">
      <alignment horizontal="right" vertical="center" indent="1"/>
    </xf>
    <xf numFmtId="0" fontId="104" fillId="23" borderId="95" xfId="0" applyFont="1" applyFill="1" applyBorder="1" applyAlignment="1">
      <alignment horizontal="right" vertical="center" indent="1"/>
    </xf>
    <xf numFmtId="0" fontId="101" fillId="11" borderId="39" xfId="0" applyFont="1" applyFill="1" applyBorder="1" applyAlignment="1">
      <alignment horizontal="center" vertical="center"/>
    </xf>
    <xf numFmtId="0" fontId="104" fillId="11" borderId="39" xfId="0" applyFont="1" applyFill="1" applyBorder="1" applyAlignment="1">
      <alignment horizontal="center" vertical="center"/>
    </xf>
    <xf numFmtId="0" fontId="109" fillId="21" borderId="0" xfId="0" applyFont="1" applyFill="1" applyAlignment="1">
      <alignment horizontal="left" vertical="top" wrapText="1" indent="4"/>
    </xf>
    <xf numFmtId="0" fontId="110" fillId="21" borderId="0" xfId="0" applyFont="1" applyFill="1" applyAlignment="1">
      <alignment horizontal="left" wrapText="1" indent="4"/>
    </xf>
    <xf numFmtId="49" fontId="111" fillId="21" borderId="0" xfId="0" applyNumberFormat="1" applyFont="1" applyFill="1" applyAlignment="1">
      <alignment horizontal="left" vertical="top" wrapText="1" indent="4"/>
    </xf>
    <xf numFmtId="0" fontId="109" fillId="21" borderId="0" xfId="0" applyFont="1" applyFill="1" applyAlignment="1">
      <alignment horizontal="left" vertical="top" wrapText="1" indent="4" shrinkToFit="1" readingOrder="1"/>
    </xf>
    <xf numFmtId="0" fontId="110" fillId="21" borderId="0" xfId="0" applyFont="1" applyFill="1" applyAlignment="1">
      <alignment horizontal="left" wrapText="1" indent="4" readingOrder="1"/>
    </xf>
    <xf numFmtId="49" fontId="109" fillId="21" borderId="0" xfId="0" applyNumberFormat="1" applyFont="1" applyFill="1" applyAlignment="1">
      <alignment horizontal="left" vertical="top" wrapText="1" indent="4"/>
    </xf>
    <xf numFmtId="0" fontId="110" fillId="21" borderId="0" xfId="0" applyFont="1" applyFill="1" applyAlignment="1">
      <alignment horizontal="left" vertical="top" wrapText="1" indent="4"/>
    </xf>
    <xf numFmtId="0" fontId="102" fillId="21" borderId="47" xfId="0" applyFont="1" applyFill="1" applyBorder="1" applyAlignment="1" applyProtection="1">
      <alignment horizontal="center" vertical="center"/>
      <protection locked="0"/>
    </xf>
    <xf numFmtId="0" fontId="102" fillId="21" borderId="48" xfId="0" applyFont="1" applyFill="1" applyBorder="1" applyAlignment="1" applyProtection="1">
      <alignment horizontal="center" vertical="center"/>
      <protection locked="0"/>
    </xf>
    <xf numFmtId="0" fontId="102" fillId="21" borderId="49" xfId="0" applyFont="1" applyFill="1" applyBorder="1" applyAlignment="1" applyProtection="1">
      <alignment horizontal="center" vertical="center"/>
      <protection locked="0"/>
    </xf>
    <xf numFmtId="0" fontId="5" fillId="21" borderId="47" xfId="4" applyFill="1" applyBorder="1" applyAlignment="1">
      <alignment horizontal="center" vertical="center"/>
      <protection locked="0"/>
    </xf>
    <xf numFmtId="0" fontId="102" fillId="21" borderId="48" xfId="0" applyFont="1" applyFill="1" applyBorder="1" applyAlignment="1">
      <alignment horizontal="center" vertical="center"/>
    </xf>
    <xf numFmtId="0" fontId="102" fillId="21" borderId="49" xfId="0" applyFont="1" applyFill="1" applyBorder="1" applyAlignment="1">
      <alignment horizontal="center" vertical="center"/>
    </xf>
    <xf numFmtId="0" fontId="103" fillId="21" borderId="47" xfId="0" applyFont="1" applyFill="1" applyBorder="1" applyAlignment="1" applyProtection="1">
      <alignment horizontal="left" vertical="center" indent="1"/>
      <protection locked="0"/>
    </xf>
    <xf numFmtId="0" fontId="103" fillId="21" borderId="48" xfId="0" applyFont="1" applyFill="1" applyBorder="1" applyAlignment="1" applyProtection="1">
      <alignment horizontal="left" vertical="center" indent="1"/>
      <protection locked="0"/>
    </xf>
    <xf numFmtId="0" fontId="103" fillId="21" borderId="49" xfId="0" applyFont="1" applyFill="1" applyBorder="1" applyAlignment="1" applyProtection="1">
      <alignment horizontal="left" vertical="center" indent="1"/>
      <protection locked="0"/>
    </xf>
    <xf numFmtId="0" fontId="121" fillId="21" borderId="47" xfId="0" applyFont="1" applyFill="1" applyBorder="1" applyAlignment="1" applyProtection="1">
      <alignment horizontal="center" vertical="center"/>
      <protection locked="0"/>
    </xf>
    <xf numFmtId="0" fontId="121" fillId="21" borderId="48" xfId="0" applyFont="1" applyFill="1" applyBorder="1" applyAlignment="1" applyProtection="1">
      <alignment horizontal="center" vertical="center"/>
      <protection locked="0"/>
    </xf>
    <xf numFmtId="0" fontId="121" fillId="21" borderId="49" xfId="0" applyFont="1" applyFill="1" applyBorder="1" applyAlignment="1" applyProtection="1">
      <alignment horizontal="center" vertical="center"/>
      <protection locked="0"/>
    </xf>
    <xf numFmtId="0" fontId="122" fillId="21" borderId="47" xfId="0" applyFont="1" applyFill="1" applyBorder="1" applyAlignment="1" applyProtection="1">
      <alignment horizontal="center" vertical="center"/>
      <protection locked="0"/>
    </xf>
    <xf numFmtId="0" fontId="122" fillId="21" borderId="48" xfId="0" applyFont="1" applyFill="1" applyBorder="1" applyAlignment="1">
      <alignment horizontal="center" vertical="center"/>
    </xf>
    <xf numFmtId="0" fontId="122" fillId="21" borderId="49" xfId="0" applyFont="1" applyFill="1" applyBorder="1" applyAlignment="1">
      <alignment horizontal="center" vertical="center"/>
    </xf>
    <xf numFmtId="0" fontId="81" fillId="0" borderId="49" xfId="0" applyFont="1" applyBorder="1" applyAlignment="1">
      <alignment horizontal="right" vertical="center" indent="1"/>
    </xf>
    <xf numFmtId="0" fontId="36" fillId="0" borderId="0" xfId="0" applyFont="1" applyAlignment="1">
      <alignment horizontal="center" vertical="center"/>
    </xf>
    <xf numFmtId="0" fontId="80" fillId="20" borderId="41" xfId="0" applyFont="1" applyFill="1" applyBorder="1" applyAlignment="1">
      <alignment horizontal="center" vertical="center"/>
    </xf>
    <xf numFmtId="0" fontId="84" fillId="20" borderId="42" xfId="0" applyFont="1" applyFill="1" applyBorder="1" applyAlignment="1">
      <alignment horizontal="center" vertical="center"/>
    </xf>
    <xf numFmtId="0" fontId="84" fillId="0" borderId="45" xfId="0" applyFont="1" applyBorder="1" applyAlignment="1">
      <alignment horizontal="center" vertical="center"/>
    </xf>
    <xf numFmtId="0" fontId="84" fillId="0" borderId="46" xfId="0" applyFont="1" applyBorder="1" applyAlignment="1">
      <alignment horizontal="center" vertical="center"/>
    </xf>
    <xf numFmtId="0" fontId="80" fillId="20" borderId="43" xfId="0" applyFont="1" applyFill="1" applyBorder="1" applyAlignment="1">
      <alignment horizontal="center"/>
    </xf>
    <xf numFmtId="0" fontId="80" fillId="20" borderId="44" xfId="0" applyFont="1" applyFill="1" applyBorder="1" applyAlignment="1">
      <alignment horizontal="center"/>
    </xf>
    <xf numFmtId="0" fontId="80" fillId="20" borderId="51" xfId="0" applyFont="1" applyFill="1" applyBorder="1" applyAlignment="1">
      <alignment horizontal="center"/>
    </xf>
    <xf numFmtId="169" fontId="84" fillId="0" borderId="57" xfId="2" applyNumberFormat="1" applyFont="1" applyBorder="1" applyAlignment="1">
      <alignment horizontal="center"/>
    </xf>
    <xf numFmtId="169" fontId="84" fillId="0" borderId="59" xfId="2" applyNumberFormat="1" applyFont="1" applyBorder="1" applyAlignment="1">
      <alignment horizontal="center"/>
    </xf>
    <xf numFmtId="0" fontId="80" fillId="20" borderId="64" xfId="0" applyFont="1" applyFill="1" applyBorder="1" applyAlignment="1">
      <alignment horizontal="center"/>
    </xf>
    <xf numFmtId="0" fontId="80" fillId="20" borderId="65" xfId="0" applyFont="1" applyFill="1" applyBorder="1" applyAlignment="1">
      <alignment horizontal="center"/>
    </xf>
    <xf numFmtId="0" fontId="80" fillId="20" borderId="66" xfId="0" applyFont="1" applyFill="1" applyBorder="1" applyAlignment="1">
      <alignment horizontal="center"/>
    </xf>
    <xf numFmtId="0" fontId="84" fillId="0" borderId="33" xfId="0" applyFont="1" applyBorder="1" applyAlignment="1">
      <alignment horizontal="center" vertical="center"/>
    </xf>
    <xf numFmtId="0" fontId="84" fillId="0" borderId="34" xfId="0" applyFont="1" applyBorder="1" applyAlignment="1">
      <alignment horizontal="center" vertical="center"/>
    </xf>
    <xf numFmtId="0" fontId="84" fillId="0" borderId="35" xfId="0" applyFont="1" applyBorder="1" applyAlignment="1">
      <alignment horizontal="center" vertical="center"/>
    </xf>
    <xf numFmtId="0" fontId="84" fillId="0" borderId="36" xfId="0" applyFont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84" fillId="0" borderId="37" xfId="0" applyFont="1" applyBorder="1" applyAlignment="1">
      <alignment horizontal="center" vertical="center"/>
    </xf>
    <xf numFmtId="0" fontId="84" fillId="0" borderId="84" xfId="0" applyFont="1" applyBorder="1" applyAlignment="1">
      <alignment horizontal="center" vertical="center"/>
    </xf>
    <xf numFmtId="0" fontId="84" fillId="0" borderId="76" xfId="0" applyFont="1" applyBorder="1" applyAlignment="1">
      <alignment horizontal="center" vertical="center"/>
    </xf>
    <xf numFmtId="0" fontId="84" fillId="0" borderId="85" xfId="0" applyFont="1" applyBorder="1" applyAlignment="1">
      <alignment horizontal="center" vertical="center"/>
    </xf>
    <xf numFmtId="0" fontId="84" fillId="0" borderId="84" xfId="0" applyFont="1" applyBorder="1" applyAlignment="1">
      <alignment horizontal="center"/>
    </xf>
    <xf numFmtId="0" fontId="84" fillId="0" borderId="76" xfId="0" applyFont="1" applyBorder="1" applyAlignment="1">
      <alignment horizontal="center"/>
    </xf>
    <xf numFmtId="0" fontId="84" fillId="0" borderId="85" xfId="0" applyFont="1" applyBorder="1" applyAlignment="1">
      <alignment horizontal="center"/>
    </xf>
    <xf numFmtId="0" fontId="76" fillId="11" borderId="0" xfId="4" applyFont="1" applyFill="1" applyBorder="1" applyAlignment="1" applyProtection="1">
      <alignment horizontal="center" vertical="center"/>
    </xf>
    <xf numFmtId="169" fontId="80" fillId="0" borderId="40" xfId="2" applyNumberFormat="1" applyFont="1" applyBorder="1" applyAlignment="1">
      <alignment horizontal="center"/>
    </xf>
    <xf numFmtId="0" fontId="83" fillId="21" borderId="0" xfId="0" applyFont="1" applyFill="1" applyAlignment="1" applyProtection="1">
      <alignment horizontal="center"/>
      <protection locked="0"/>
    </xf>
    <xf numFmtId="0" fontId="83" fillId="21" borderId="95" xfId="0" applyFont="1" applyFill="1" applyBorder="1" applyAlignment="1" applyProtection="1">
      <alignment horizontal="center"/>
      <protection locked="0"/>
    </xf>
    <xf numFmtId="0" fontId="80" fillId="20" borderId="42" xfId="0" applyFont="1" applyFill="1" applyBorder="1" applyAlignment="1">
      <alignment horizontal="center" vertical="center"/>
    </xf>
    <xf numFmtId="0" fontId="84" fillId="20" borderId="45" xfId="0" applyFont="1" applyFill="1" applyBorder="1" applyAlignment="1">
      <alignment horizontal="center" vertical="center"/>
    </xf>
    <xf numFmtId="0" fontId="84" fillId="20" borderId="46" xfId="0" applyFont="1" applyFill="1" applyBorder="1" applyAlignment="1">
      <alignment horizontal="center" vertical="center"/>
    </xf>
    <xf numFmtId="0" fontId="81" fillId="6" borderId="0" xfId="0" applyFont="1" applyFill="1" applyAlignment="1">
      <alignment horizontal="center" vertical="center" textRotation="90"/>
    </xf>
    <xf numFmtId="0" fontId="74" fillId="11" borderId="27" xfId="0" applyFont="1" applyFill="1" applyBorder="1" applyAlignment="1">
      <alignment horizontal="center" vertical="center" wrapText="1"/>
    </xf>
    <xf numFmtId="0" fontId="74" fillId="11" borderId="28" xfId="0" applyFont="1" applyFill="1" applyBorder="1" applyAlignment="1">
      <alignment horizontal="center" vertical="center" wrapText="1"/>
    </xf>
    <xf numFmtId="0" fontId="74" fillId="11" borderId="29" xfId="0" applyFont="1" applyFill="1" applyBorder="1" applyAlignment="1">
      <alignment horizontal="center" vertical="center" wrapText="1"/>
    </xf>
    <xf numFmtId="169" fontId="101" fillId="23" borderId="69" xfId="2" applyNumberFormat="1" applyFont="1" applyFill="1" applyBorder="1" applyAlignment="1">
      <alignment horizontal="right" vertical="center"/>
    </xf>
    <xf numFmtId="169" fontId="101" fillId="23" borderId="48" xfId="0" applyNumberFormat="1" applyFont="1" applyFill="1" applyBorder="1" applyAlignment="1">
      <alignment horizontal="right" vertical="center"/>
    </xf>
    <xf numFmtId="169" fontId="101" fillId="23" borderId="70" xfId="0" applyNumberFormat="1" applyFont="1" applyFill="1" applyBorder="1" applyAlignment="1">
      <alignment horizontal="right" vertical="center"/>
    </xf>
    <xf numFmtId="169" fontId="105" fillId="21" borderId="69" xfId="2" applyNumberFormat="1" applyFont="1" applyFill="1" applyBorder="1" applyAlignment="1" applyProtection="1">
      <alignment horizontal="right" vertical="center"/>
      <protection locked="0"/>
    </xf>
    <xf numFmtId="169" fontId="105" fillId="21" borderId="48" xfId="2" applyNumberFormat="1" applyFont="1" applyFill="1" applyBorder="1" applyAlignment="1">
      <alignment horizontal="right" vertical="center"/>
    </xf>
    <xf numFmtId="169" fontId="105" fillId="21" borderId="70" xfId="2" applyNumberFormat="1" applyFont="1" applyFill="1" applyBorder="1" applyAlignment="1">
      <alignment horizontal="right" vertical="center"/>
    </xf>
    <xf numFmtId="169" fontId="102" fillId="21" borderId="47" xfId="2" applyNumberFormat="1" applyFont="1" applyFill="1" applyBorder="1" applyAlignment="1" applyProtection="1">
      <alignment horizontal="right" vertical="center"/>
      <protection locked="0"/>
    </xf>
    <xf numFmtId="169" fontId="102" fillId="21" borderId="48" xfId="0" applyNumberFormat="1" applyFont="1" applyFill="1" applyBorder="1" applyAlignment="1">
      <alignment horizontal="right" vertical="center"/>
    </xf>
    <xf numFmtId="169" fontId="102" fillId="21" borderId="49" xfId="0" applyNumberFormat="1" applyFont="1" applyFill="1" applyBorder="1" applyAlignment="1">
      <alignment horizontal="right" vertical="center"/>
    </xf>
    <xf numFmtId="169" fontId="102" fillId="21" borderId="32" xfId="2" applyNumberFormat="1" applyFont="1" applyFill="1" applyBorder="1" applyAlignment="1">
      <alignment horizontal="right" vertical="center"/>
    </xf>
    <xf numFmtId="169" fontId="102" fillId="21" borderId="32" xfId="0" applyNumberFormat="1" applyFont="1" applyFill="1" applyBorder="1" applyAlignment="1">
      <alignment horizontal="right" vertical="center"/>
    </xf>
    <xf numFmtId="0" fontId="83" fillId="21" borderId="72" xfId="0" applyFont="1" applyFill="1" applyBorder="1" applyAlignment="1" applyProtection="1">
      <alignment horizontal="center"/>
      <protection locked="0"/>
    </xf>
    <xf numFmtId="169" fontId="80" fillId="0" borderId="73" xfId="2" applyNumberFormat="1" applyFont="1" applyBorder="1" applyAlignment="1" applyProtection="1">
      <alignment horizontal="center"/>
    </xf>
    <xf numFmtId="169" fontId="80" fillId="0" borderId="74" xfId="2" applyNumberFormat="1" applyFont="1" applyBorder="1" applyAlignment="1" applyProtection="1">
      <alignment horizontal="center"/>
    </xf>
    <xf numFmtId="169" fontId="102" fillId="21" borderId="51" xfId="0" applyNumberFormat="1" applyFont="1" applyFill="1" applyBorder="1" applyAlignment="1">
      <alignment horizontal="right" vertical="center"/>
    </xf>
    <xf numFmtId="169" fontId="102" fillId="20" borderId="102" xfId="2" applyNumberFormat="1" applyFont="1" applyFill="1" applyBorder="1" applyAlignment="1">
      <alignment horizontal="right" vertical="center"/>
    </xf>
    <xf numFmtId="169" fontId="102" fillId="20" borderId="39" xfId="0" applyNumberFormat="1" applyFont="1" applyFill="1" applyBorder="1" applyAlignment="1">
      <alignment horizontal="right" vertical="center"/>
    </xf>
    <xf numFmtId="169" fontId="102" fillId="20" borderId="103" xfId="0" applyNumberFormat="1" applyFont="1" applyFill="1" applyBorder="1" applyAlignment="1">
      <alignment horizontal="right" vertical="center"/>
    </xf>
    <xf numFmtId="0" fontId="69" fillId="0" borderId="0" xfId="0" applyFont="1" applyAlignment="1">
      <alignment horizontal="center" vertical="center"/>
    </xf>
    <xf numFmtId="169" fontId="80" fillId="0" borderId="86" xfId="2" applyNumberFormat="1" applyFont="1" applyBorder="1" applyAlignment="1">
      <alignment horizontal="center"/>
    </xf>
    <xf numFmtId="0" fontId="85" fillId="11" borderId="23" xfId="0" applyFont="1" applyFill="1" applyBorder="1" applyAlignment="1">
      <alignment horizontal="center" vertical="center" wrapText="1"/>
    </xf>
    <xf numFmtId="0" fontId="85" fillId="11" borderId="27" xfId="0" applyFont="1" applyFill="1" applyBorder="1" applyAlignment="1">
      <alignment horizontal="center" wrapText="1" shrinkToFit="1"/>
    </xf>
    <xf numFmtId="0" fontId="85" fillId="11" borderId="28" xfId="0" applyFont="1" applyFill="1" applyBorder="1" applyAlignment="1">
      <alignment horizontal="center" wrapText="1" shrinkToFit="1"/>
    </xf>
    <xf numFmtId="0" fontId="85" fillId="11" borderId="29" xfId="0" applyFont="1" applyFill="1" applyBorder="1" applyAlignment="1">
      <alignment horizontal="center" wrapText="1" shrinkToFit="1"/>
    </xf>
    <xf numFmtId="0" fontId="85" fillId="11" borderId="2" xfId="0" applyFont="1" applyFill="1" applyBorder="1" applyAlignment="1">
      <alignment horizontal="center" wrapText="1"/>
    </xf>
    <xf numFmtId="169" fontId="80" fillId="21" borderId="0" xfId="2" applyNumberFormat="1" applyFont="1" applyFill="1" applyAlignment="1">
      <alignment horizontal="center"/>
    </xf>
    <xf numFmtId="169" fontId="80" fillId="6" borderId="86" xfId="2" applyNumberFormat="1" applyFont="1" applyFill="1" applyBorder="1" applyAlignment="1">
      <alignment horizontal="center"/>
    </xf>
    <xf numFmtId="169" fontId="80" fillId="6" borderId="87" xfId="2" applyNumberFormat="1" applyFont="1" applyFill="1" applyBorder="1" applyAlignment="1">
      <alignment horizontal="center"/>
    </xf>
    <xf numFmtId="0" fontId="85" fillId="11" borderId="2" xfId="0" applyFont="1" applyFill="1" applyBorder="1" applyAlignment="1">
      <alignment horizontal="center" vertical="center" wrapText="1"/>
    </xf>
    <xf numFmtId="0" fontId="80" fillId="14" borderId="89" xfId="0" applyFont="1" applyFill="1" applyBorder="1" applyAlignment="1">
      <alignment horizontal="center"/>
    </xf>
    <xf numFmtId="0" fontId="80" fillId="14" borderId="90" xfId="0" applyFont="1" applyFill="1" applyBorder="1" applyAlignment="1">
      <alignment horizontal="center"/>
    </xf>
    <xf numFmtId="0" fontId="80" fillId="14" borderId="91" xfId="0" applyFont="1" applyFill="1" applyBorder="1" applyAlignment="1">
      <alignment horizontal="center"/>
    </xf>
    <xf numFmtId="0" fontId="91" fillId="20" borderId="89" xfId="0" applyFont="1" applyFill="1" applyBorder="1" applyAlignment="1">
      <alignment horizontal="center"/>
    </xf>
    <xf numFmtId="0" fontId="92" fillId="20" borderId="90" xfId="0" applyFont="1" applyFill="1" applyBorder="1" applyAlignment="1">
      <alignment horizontal="center"/>
    </xf>
    <xf numFmtId="0" fontId="92" fillId="20" borderId="91" xfId="0" applyFont="1" applyFill="1" applyBorder="1" applyAlignment="1">
      <alignment horizontal="center"/>
    </xf>
    <xf numFmtId="0" fontId="85" fillId="11" borderId="27" xfId="0" applyFont="1" applyFill="1" applyBorder="1" applyAlignment="1">
      <alignment horizontal="center" vertical="center" wrapText="1" shrinkToFit="1"/>
    </xf>
    <xf numFmtId="0" fontId="85" fillId="11" borderId="28" xfId="0" applyFont="1" applyFill="1" applyBorder="1" applyAlignment="1">
      <alignment horizontal="center" vertical="center" wrapText="1" shrinkToFit="1"/>
    </xf>
    <xf numFmtId="0" fontId="85" fillId="11" borderId="29" xfId="0" applyFont="1" applyFill="1" applyBorder="1" applyAlignment="1">
      <alignment horizontal="center" vertical="center" wrapText="1" shrinkToFit="1"/>
    </xf>
    <xf numFmtId="0" fontId="80" fillId="20" borderId="82" xfId="0" applyFont="1" applyFill="1" applyBorder="1" applyAlignment="1">
      <alignment horizontal="center"/>
    </xf>
    <xf numFmtId="0" fontId="80" fillId="20" borderId="83" xfId="0" applyFont="1" applyFill="1" applyBorder="1" applyAlignment="1">
      <alignment horizontal="center"/>
    </xf>
    <xf numFmtId="0" fontId="80" fillId="20" borderId="78" xfId="0" applyFont="1" applyFill="1" applyBorder="1" applyAlignment="1">
      <alignment horizontal="center"/>
    </xf>
    <xf numFmtId="0" fontId="80" fillId="20" borderId="79" xfId="0" applyFont="1" applyFill="1" applyBorder="1" applyAlignment="1">
      <alignment horizontal="center"/>
    </xf>
    <xf numFmtId="0" fontId="74" fillId="11" borderId="7" xfId="0" applyFont="1" applyFill="1" applyBorder="1" applyAlignment="1">
      <alignment horizontal="center" wrapText="1"/>
    </xf>
    <xf numFmtId="0" fontId="74" fillId="11" borderId="23" xfId="0" applyFont="1" applyFill="1" applyBorder="1" applyAlignment="1">
      <alignment horizontal="center" wrapText="1"/>
    </xf>
    <xf numFmtId="169" fontId="102" fillId="21" borderId="33" xfId="2" applyNumberFormat="1" applyFont="1" applyFill="1" applyBorder="1" applyAlignment="1">
      <alignment horizontal="right" vertical="center"/>
    </xf>
    <xf numFmtId="169" fontId="102" fillId="21" borderId="34" xfId="0" applyNumberFormat="1" applyFont="1" applyFill="1" applyBorder="1" applyAlignment="1">
      <alignment horizontal="right" vertical="center"/>
    </xf>
    <xf numFmtId="169" fontId="102" fillId="21" borderId="35" xfId="0" applyNumberFormat="1" applyFont="1" applyFill="1" applyBorder="1" applyAlignment="1">
      <alignment horizontal="right" vertical="center"/>
    </xf>
    <xf numFmtId="0" fontId="85" fillId="21" borderId="0" xfId="0" applyFont="1" applyFill="1" applyAlignment="1">
      <alignment horizontal="center" vertical="center" wrapText="1"/>
    </xf>
    <xf numFmtId="0" fontId="81" fillId="0" borderId="32" xfId="0" applyFont="1" applyBorder="1" applyAlignment="1">
      <alignment horizontal="right" vertical="center" indent="1"/>
    </xf>
    <xf numFmtId="0" fontId="61" fillId="0" borderId="0" xfId="4" applyFont="1" applyAlignment="1" applyProtection="1">
      <alignment horizontal="left"/>
    </xf>
    <xf numFmtId="0" fontId="31" fillId="0" borderId="0" xfId="0" applyFont="1" applyAlignment="1">
      <alignment horizontal="center" vertical="center" textRotation="90"/>
    </xf>
    <xf numFmtId="169" fontId="80" fillId="0" borderId="50" xfId="2" applyNumberFormat="1" applyFont="1" applyBorder="1" applyAlignment="1">
      <alignment horizontal="center"/>
    </xf>
    <xf numFmtId="0" fontId="83" fillId="21" borderId="32" xfId="0" applyFont="1" applyFill="1" applyBorder="1" applyAlignment="1" applyProtection="1">
      <alignment horizontal="center"/>
      <protection locked="0"/>
    </xf>
    <xf numFmtId="0" fontId="76" fillId="11" borderId="26" xfId="4" applyFont="1" applyFill="1" applyBorder="1" applyAlignment="1" applyProtection="1">
      <alignment horizontal="center" vertical="center"/>
    </xf>
    <xf numFmtId="0" fontId="76" fillId="11" borderId="0" xfId="4" applyFont="1" applyFill="1" applyAlignment="1" applyProtection="1">
      <alignment horizontal="center" vertical="center" wrapText="1"/>
    </xf>
    <xf numFmtId="0" fontId="80" fillId="20" borderId="47" xfId="0" applyFont="1" applyFill="1" applyBorder="1" applyAlignment="1">
      <alignment horizontal="center"/>
    </xf>
    <xf numFmtId="0" fontId="80" fillId="20" borderId="48" xfId="0" applyFont="1" applyFill="1" applyBorder="1" applyAlignment="1">
      <alignment horizontal="center"/>
    </xf>
    <xf numFmtId="0" fontId="80" fillId="20" borderId="49" xfId="0" applyFont="1" applyFill="1" applyBorder="1" applyAlignment="1">
      <alignment horizontal="center"/>
    </xf>
    <xf numFmtId="0" fontId="84" fillId="0" borderId="33" xfId="0" applyFont="1" applyBorder="1"/>
    <xf numFmtId="0" fontId="84" fillId="0" borderId="34" xfId="0" applyFont="1" applyBorder="1"/>
    <xf numFmtId="0" fontId="84" fillId="0" borderId="35" xfId="0" applyFont="1" applyBorder="1"/>
    <xf numFmtId="0" fontId="84" fillId="0" borderId="36" xfId="0" applyFont="1" applyBorder="1"/>
    <xf numFmtId="0" fontId="84" fillId="0" borderId="0" xfId="0" applyFont="1"/>
    <xf numFmtId="0" fontId="84" fillId="0" borderId="37" xfId="0" applyFont="1" applyBorder="1"/>
    <xf numFmtId="0" fontId="84" fillId="0" borderId="38" xfId="0" applyFont="1" applyBorder="1"/>
    <xf numFmtId="0" fontId="84" fillId="0" borderId="39" xfId="0" applyFont="1" applyBorder="1"/>
    <xf numFmtId="0" fontId="84" fillId="0" borderId="40" xfId="0" applyFont="1" applyBorder="1"/>
    <xf numFmtId="0" fontId="85" fillId="21" borderId="0" xfId="0" applyFont="1" applyFill="1" applyAlignment="1">
      <alignment horizontal="center" wrapText="1"/>
    </xf>
    <xf numFmtId="169" fontId="80" fillId="0" borderId="38" xfId="3" applyNumberFormat="1" applyFont="1" applyBorder="1" applyAlignment="1">
      <alignment horizontal="center"/>
    </xf>
    <xf numFmtId="169" fontId="80" fillId="0" borderId="40" xfId="3" applyNumberFormat="1" applyFont="1" applyBorder="1" applyAlignment="1">
      <alignment horizontal="center"/>
    </xf>
    <xf numFmtId="0" fontId="83" fillId="21" borderId="54" xfId="0" applyFont="1" applyFill="1" applyBorder="1" applyAlignment="1" applyProtection="1">
      <alignment horizontal="center"/>
      <protection locked="0"/>
    </xf>
    <xf numFmtId="0" fontId="83" fillId="21" borderId="55" xfId="0" applyFont="1" applyFill="1" applyBorder="1" applyAlignment="1" applyProtection="1">
      <alignment horizontal="center"/>
      <protection locked="0"/>
    </xf>
    <xf numFmtId="169" fontId="80" fillId="0" borderId="73" xfId="3" applyNumberFormat="1" applyFont="1" applyBorder="1" applyAlignment="1">
      <alignment horizontal="center"/>
    </xf>
    <xf numFmtId="169" fontId="80" fillId="0" borderId="74" xfId="3" applyNumberFormat="1" applyFont="1" applyBorder="1" applyAlignment="1">
      <alignment horizontal="center"/>
    </xf>
    <xf numFmtId="0" fontId="80" fillId="20" borderId="60" xfId="0" applyNumberFormat="1" applyFont="1" applyFill="1" applyBorder="1" applyAlignment="1" applyProtection="1">
      <alignment horizontal="center"/>
    </xf>
    <xf numFmtId="0" fontId="80" fillId="20" borderId="61" xfId="0" applyNumberFormat="1" applyFont="1" applyFill="1" applyBorder="1" applyAlignment="1" applyProtection="1">
      <alignment horizontal="center"/>
    </xf>
    <xf numFmtId="0" fontId="80" fillId="20" borderId="62" xfId="0" applyNumberFormat="1" applyFont="1" applyFill="1" applyBorder="1" applyAlignment="1" applyProtection="1">
      <alignment horizontal="center"/>
    </xf>
    <xf numFmtId="0" fontId="85" fillId="11" borderId="52" xfId="0" applyFont="1" applyFill="1" applyBorder="1" applyAlignment="1">
      <alignment horizontal="center" vertical="center" wrapText="1"/>
    </xf>
    <xf numFmtId="0" fontId="85" fillId="11" borderId="53" xfId="0" applyFont="1" applyFill="1" applyBorder="1" applyAlignment="1">
      <alignment horizontal="center" vertical="center" wrapText="1"/>
    </xf>
    <xf numFmtId="0" fontId="85" fillId="11" borderId="98" xfId="0" applyFont="1" applyFill="1" applyBorder="1" applyAlignment="1">
      <alignment horizontal="center" vertical="center" wrapText="1"/>
    </xf>
    <xf numFmtId="0" fontId="85" fillId="11" borderId="99" xfId="0" applyFont="1" applyFill="1" applyBorder="1" applyAlignment="1">
      <alignment horizontal="center" vertical="center" wrapText="1"/>
    </xf>
    <xf numFmtId="169" fontId="80" fillId="0" borderId="68" xfId="2" applyNumberFormat="1" applyFont="1" applyBorder="1" applyAlignment="1">
      <alignment horizontal="center"/>
    </xf>
    <xf numFmtId="169" fontId="80" fillId="0" borderId="75" xfId="2" applyNumberFormat="1" applyFont="1" applyBorder="1" applyAlignment="1">
      <alignment horizontal="center"/>
    </xf>
    <xf numFmtId="0" fontId="83" fillId="21" borderId="100" xfId="0" applyFont="1" applyFill="1" applyBorder="1" applyAlignment="1" applyProtection="1">
      <alignment horizontal="center"/>
      <protection locked="0"/>
    </xf>
    <xf numFmtId="0" fontId="83" fillId="21" borderId="101" xfId="0" applyFont="1" applyFill="1" applyBorder="1" applyAlignment="1" applyProtection="1">
      <alignment horizontal="center"/>
      <protection locked="0"/>
    </xf>
    <xf numFmtId="0" fontId="96" fillId="11" borderId="27" xfId="4" applyFont="1" applyFill="1" applyBorder="1" applyAlignment="1" applyProtection="1">
      <alignment horizontal="center" vertical="center" wrapText="1"/>
    </xf>
    <xf numFmtId="0" fontId="96" fillId="11" borderId="28" xfId="4" applyFont="1" applyFill="1" applyBorder="1" applyAlignment="1" applyProtection="1">
      <alignment horizontal="center" vertical="center" wrapText="1"/>
    </xf>
    <xf numFmtId="0" fontId="96" fillId="11" borderId="29" xfId="4" applyFont="1" applyFill="1" applyBorder="1" applyAlignment="1" applyProtection="1">
      <alignment horizontal="center" vertical="center" wrapText="1"/>
    </xf>
    <xf numFmtId="0" fontId="76" fillId="0" borderId="0" xfId="4" applyFont="1" applyAlignment="1" applyProtection="1">
      <alignment horizontal="center" vertical="center"/>
    </xf>
    <xf numFmtId="0" fontId="78" fillId="0" borderId="0" xfId="0" applyFont="1" applyAlignment="1">
      <alignment horizontal="center" vertical="center"/>
    </xf>
    <xf numFmtId="0" fontId="32" fillId="6" borderId="0" xfId="0" applyFont="1" applyFill="1" applyAlignment="1">
      <alignment horizontal="center" vertical="center"/>
    </xf>
    <xf numFmtId="0" fontId="80" fillId="20" borderId="41" xfId="0" applyFont="1" applyFill="1" applyBorder="1" applyAlignment="1">
      <alignment horizontal="center" wrapText="1"/>
    </xf>
    <xf numFmtId="0" fontId="80" fillId="20" borderId="42" xfId="0" applyFont="1" applyFill="1" applyBorder="1" applyAlignment="1">
      <alignment horizontal="center" wrapText="1"/>
    </xf>
    <xf numFmtId="0" fontId="80" fillId="20" borderId="45" xfId="0" applyFont="1" applyFill="1" applyBorder="1" applyAlignment="1">
      <alignment horizontal="center" wrapText="1"/>
    </xf>
    <xf numFmtId="0" fontId="80" fillId="20" borderId="46" xfId="0" applyFont="1" applyFill="1" applyBorder="1" applyAlignment="1">
      <alignment horizontal="center" wrapText="1"/>
    </xf>
    <xf numFmtId="0" fontId="80" fillId="20" borderId="41" xfId="0" applyFont="1" applyFill="1" applyBorder="1" applyAlignment="1">
      <alignment horizontal="center"/>
    </xf>
    <xf numFmtId="0" fontId="80" fillId="20" borderId="42" xfId="0" applyFont="1" applyFill="1" applyBorder="1" applyAlignment="1">
      <alignment horizontal="center"/>
    </xf>
    <xf numFmtId="0" fontId="80" fillId="20" borderId="45" xfId="0" applyFont="1" applyFill="1" applyBorder="1" applyAlignment="1">
      <alignment horizontal="center"/>
    </xf>
    <xf numFmtId="0" fontId="80" fillId="20" borderId="46" xfId="0" applyFont="1" applyFill="1" applyBorder="1" applyAlignment="1">
      <alignment horizontal="center"/>
    </xf>
    <xf numFmtId="168" fontId="127" fillId="0" borderId="123" xfId="0" applyNumberFormat="1" applyFont="1" applyBorder="1" applyAlignment="1">
      <alignment horizontal="center"/>
    </xf>
    <xf numFmtId="0" fontId="128" fillId="0" borderId="122" xfId="0" applyFont="1" applyBorder="1"/>
    <xf numFmtId="0" fontId="74" fillId="11" borderId="2" xfId="0" applyFont="1" applyFill="1" applyBorder="1" applyAlignment="1">
      <alignment horizontal="center" wrapText="1"/>
    </xf>
    <xf numFmtId="0" fontId="74" fillId="11" borderId="3" xfId="0" applyFont="1" applyFill="1" applyBorder="1" applyAlignment="1">
      <alignment horizontal="center" wrapText="1"/>
    </xf>
    <xf numFmtId="0" fontId="74" fillId="11" borderId="4" xfId="0" applyFont="1" applyFill="1" applyBorder="1" applyAlignment="1">
      <alignment horizontal="center" wrapText="1"/>
    </xf>
    <xf numFmtId="0" fontId="83" fillId="21" borderId="57" xfId="0" applyFont="1" applyFill="1" applyBorder="1" applyAlignment="1" applyProtection="1">
      <alignment horizontal="center"/>
      <protection locked="0"/>
    </xf>
    <xf numFmtId="0" fontId="83" fillId="21" borderId="105" xfId="0" applyFont="1" applyFill="1" applyBorder="1" applyAlignment="1" applyProtection="1">
      <alignment horizontal="center"/>
      <protection locked="0"/>
    </xf>
    <xf numFmtId="0" fontId="79" fillId="21" borderId="0" xfId="0" applyFont="1" applyFill="1" applyAlignment="1">
      <alignment horizontal="center" vertical="center"/>
    </xf>
    <xf numFmtId="0" fontId="80" fillId="20" borderId="89" xfId="0" applyFont="1" applyFill="1" applyBorder="1" applyAlignment="1">
      <alignment horizontal="center"/>
    </xf>
    <xf numFmtId="0" fontId="80" fillId="20" borderId="90" xfId="0" applyFont="1" applyFill="1" applyBorder="1" applyAlignment="1">
      <alignment horizontal="center"/>
    </xf>
    <xf numFmtId="0" fontId="80" fillId="20" borderId="93" xfId="0" applyFont="1" applyFill="1" applyBorder="1" applyAlignment="1">
      <alignment horizontal="center"/>
    </xf>
    <xf numFmtId="168" fontId="84" fillId="21" borderId="0" xfId="2" applyNumberFormat="1" applyFont="1" applyFill="1" applyAlignment="1">
      <alignment horizontal="center"/>
    </xf>
    <xf numFmtId="0" fontId="79" fillId="21" borderId="39" xfId="0" applyFont="1" applyFill="1" applyBorder="1" applyAlignment="1">
      <alignment horizontal="center" vertical="center"/>
    </xf>
    <xf numFmtId="0" fontId="80" fillId="20" borderId="91" xfId="0" applyFont="1" applyFill="1" applyBorder="1" applyAlignment="1">
      <alignment horizontal="center"/>
    </xf>
    <xf numFmtId="0" fontId="80" fillId="20" borderId="94" xfId="0" applyFont="1" applyFill="1" applyBorder="1" applyAlignment="1">
      <alignment horizontal="center"/>
    </xf>
    <xf numFmtId="0" fontId="85" fillId="11" borderId="7" xfId="0" applyFont="1" applyFill="1" applyBorder="1" applyAlignment="1">
      <alignment horizontal="center" vertical="center" wrapText="1"/>
    </xf>
    <xf numFmtId="0" fontId="83" fillId="21" borderId="56" xfId="0" applyFont="1" applyFill="1" applyBorder="1" applyAlignment="1" applyProtection="1">
      <alignment horizontal="center"/>
      <protection locked="0"/>
    </xf>
    <xf numFmtId="169" fontId="80" fillId="0" borderId="88" xfId="2" applyNumberFormat="1" applyFont="1" applyBorder="1" applyAlignment="1">
      <alignment horizontal="center"/>
    </xf>
    <xf numFmtId="0" fontId="59" fillId="21" borderId="0" xfId="0" applyFont="1" applyFill="1" applyAlignment="1">
      <alignment horizontal="center" vertical="center" textRotation="90"/>
    </xf>
    <xf numFmtId="0" fontId="95" fillId="11" borderId="27" xfId="0" applyFont="1" applyFill="1" applyBorder="1" applyAlignment="1">
      <alignment horizontal="center" wrapText="1" shrinkToFit="1"/>
    </xf>
    <xf numFmtId="0" fontId="95" fillId="11" borderId="28" xfId="0" applyFont="1" applyFill="1" applyBorder="1" applyAlignment="1">
      <alignment horizontal="center" wrapText="1" shrinkToFit="1"/>
    </xf>
    <xf numFmtId="0" fontId="95" fillId="11" borderId="29" xfId="0" applyFont="1" applyFill="1" applyBorder="1" applyAlignment="1">
      <alignment horizontal="center" wrapText="1" shrinkToFit="1"/>
    </xf>
    <xf numFmtId="0" fontId="85" fillId="11" borderId="27" xfId="0" applyFont="1" applyFill="1" applyBorder="1" applyAlignment="1">
      <alignment horizontal="center" vertical="center" shrinkToFit="1"/>
    </xf>
    <xf numFmtId="0" fontId="85" fillId="11" borderId="28" xfId="0" applyFont="1" applyFill="1" applyBorder="1" applyAlignment="1">
      <alignment horizontal="center" vertical="center" shrinkToFit="1"/>
    </xf>
    <xf numFmtId="0" fontId="85" fillId="11" borderId="29" xfId="0" applyFont="1" applyFill="1" applyBorder="1" applyAlignment="1">
      <alignment horizontal="center" vertical="center" shrinkToFit="1"/>
    </xf>
    <xf numFmtId="169" fontId="84" fillId="0" borderId="47" xfId="2" applyNumberFormat="1" applyFont="1" applyBorder="1" applyAlignment="1">
      <alignment horizontal="center"/>
    </xf>
    <xf numFmtId="169" fontId="84" fillId="0" borderId="49" xfId="2" applyNumberFormat="1" applyFont="1" applyBorder="1" applyAlignment="1">
      <alignment horizontal="center"/>
    </xf>
    <xf numFmtId="164" fontId="8" fillId="0" borderId="39" xfId="2" applyFont="1" applyBorder="1" applyAlignment="1">
      <alignment horizontal="center" vertical="center"/>
    </xf>
    <xf numFmtId="168" fontId="2" fillId="0" borderId="32" xfId="2" applyNumberFormat="1" applyBorder="1" applyAlignment="1">
      <alignment horizontal="left" vertical="center"/>
    </xf>
    <xf numFmtId="0" fontId="2" fillId="0" borderId="32" xfId="0" applyFont="1" applyBorder="1" applyAlignment="1">
      <alignment horizontal="left" vertical="center"/>
    </xf>
    <xf numFmtId="1" fontId="83" fillId="21" borderId="0" xfId="0" applyNumberFormat="1" applyFont="1" applyFill="1" applyAlignment="1" applyProtection="1">
      <alignment horizontal="center"/>
      <protection locked="0"/>
    </xf>
    <xf numFmtId="1" fontId="83" fillId="21" borderId="95" xfId="0" applyNumberFormat="1" applyFont="1" applyFill="1" applyBorder="1" applyAlignment="1" applyProtection="1">
      <alignment horizontal="center"/>
      <protection locked="0"/>
    </xf>
    <xf numFmtId="164" fontId="46" fillId="6" borderId="0" xfId="2" applyFont="1" applyFill="1" applyAlignment="1">
      <alignment horizontal="center" vertical="center"/>
    </xf>
    <xf numFmtId="0" fontId="45" fillId="6" borderId="0" xfId="0" applyFont="1" applyFill="1" applyAlignment="1">
      <alignment horizontal="center" vertical="center"/>
    </xf>
    <xf numFmtId="0" fontId="84" fillId="0" borderId="33" xfId="0" applyFont="1" applyBorder="1" applyAlignment="1">
      <alignment vertical="center"/>
    </xf>
    <xf numFmtId="0" fontId="84" fillId="0" borderId="34" xfId="0" applyFont="1" applyBorder="1" applyAlignment="1">
      <alignment vertical="center"/>
    </xf>
    <xf numFmtId="0" fontId="84" fillId="0" borderId="35" xfId="0" applyFont="1" applyBorder="1" applyAlignment="1">
      <alignment vertical="center"/>
    </xf>
    <xf numFmtId="0" fontId="84" fillId="0" borderId="36" xfId="0" applyFont="1" applyBorder="1" applyAlignment="1">
      <alignment vertical="center"/>
    </xf>
    <xf numFmtId="0" fontId="84" fillId="0" borderId="0" xfId="0" applyFont="1" applyAlignment="1">
      <alignment vertical="center"/>
    </xf>
    <xf numFmtId="0" fontId="84" fillId="0" borderId="37" xfId="0" applyFont="1" applyBorder="1" applyAlignment="1">
      <alignment vertical="center"/>
    </xf>
    <xf numFmtId="0" fontId="84" fillId="0" borderId="38" xfId="0" applyFont="1" applyBorder="1" applyAlignment="1">
      <alignment vertical="center"/>
    </xf>
    <xf numFmtId="0" fontId="84" fillId="0" borderId="39" xfId="0" applyFont="1" applyBorder="1" applyAlignment="1">
      <alignment vertical="center"/>
    </xf>
    <xf numFmtId="0" fontId="84" fillId="0" borderId="40" xfId="0" applyFont="1" applyBorder="1" applyAlignment="1">
      <alignment vertical="center"/>
    </xf>
    <xf numFmtId="0" fontId="81" fillId="21" borderId="0" xfId="0" applyFont="1" applyFill="1" applyAlignment="1">
      <alignment horizontal="center" vertical="center"/>
    </xf>
    <xf numFmtId="0" fontId="80" fillId="20" borderId="64" xfId="0" applyFont="1" applyFill="1" applyBorder="1" applyAlignment="1">
      <alignment horizontal="center" wrapText="1"/>
    </xf>
    <xf numFmtId="0" fontId="80" fillId="20" borderId="65" xfId="0" applyFont="1" applyFill="1" applyBorder="1" applyAlignment="1">
      <alignment horizontal="center" wrapText="1"/>
    </xf>
    <xf numFmtId="0" fontId="80" fillId="20" borderId="66" xfId="0" applyFont="1" applyFill="1" applyBorder="1" applyAlignment="1">
      <alignment horizontal="center" wrapText="1"/>
    </xf>
    <xf numFmtId="0" fontId="46" fillId="6" borderId="0" xfId="0" applyFont="1" applyFill="1" applyAlignment="1">
      <alignment horizontal="center" vertical="center"/>
    </xf>
    <xf numFmtId="169" fontId="84" fillId="0" borderId="36" xfId="2" applyNumberFormat="1" applyFont="1" applyBorder="1" applyAlignment="1">
      <alignment horizontal="center"/>
    </xf>
    <xf numFmtId="169" fontId="84" fillId="0" borderId="37" xfId="2" applyNumberFormat="1" applyFont="1" applyBorder="1" applyAlignment="1">
      <alignment horizontal="center"/>
    </xf>
    <xf numFmtId="0" fontId="101" fillId="23" borderId="0" xfId="0" applyFont="1" applyFill="1" applyAlignment="1">
      <alignment horizontal="left" vertical="center"/>
    </xf>
    <xf numFmtId="0" fontId="32" fillId="6" borderId="0" xfId="0" applyFont="1" applyFill="1" applyAlignment="1">
      <alignment horizontal="center"/>
    </xf>
    <xf numFmtId="0" fontId="44" fillId="6" borderId="0" xfId="0" applyFont="1" applyFill="1" applyAlignment="1">
      <alignment horizontal="center" vertical="center"/>
    </xf>
    <xf numFmtId="0" fontId="42" fillId="6" borderId="0" xfId="0" applyFont="1" applyFill="1" applyAlignment="1">
      <alignment horizontal="center"/>
    </xf>
    <xf numFmtId="164" fontId="45" fillId="6" borderId="0" xfId="2" applyFont="1" applyFill="1" applyAlignment="1">
      <alignment horizontal="center" vertical="center"/>
    </xf>
    <xf numFmtId="0" fontId="42" fillId="20" borderId="110" xfId="0" applyFont="1" applyFill="1" applyBorder="1" applyAlignment="1">
      <alignment horizontal="center" vertical="center"/>
    </xf>
    <xf numFmtId="0" fontId="32" fillId="20" borderId="111" xfId="0" applyFont="1" applyFill="1" applyBorder="1" applyAlignment="1">
      <alignment horizontal="center" vertical="center"/>
    </xf>
    <xf numFmtId="0" fontId="0" fillId="0" borderId="112" xfId="0" applyBorder="1" applyAlignment="1">
      <alignment horizontal="center" vertical="center"/>
    </xf>
    <xf numFmtId="0" fontId="42" fillId="20" borderId="111" xfId="0" applyFont="1" applyFill="1" applyBorder="1" applyAlignment="1">
      <alignment horizontal="center" vertical="center"/>
    </xf>
    <xf numFmtId="0" fontId="32" fillId="0" borderId="32" xfId="0" applyFont="1" applyBorder="1" applyAlignment="1">
      <alignment horizontal="center" vertical="center"/>
    </xf>
    <xf numFmtId="0" fontId="47" fillId="15" borderId="32" xfId="0" applyFont="1" applyFill="1" applyBorder="1" applyAlignment="1">
      <alignment horizontal="center" vertical="center"/>
    </xf>
    <xf numFmtId="0" fontId="32" fillId="18" borderId="32" xfId="0" applyFont="1" applyFill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47" fillId="4" borderId="32" xfId="0" applyFont="1" applyFill="1" applyBorder="1" applyAlignment="1">
      <alignment horizontal="center" vertical="center"/>
    </xf>
    <xf numFmtId="169" fontId="84" fillId="0" borderId="96" xfId="2" applyNumberFormat="1" applyFont="1" applyBorder="1" applyAlignment="1">
      <alignment horizontal="center"/>
    </xf>
    <xf numFmtId="169" fontId="84" fillId="0" borderId="97" xfId="2" applyNumberFormat="1" applyFont="1" applyBorder="1" applyAlignment="1">
      <alignment horizontal="center"/>
    </xf>
    <xf numFmtId="0" fontId="80" fillId="21" borderId="0" xfId="0" applyFont="1" applyFill="1" applyBorder="1" applyAlignment="1">
      <alignment horizontal="center" wrapText="1"/>
    </xf>
    <xf numFmtId="0" fontId="129" fillId="0" borderId="48" xfId="0" applyFont="1" applyBorder="1" applyAlignment="1">
      <alignment horizontal="left"/>
    </xf>
    <xf numFmtId="0" fontId="130" fillId="0" borderId="48" xfId="0" applyFont="1" applyBorder="1" applyAlignment="1">
      <alignment horizontal="left"/>
    </xf>
    <xf numFmtId="0" fontId="130" fillId="0" borderId="70" xfId="0" applyFont="1" applyBorder="1" applyAlignment="1">
      <alignment horizontal="left"/>
    </xf>
    <xf numFmtId="0" fontId="129" fillId="0" borderId="48" xfId="0" applyFont="1" applyBorder="1" applyAlignment="1">
      <alignment horizontal="right"/>
    </xf>
    <xf numFmtId="0" fontId="47" fillId="11" borderId="32" xfId="0" applyFont="1" applyFill="1" applyBorder="1" applyAlignment="1">
      <alignment horizontal="center" vertical="center"/>
    </xf>
    <xf numFmtId="0" fontId="49" fillId="17" borderId="32" xfId="0" applyFont="1" applyFill="1" applyBorder="1" applyAlignment="1">
      <alignment horizontal="center" vertical="center"/>
    </xf>
    <xf numFmtId="0" fontId="32" fillId="19" borderId="32" xfId="0" applyFont="1" applyFill="1" applyBorder="1" applyAlignment="1">
      <alignment horizontal="center" vertical="center"/>
    </xf>
    <xf numFmtId="0" fontId="42" fillId="20" borderId="36" xfId="0" applyFont="1" applyFill="1" applyBorder="1" applyAlignment="1">
      <alignment horizontal="center" vertical="center"/>
    </xf>
    <xf numFmtId="0" fontId="32" fillId="20" borderId="0" xfId="0" applyFont="1" applyFill="1" applyAlignment="1">
      <alignment horizontal="center" vertical="center"/>
    </xf>
    <xf numFmtId="0" fontId="0" fillId="20" borderId="37" xfId="0" applyFill="1" applyBorder="1" applyAlignment="1">
      <alignment horizontal="center" vertical="center"/>
    </xf>
    <xf numFmtId="168" fontId="8" fillId="0" borderId="32" xfId="2" applyNumberFormat="1" applyFont="1" applyBorder="1" applyAlignment="1">
      <alignment horizontal="left" vertical="center"/>
    </xf>
    <xf numFmtId="0" fontId="8" fillId="0" borderId="32" xfId="0" applyFont="1" applyBorder="1" applyAlignment="1">
      <alignment horizontal="left" vertical="center"/>
    </xf>
    <xf numFmtId="0" fontId="47" fillId="3" borderId="32" xfId="0" applyFont="1" applyFill="1" applyBorder="1" applyAlignment="1">
      <alignment horizontal="center" vertical="center"/>
    </xf>
    <xf numFmtId="0" fontId="47" fillId="16" borderId="32" xfId="0" applyFont="1" applyFill="1" applyBorder="1" applyAlignment="1">
      <alignment horizontal="center" vertical="center"/>
    </xf>
    <xf numFmtId="169" fontId="84" fillId="0" borderId="32" xfId="2" applyNumberFormat="1" applyFont="1" applyBorder="1" applyAlignment="1">
      <alignment horizontal="center" vertical="center"/>
    </xf>
    <xf numFmtId="169" fontId="84" fillId="0" borderId="32" xfId="0" applyNumberFormat="1" applyFont="1" applyBorder="1" applyAlignment="1">
      <alignment vertical="center"/>
    </xf>
    <xf numFmtId="0" fontId="48" fillId="6" borderId="0" xfId="0" applyFont="1" applyFill="1" applyAlignment="1">
      <alignment horizontal="center" vertical="center"/>
    </xf>
    <xf numFmtId="0" fontId="27" fillId="11" borderId="7" xfId="0" applyFont="1" applyFill="1" applyBorder="1" applyAlignment="1">
      <alignment horizontal="center" vertical="center" wrapText="1"/>
    </xf>
    <xf numFmtId="0" fontId="27" fillId="11" borderId="23" xfId="0" applyFont="1" applyFill="1" applyBorder="1" applyAlignment="1">
      <alignment horizontal="center" vertical="center" wrapText="1"/>
    </xf>
    <xf numFmtId="0" fontId="125" fillId="11" borderId="27" xfId="0" applyFont="1" applyFill="1" applyBorder="1" applyAlignment="1">
      <alignment horizontal="center" wrapText="1" shrinkToFit="1"/>
    </xf>
    <xf numFmtId="0" fontId="125" fillId="11" borderId="28" xfId="0" applyFont="1" applyFill="1" applyBorder="1" applyAlignment="1">
      <alignment horizontal="center" wrapText="1" shrinkToFit="1"/>
    </xf>
    <xf numFmtId="0" fontId="125" fillId="11" borderId="29" xfId="0" applyFont="1" applyFill="1" applyBorder="1" applyAlignment="1">
      <alignment horizontal="center" wrapText="1" shrinkToFit="1"/>
    </xf>
    <xf numFmtId="0" fontId="95" fillId="11" borderId="7" xfId="0" applyFont="1" applyFill="1" applyBorder="1" applyAlignment="1">
      <alignment horizontal="center" wrapText="1"/>
    </xf>
    <xf numFmtId="0" fontId="95" fillId="11" borderId="23" xfId="0" applyFont="1" applyFill="1" applyBorder="1" applyAlignment="1">
      <alignment horizontal="center" wrapText="1"/>
    </xf>
    <xf numFmtId="0" fontId="95" fillId="11" borderId="27" xfId="0" applyFont="1" applyFill="1" applyBorder="1" applyAlignment="1">
      <alignment horizontal="center" wrapText="1"/>
    </xf>
    <xf numFmtId="0" fontId="95" fillId="11" borderId="28" xfId="0" applyFont="1" applyFill="1" applyBorder="1" applyAlignment="1">
      <alignment horizontal="center" wrapText="1"/>
    </xf>
    <xf numFmtId="0" fontId="95" fillId="11" borderId="29" xfId="0" applyFont="1" applyFill="1" applyBorder="1" applyAlignment="1">
      <alignment horizontal="center" wrapText="1"/>
    </xf>
    <xf numFmtId="164" fontId="84" fillId="21" borderId="0" xfId="2" applyFont="1" applyFill="1" applyAlignment="1">
      <alignment horizontal="center"/>
    </xf>
    <xf numFmtId="0" fontId="85" fillId="11" borderId="29" xfId="0" applyFont="1" applyFill="1" applyBorder="1" applyAlignment="1" applyProtection="1">
      <alignment horizontal="center" vertical="center" wrapText="1"/>
    </xf>
    <xf numFmtId="0" fontId="119" fillId="11" borderId="27" xfId="0" applyFont="1" applyFill="1" applyBorder="1" applyAlignment="1">
      <alignment horizontal="center" vertical="center" wrapText="1"/>
    </xf>
    <xf numFmtId="0" fontId="120" fillId="11" borderId="28" xfId="0" applyFont="1" applyFill="1" applyBorder="1" applyAlignment="1">
      <alignment horizontal="center" vertical="center" wrapText="1"/>
    </xf>
    <xf numFmtId="0" fontId="120" fillId="11" borderId="3" xfId="0" applyFont="1" applyFill="1" applyBorder="1" applyAlignment="1">
      <alignment horizontal="center" vertical="center" wrapText="1"/>
    </xf>
    <xf numFmtId="0" fontId="120" fillId="11" borderId="4" xfId="0" applyFont="1" applyFill="1" applyBorder="1" applyAlignment="1">
      <alignment horizontal="center" vertical="center" wrapText="1"/>
    </xf>
    <xf numFmtId="0" fontId="98" fillId="11" borderId="27" xfId="0" applyFont="1" applyFill="1" applyBorder="1" applyAlignment="1">
      <alignment horizontal="center" vertical="center" wrapText="1"/>
    </xf>
    <xf numFmtId="0" fontId="27" fillId="11" borderId="28" xfId="0" applyFont="1" applyFill="1" applyBorder="1" applyAlignment="1">
      <alignment horizontal="center" vertical="center" wrapText="1"/>
    </xf>
    <xf numFmtId="0" fontId="27" fillId="11" borderId="29" xfId="0" applyFont="1" applyFill="1" applyBorder="1" applyAlignment="1">
      <alignment horizontal="center" vertical="center" wrapText="1"/>
    </xf>
    <xf numFmtId="0" fontId="83" fillId="21" borderId="50" xfId="0" applyFont="1" applyFill="1" applyBorder="1" applyAlignment="1" applyProtection="1">
      <alignment horizontal="center"/>
      <protection locked="0"/>
    </xf>
    <xf numFmtId="0" fontId="95" fillId="11" borderId="27" xfId="0" applyFont="1" applyFill="1" applyBorder="1" applyAlignment="1">
      <alignment horizontal="center" vertical="center" wrapText="1"/>
    </xf>
    <xf numFmtId="0" fontId="95" fillId="11" borderId="28" xfId="0" applyFont="1" applyFill="1" applyBorder="1" applyAlignment="1">
      <alignment horizontal="center" vertical="center" wrapText="1"/>
    </xf>
    <xf numFmtId="0" fontId="95" fillId="11" borderId="29" xfId="0" applyFont="1" applyFill="1" applyBorder="1" applyAlignment="1">
      <alignment horizontal="center" vertical="center" wrapText="1"/>
    </xf>
    <xf numFmtId="0" fontId="95" fillId="11" borderId="27" xfId="4" applyFont="1" applyFill="1" applyBorder="1" applyAlignment="1" applyProtection="1">
      <alignment horizontal="center" vertical="center" wrapText="1"/>
    </xf>
    <xf numFmtId="0" fontId="80" fillId="20" borderId="33" xfId="0" applyFont="1" applyFill="1" applyBorder="1" applyAlignment="1">
      <alignment horizontal="center" vertical="center"/>
    </xf>
    <xf numFmtId="0" fontId="80" fillId="20" borderId="34" xfId="0" applyFont="1" applyFill="1" applyBorder="1" applyAlignment="1">
      <alignment horizontal="center" vertical="center"/>
    </xf>
    <xf numFmtId="0" fontId="80" fillId="20" borderId="35" xfId="0" applyFont="1" applyFill="1" applyBorder="1" applyAlignment="1">
      <alignment horizontal="center" vertical="center"/>
    </xf>
    <xf numFmtId="169" fontId="80" fillId="6" borderId="38" xfId="2" applyNumberFormat="1" applyFont="1" applyFill="1" applyBorder="1" applyAlignment="1">
      <alignment horizontal="center"/>
    </xf>
    <xf numFmtId="169" fontId="80" fillId="6" borderId="39" xfId="2" applyNumberFormat="1" applyFont="1" applyFill="1" applyBorder="1" applyAlignment="1">
      <alignment horizontal="center"/>
    </xf>
    <xf numFmtId="169" fontId="80" fillId="6" borderId="40" xfId="2" applyNumberFormat="1" applyFont="1" applyFill="1" applyBorder="1" applyAlignment="1">
      <alignment horizontal="center"/>
    </xf>
    <xf numFmtId="169" fontId="129" fillId="0" borderId="39" xfId="0" applyNumberFormat="1" applyFont="1" applyBorder="1" applyAlignment="1">
      <alignment horizontal="center"/>
    </xf>
    <xf numFmtId="169" fontId="130" fillId="0" borderId="39" xfId="0" applyNumberFormat="1" applyFont="1" applyBorder="1" applyAlignment="1">
      <alignment horizontal="center"/>
    </xf>
    <xf numFmtId="0" fontId="108" fillId="21" borderId="0" xfId="0" applyFont="1" applyFill="1" applyAlignment="1">
      <alignment horizontal="left" vertical="top" wrapText="1"/>
    </xf>
    <xf numFmtId="0" fontId="81" fillId="21" borderId="0" xfId="0" applyFont="1" applyFill="1" applyAlignment="1">
      <alignment horizontal="left" vertical="top" wrapText="1"/>
    </xf>
    <xf numFmtId="169" fontId="80" fillId="0" borderId="39" xfId="0" applyNumberFormat="1" applyFont="1" applyBorder="1" applyAlignment="1">
      <alignment horizontal="center"/>
    </xf>
    <xf numFmtId="0" fontId="90" fillId="11" borderId="118" xfId="0" applyFont="1" applyFill="1" applyBorder="1" applyAlignment="1">
      <alignment horizontal="center" vertical="center"/>
    </xf>
    <xf numFmtId="0" fontId="74" fillId="11" borderId="39" xfId="0" applyFont="1" applyFill="1" applyBorder="1" applyAlignment="1">
      <alignment vertical="center"/>
    </xf>
    <xf numFmtId="0" fontId="74" fillId="11" borderId="119" xfId="0" applyFont="1" applyFill="1" applyBorder="1" applyAlignment="1">
      <alignment vertical="center"/>
    </xf>
    <xf numFmtId="169" fontId="2" fillId="0" borderId="32" xfId="2" applyNumberFormat="1" applyBorder="1" applyAlignment="1">
      <alignment horizontal="center" vertical="center"/>
    </xf>
    <xf numFmtId="169" fontId="2" fillId="0" borderId="32" xfId="0" applyNumberFormat="1" applyFont="1" applyBorder="1" applyAlignment="1">
      <alignment vertical="center"/>
    </xf>
    <xf numFmtId="0" fontId="93" fillId="21" borderId="113" xfId="0" applyFont="1" applyFill="1" applyBorder="1" applyAlignment="1" applyProtection="1">
      <alignment horizontal="center" vertical="center"/>
      <protection locked="0"/>
    </xf>
    <xf numFmtId="0" fontId="93" fillId="21" borderId="59" xfId="0" applyFont="1" applyFill="1" applyBorder="1" applyAlignment="1" applyProtection="1">
      <alignment horizontal="center" vertical="center"/>
      <protection locked="0"/>
    </xf>
    <xf numFmtId="0" fontId="75" fillId="21" borderId="48" xfId="0" applyFont="1" applyFill="1" applyBorder="1" applyAlignment="1" applyProtection="1">
      <alignment horizontal="center" vertical="center" wrapText="1"/>
      <protection locked="0"/>
    </xf>
    <xf numFmtId="0" fontId="75" fillId="21" borderId="49" xfId="0" applyFont="1" applyFill="1" applyBorder="1" applyAlignment="1">
      <alignment horizontal="center" vertical="center" wrapText="1"/>
    </xf>
    <xf numFmtId="0" fontId="75" fillId="21" borderId="113" xfId="0" applyFont="1" applyFill="1" applyBorder="1" applyAlignment="1" applyProtection="1">
      <alignment horizontal="center" vertical="center"/>
      <protection locked="0"/>
    </xf>
    <xf numFmtId="0" fontId="75" fillId="21" borderId="59" xfId="0" applyFont="1" applyFill="1" applyBorder="1" applyAlignment="1" applyProtection="1">
      <alignment horizontal="center" vertical="center"/>
      <protection locked="0"/>
    </xf>
    <xf numFmtId="0" fontId="75" fillId="21" borderId="48" xfId="0" applyFont="1" applyFill="1" applyBorder="1" applyAlignment="1" applyProtection="1">
      <alignment horizontal="center" vertical="center"/>
      <protection locked="0"/>
    </xf>
    <xf numFmtId="0" fontId="75" fillId="21" borderId="49" xfId="0" applyFont="1" applyFill="1" applyBorder="1" applyAlignment="1" applyProtection="1">
      <alignment horizontal="center" vertical="center"/>
      <protection locked="0"/>
    </xf>
    <xf numFmtId="0" fontId="85" fillId="11" borderId="31" xfId="0" applyFont="1" applyFill="1" applyBorder="1" applyAlignment="1">
      <alignment horizontal="center" vertical="center" wrapText="1"/>
    </xf>
    <xf numFmtId="0" fontId="42" fillId="20" borderId="107" xfId="0" applyFont="1" applyFill="1" applyBorder="1" applyAlignment="1">
      <alignment horizontal="center" vertical="center"/>
    </xf>
    <xf numFmtId="0" fontId="42" fillId="20" borderId="108" xfId="0" applyFont="1" applyFill="1" applyBorder="1" applyAlignment="1">
      <alignment horizontal="center" vertical="center"/>
    </xf>
    <xf numFmtId="0" fontId="0" fillId="0" borderId="109" xfId="0" applyBorder="1" applyAlignment="1">
      <alignment horizontal="center" vertical="center"/>
    </xf>
    <xf numFmtId="169" fontId="80" fillId="0" borderId="116" xfId="2" applyNumberFormat="1" applyFont="1" applyBorder="1" applyAlignment="1">
      <alignment horizontal="center"/>
    </xf>
    <xf numFmtId="0" fontId="80" fillId="0" borderId="0" xfId="0" applyFont="1" applyAlignment="1">
      <alignment horizontal="center"/>
    </xf>
    <xf numFmtId="0" fontId="85" fillId="0" borderId="0" xfId="0" applyFont="1" applyAlignment="1">
      <alignment horizontal="center" vertical="center" wrapText="1"/>
    </xf>
    <xf numFmtId="0" fontId="80" fillId="21" borderId="0" xfId="0" applyFont="1" applyFill="1" applyAlignment="1">
      <alignment horizontal="center" vertical="center"/>
    </xf>
    <xf numFmtId="169" fontId="80" fillId="0" borderId="38" xfId="2" applyNumberFormat="1" applyFont="1" applyFill="1" applyBorder="1" applyAlignment="1">
      <alignment horizontal="center"/>
    </xf>
    <xf numFmtId="169" fontId="80" fillId="0" borderId="39" xfId="2" applyNumberFormat="1" applyFont="1" applyFill="1" applyBorder="1" applyAlignment="1">
      <alignment horizontal="center"/>
    </xf>
    <xf numFmtId="0" fontId="84" fillId="0" borderId="33" xfId="0" applyNumberFormat="1" applyFont="1" applyBorder="1" applyAlignment="1" applyProtection="1">
      <alignment horizontal="center"/>
    </xf>
    <xf numFmtId="0" fontId="84" fillId="0" borderId="34" xfId="0" applyNumberFormat="1" applyFont="1" applyBorder="1" applyAlignment="1" applyProtection="1">
      <alignment horizontal="center"/>
    </xf>
    <xf numFmtId="0" fontId="84" fillId="0" borderId="35" xfId="0" applyNumberFormat="1" applyFont="1" applyBorder="1" applyAlignment="1" applyProtection="1">
      <alignment horizontal="center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4" fillId="0" borderId="38" xfId="0" applyNumberFormat="1" applyFont="1" applyBorder="1" applyAlignment="1" applyProtection="1">
      <alignment horizontal="center"/>
    </xf>
    <xf numFmtId="0" fontId="84" fillId="0" borderId="39" xfId="0" applyNumberFormat="1" applyFont="1" applyBorder="1" applyAlignment="1" applyProtection="1">
      <alignment horizontal="center"/>
    </xf>
    <xf numFmtId="0" fontId="84" fillId="0" borderId="40" xfId="0" applyNumberFormat="1" applyFont="1" applyBorder="1" applyAlignment="1" applyProtection="1">
      <alignment horizontal="center"/>
    </xf>
    <xf numFmtId="0" fontId="85" fillId="21" borderId="0" xfId="0" applyFont="1" applyFill="1" applyBorder="1" applyAlignment="1">
      <alignment horizontal="center" vertical="center" wrapText="1"/>
    </xf>
    <xf numFmtId="169" fontId="84" fillId="21" borderId="0" xfId="2" applyNumberFormat="1" applyFont="1" applyFill="1" applyBorder="1" applyAlignment="1">
      <alignment horizontal="center"/>
    </xf>
    <xf numFmtId="0" fontId="83" fillId="21" borderId="0" xfId="0" applyFont="1" applyFill="1" applyBorder="1" applyAlignment="1" applyProtection="1">
      <alignment horizontal="center"/>
      <protection locked="0"/>
    </xf>
    <xf numFmtId="1" fontId="3" fillId="2" borderId="27" xfId="7" applyNumberFormat="1" applyFont="1" applyFill="1" applyBorder="1" applyAlignment="1" applyProtection="1">
      <alignment horizontal="left" vertical="center"/>
      <protection locked="0"/>
    </xf>
    <xf numFmtId="1" fontId="3" fillId="2" borderId="29" xfId="7" applyNumberFormat="1" applyFont="1" applyFill="1" applyBorder="1" applyAlignment="1" applyProtection="1">
      <alignment horizontal="left" vertical="center"/>
      <protection locked="0"/>
    </xf>
    <xf numFmtId="0" fontId="6" fillId="21" borderId="27" xfId="7" applyFont="1" applyFill="1" applyBorder="1" applyAlignment="1" applyProtection="1">
      <alignment horizontal="center" vertical="center"/>
      <protection locked="0"/>
    </xf>
    <xf numFmtId="0" fontId="6" fillId="21" borderId="29" xfId="7" applyFont="1" applyFill="1" applyBorder="1" applyAlignment="1" applyProtection="1">
      <alignment horizontal="center" vertical="center"/>
      <protection locked="0"/>
    </xf>
    <xf numFmtId="0" fontId="80" fillId="0" borderId="27" xfId="7" applyFont="1" applyBorder="1" applyAlignment="1" applyProtection="1">
      <alignment horizontal="left" vertical="center"/>
      <protection locked="0"/>
    </xf>
    <xf numFmtId="0" fontId="80" fillId="0" borderId="28" xfId="7" applyFont="1" applyBorder="1" applyAlignment="1" applyProtection="1">
      <alignment horizontal="left" vertical="center"/>
      <protection locked="0"/>
    </xf>
    <xf numFmtId="0" fontId="80" fillId="0" borderId="29" xfId="7" applyFont="1" applyBorder="1" applyAlignment="1" applyProtection="1">
      <alignment horizontal="left" vertical="center"/>
      <protection locked="0"/>
    </xf>
    <xf numFmtId="0" fontId="2" fillId="2" borderId="27" xfId="7" applyFont="1" applyFill="1" applyBorder="1" applyAlignment="1" applyProtection="1">
      <alignment horizontal="center" vertical="center" wrapText="1"/>
      <protection locked="0"/>
    </xf>
    <xf numFmtId="0" fontId="2" fillId="2" borderId="28" xfId="7" applyFont="1" applyFill="1" applyBorder="1" applyAlignment="1" applyProtection="1">
      <alignment horizontal="center" vertical="center" wrapText="1"/>
      <protection locked="0"/>
    </xf>
    <xf numFmtId="0" fontId="2" fillId="2" borderId="29" xfId="7" applyFont="1" applyFill="1" applyBorder="1" applyAlignment="1" applyProtection="1">
      <alignment horizontal="center" vertical="center" wrapText="1"/>
      <protection locked="0"/>
    </xf>
    <xf numFmtId="0" fontId="2" fillId="0" borderId="27" xfId="7" applyFont="1" applyBorder="1" applyAlignment="1" applyProtection="1">
      <alignment horizontal="center" vertical="center" wrapText="1"/>
      <protection locked="0"/>
    </xf>
    <xf numFmtId="0" fontId="2" fillId="0" borderId="29" xfId="7" applyFont="1" applyBorder="1" applyAlignment="1" applyProtection="1">
      <alignment horizontal="center" vertical="center" wrapText="1"/>
      <protection locked="0"/>
    </xf>
    <xf numFmtId="0" fontId="112" fillId="2" borderId="0" xfId="7" applyFont="1" applyFill="1" applyAlignment="1" applyProtection="1">
      <alignment horizontal="right" wrapText="1"/>
      <protection locked="0"/>
    </xf>
    <xf numFmtId="0" fontId="113" fillId="0" borderId="0" xfId="7" applyFont="1" applyAlignment="1">
      <alignment horizontal="right" wrapText="1"/>
    </xf>
    <xf numFmtId="0" fontId="2" fillId="23" borderId="0" xfId="7" applyFont="1" applyFill="1" applyAlignment="1" applyProtection="1">
      <alignment horizontal="center"/>
      <protection locked="0"/>
    </xf>
    <xf numFmtId="0" fontId="115" fillId="11" borderId="27" xfId="7" applyFont="1" applyFill="1" applyBorder="1" applyAlignment="1" applyProtection="1">
      <alignment horizontal="center" vertical="center" wrapText="1"/>
      <protection locked="0"/>
    </xf>
    <xf numFmtId="0" fontId="115" fillId="11" borderId="28" xfId="7" applyFont="1" applyFill="1" applyBorder="1" applyAlignment="1" applyProtection="1">
      <alignment horizontal="center" vertical="center" wrapText="1"/>
      <protection locked="0"/>
    </xf>
    <xf numFmtId="0" fontId="115" fillId="11" borderId="29" xfId="7" applyFont="1" applyFill="1" applyBorder="1" applyAlignment="1" applyProtection="1">
      <alignment horizontal="center" vertical="center" wrapText="1"/>
      <protection locked="0"/>
    </xf>
    <xf numFmtId="0" fontId="115" fillId="11" borderId="27" xfId="7" applyFont="1" applyFill="1" applyBorder="1" applyAlignment="1">
      <alignment horizontal="center" vertical="center" wrapText="1"/>
    </xf>
    <xf numFmtId="0" fontId="115" fillId="11" borderId="29" xfId="7" applyFont="1" applyFill="1" applyBorder="1" applyAlignment="1">
      <alignment horizontal="center" vertical="center" wrapText="1"/>
    </xf>
    <xf numFmtId="166" fontId="42" fillId="22" borderId="23" xfId="2" applyNumberFormat="1" applyFont="1" applyFill="1" applyBorder="1" applyAlignment="1">
      <alignment horizontal="right"/>
    </xf>
    <xf numFmtId="166" fontId="42" fillId="22" borderId="24" xfId="2" applyNumberFormat="1" applyFont="1" applyFill="1" applyBorder="1" applyAlignment="1">
      <alignment horizontal="right"/>
    </xf>
    <xf numFmtId="166" fontId="42" fillId="22" borderId="25" xfId="2" applyNumberFormat="1" applyFont="1" applyFill="1" applyBorder="1" applyAlignment="1">
      <alignment horizontal="right"/>
    </xf>
    <xf numFmtId="166" fontId="42" fillId="0" borderId="23" xfId="0" applyNumberFormat="1" applyFont="1" applyBorder="1" applyAlignment="1">
      <alignment horizontal="right"/>
    </xf>
    <xf numFmtId="0" fontId="42" fillId="0" borderId="24" xfId="0" applyFont="1" applyBorder="1" applyAlignment="1">
      <alignment horizontal="right"/>
    </xf>
    <xf numFmtId="0" fontId="42" fillId="0" borderId="25" xfId="0" applyFont="1" applyBorder="1" applyAlignment="1">
      <alignment horizontal="right"/>
    </xf>
    <xf numFmtId="166" fontId="42" fillId="22" borderId="2" xfId="0" applyNumberFormat="1" applyFont="1" applyFill="1" applyBorder="1" applyAlignment="1">
      <alignment horizontal="right"/>
    </xf>
    <xf numFmtId="166" fontId="42" fillId="22" borderId="5" xfId="0" applyNumberFormat="1" applyFont="1" applyFill="1" applyBorder="1" applyAlignment="1">
      <alignment horizontal="right"/>
    </xf>
    <xf numFmtId="0" fontId="32" fillId="0" borderId="23" xfId="0" applyFont="1" applyBorder="1" applyAlignment="1">
      <alignment horizontal="center"/>
    </xf>
    <xf numFmtId="0" fontId="32" fillId="0" borderId="24" xfId="0" applyFont="1" applyBorder="1" applyAlignment="1">
      <alignment horizontal="center"/>
    </xf>
    <xf numFmtId="0" fontId="32" fillId="0" borderId="25" xfId="0" applyFont="1" applyBorder="1" applyAlignment="1">
      <alignment horizontal="center"/>
    </xf>
    <xf numFmtId="166" fontId="42" fillId="22" borderId="24" xfId="0" applyNumberFormat="1" applyFont="1" applyFill="1" applyBorder="1" applyAlignment="1">
      <alignment horizontal="center"/>
    </xf>
    <xf numFmtId="166" fontId="42" fillId="22" borderId="25" xfId="0" applyNumberFormat="1" applyFont="1" applyFill="1" applyBorder="1" applyAlignment="1">
      <alignment horizontal="center"/>
    </xf>
    <xf numFmtId="166" fontId="42" fillId="22" borderId="23" xfId="0" applyNumberFormat="1" applyFont="1" applyFill="1" applyBorder="1" applyAlignment="1">
      <alignment horizontal="right"/>
    </xf>
    <xf numFmtId="0" fontId="42" fillId="22" borderId="24" xfId="0" applyFont="1" applyFill="1" applyBorder="1" applyAlignment="1">
      <alignment horizontal="right"/>
    </xf>
    <xf numFmtId="0" fontId="42" fillId="22" borderId="25" xfId="0" applyFont="1" applyFill="1" applyBorder="1" applyAlignment="1">
      <alignment horizontal="right"/>
    </xf>
    <xf numFmtId="166" fontId="42" fillId="22" borderId="24" xfId="0" applyNumberFormat="1" applyFont="1" applyFill="1" applyBorder="1" applyAlignment="1">
      <alignment horizontal="right"/>
    </xf>
    <xf numFmtId="166" fontId="42" fillId="0" borderId="24" xfId="0" applyNumberFormat="1" applyFont="1" applyBorder="1" applyAlignment="1">
      <alignment horizontal="right"/>
    </xf>
    <xf numFmtId="166" fontId="42" fillId="0" borderId="25" xfId="0" applyNumberFormat="1" applyFont="1" applyBorder="1" applyAlignment="1">
      <alignment horizontal="right"/>
    </xf>
    <xf numFmtId="0" fontId="68" fillId="0" borderId="19" xfId="0" applyFont="1" applyBorder="1" applyAlignment="1">
      <alignment horizontal="center"/>
    </xf>
    <xf numFmtId="0" fontId="32" fillId="0" borderId="3" xfId="0" applyFont="1" applyBorder="1" applyAlignment="1">
      <alignment horizontal="right"/>
    </xf>
    <xf numFmtId="0" fontId="32" fillId="0" borderId="0" xfId="0" applyFont="1" applyAlignment="1">
      <alignment horizontal="right"/>
    </xf>
    <xf numFmtId="166" fontId="42" fillId="25" borderId="24" xfId="0" applyNumberFormat="1" applyFont="1" applyFill="1" applyBorder="1" applyAlignment="1">
      <alignment horizontal="right"/>
    </xf>
    <xf numFmtId="166" fontId="42" fillId="25" borderId="25" xfId="0" applyNumberFormat="1" applyFont="1" applyFill="1" applyBorder="1" applyAlignment="1">
      <alignment horizontal="right"/>
    </xf>
    <xf numFmtId="166" fontId="42" fillId="22" borderId="25" xfId="0" applyNumberFormat="1" applyFont="1" applyFill="1" applyBorder="1" applyAlignment="1">
      <alignment horizontal="right"/>
    </xf>
    <xf numFmtId="0" fontId="32" fillId="13" borderId="23" xfId="0" applyFont="1" applyFill="1" applyBorder="1" applyAlignment="1">
      <alignment horizontal="center" vertical="center"/>
    </xf>
    <xf numFmtId="0" fontId="32" fillId="13" borderId="24" xfId="0" applyFont="1" applyFill="1" applyBorder="1" applyAlignment="1">
      <alignment horizontal="center" vertical="center"/>
    </xf>
    <xf numFmtId="0" fontId="32" fillId="13" borderId="25" xfId="0" applyFont="1" applyFill="1" applyBorder="1" applyAlignment="1">
      <alignment horizontal="center" vertical="center"/>
    </xf>
    <xf numFmtId="1" fontId="8" fillId="2" borderId="27" xfId="7" applyNumberFormat="1" applyFont="1" applyFill="1" applyBorder="1" applyAlignment="1" applyProtection="1">
      <alignment horizontal="left" vertical="center"/>
      <protection locked="0"/>
    </xf>
    <xf numFmtId="0" fontId="0" fillId="0" borderId="29" xfId="0" applyBorder="1" applyAlignment="1">
      <alignment horizontal="left" vertical="center"/>
    </xf>
    <xf numFmtId="0" fontId="17" fillId="0" borderId="16" xfId="5" applyFont="1" applyBorder="1" applyAlignment="1">
      <alignment horizontal="center"/>
    </xf>
    <xf numFmtId="0" fontId="17" fillId="0" borderId="30" xfId="5" applyFont="1" applyBorder="1" applyAlignment="1">
      <alignment horizontal="center"/>
    </xf>
    <xf numFmtId="0" fontId="6" fillId="0" borderId="14" xfId="5" applyFont="1" applyBorder="1" applyAlignment="1">
      <alignment horizontal="center" vertical="center"/>
    </xf>
    <xf numFmtId="0" fontId="6" fillId="0" borderId="15" xfId="5" applyFont="1" applyBorder="1" applyAlignment="1">
      <alignment horizontal="center" vertical="center"/>
    </xf>
    <xf numFmtId="0" fontId="6" fillId="0" borderId="13" xfId="5" applyFont="1" applyBorder="1" applyAlignment="1">
      <alignment horizontal="center" vertical="center"/>
    </xf>
    <xf numFmtId="0" fontId="6" fillId="0" borderId="9" xfId="5" applyFont="1" applyBorder="1" applyAlignment="1">
      <alignment horizontal="center" vertical="center"/>
    </xf>
    <xf numFmtId="0" fontId="6" fillId="0" borderId="10" xfId="5" applyFont="1" applyBorder="1" applyAlignment="1">
      <alignment horizontal="center" vertical="center"/>
    </xf>
    <xf numFmtId="0" fontId="6" fillId="0" borderId="11" xfId="5" applyFont="1" applyBorder="1" applyAlignment="1">
      <alignment horizontal="center" vertical="center"/>
    </xf>
    <xf numFmtId="0" fontId="9" fillId="0" borderId="28" xfId="7" applyFont="1" applyBorder="1" applyAlignment="1" applyProtection="1">
      <alignment horizontal="center" vertical="center"/>
      <protection locked="0"/>
    </xf>
    <xf numFmtId="0" fontId="9" fillId="0" borderId="29" xfId="7" applyFont="1" applyBorder="1" applyAlignment="1" applyProtection="1">
      <alignment horizontal="center" vertical="center"/>
      <protection locked="0"/>
    </xf>
    <xf numFmtId="0" fontId="72" fillId="21" borderId="14" xfId="7" applyFont="1" applyFill="1" applyBorder="1" applyAlignment="1" applyProtection="1">
      <alignment horizontal="center" vertical="center"/>
      <protection locked="0"/>
    </xf>
    <xf numFmtId="0" fontId="72" fillId="21" borderId="15" xfId="7" applyFont="1" applyFill="1" applyBorder="1" applyAlignment="1" applyProtection="1">
      <alignment horizontal="center" vertical="center"/>
      <protection locked="0"/>
    </xf>
    <xf numFmtId="0" fontId="72" fillId="21" borderId="9" xfId="7" applyFont="1" applyFill="1" applyBorder="1" applyAlignment="1" applyProtection="1">
      <alignment horizontal="center" vertical="center"/>
      <protection locked="0"/>
    </xf>
    <xf numFmtId="0" fontId="72" fillId="21" borderId="10" xfId="7" applyFont="1" applyFill="1" applyBorder="1" applyAlignment="1" applyProtection="1">
      <alignment horizontal="center" vertical="center"/>
      <protection locked="0"/>
    </xf>
    <xf numFmtId="0" fontId="71" fillId="0" borderId="14" xfId="7" applyFont="1" applyBorder="1" applyAlignment="1" applyProtection="1">
      <alignment horizontal="center" vertical="center" wrapText="1"/>
      <protection locked="0"/>
    </xf>
    <xf numFmtId="0" fontId="71" fillId="0" borderId="13" xfId="7" applyFont="1" applyBorder="1" applyAlignment="1" applyProtection="1">
      <alignment horizontal="center" vertical="center" wrapText="1"/>
      <protection locked="0"/>
    </xf>
    <xf numFmtId="0" fontId="71" fillId="0" borderId="9" xfId="7" applyFont="1" applyBorder="1" applyAlignment="1" applyProtection="1">
      <alignment horizontal="center" vertical="center" wrapText="1"/>
      <protection locked="0"/>
    </xf>
    <xf numFmtId="0" fontId="71" fillId="0" borderId="11" xfId="7" applyFont="1" applyBorder="1" applyAlignment="1" applyProtection="1">
      <alignment horizontal="center" vertical="center" wrapText="1"/>
      <protection locked="0"/>
    </xf>
    <xf numFmtId="0" fontId="28" fillId="0" borderId="13" xfId="7" applyFont="1" applyBorder="1" applyAlignment="1" applyProtection="1">
      <alignment horizontal="center" vertical="center"/>
      <protection locked="0"/>
    </xf>
    <xf numFmtId="0" fontId="28" fillId="0" borderId="11" xfId="7" applyFont="1" applyBorder="1" applyAlignment="1" applyProtection="1">
      <alignment horizontal="center" vertical="center"/>
      <protection locked="0"/>
    </xf>
    <xf numFmtId="0" fontId="70" fillId="21" borderId="14" xfId="7" applyFont="1" applyFill="1" applyBorder="1" applyAlignment="1" applyProtection="1">
      <alignment horizontal="center" vertical="center" wrapText="1"/>
      <protection locked="0"/>
    </xf>
    <xf numFmtId="0" fontId="70" fillId="21" borderId="15" xfId="7" applyFont="1" applyFill="1" applyBorder="1" applyAlignment="1" applyProtection="1">
      <alignment horizontal="center" vertical="center" wrapText="1"/>
      <protection locked="0"/>
    </xf>
    <xf numFmtId="0" fontId="70" fillId="21" borderId="13" xfId="7" applyFont="1" applyFill="1" applyBorder="1" applyAlignment="1" applyProtection="1">
      <alignment horizontal="center" vertical="center" wrapText="1"/>
      <protection locked="0"/>
    </xf>
    <xf numFmtId="0" fontId="70" fillId="21" borderId="9" xfId="7" applyFont="1" applyFill="1" applyBorder="1" applyAlignment="1" applyProtection="1">
      <alignment horizontal="center" vertical="center" wrapText="1"/>
      <protection locked="0"/>
    </xf>
    <xf numFmtId="0" fontId="70" fillId="21" borderId="10" xfId="7" applyFont="1" applyFill="1" applyBorder="1" applyAlignment="1" applyProtection="1">
      <alignment horizontal="center" vertical="center" wrapText="1"/>
      <protection locked="0"/>
    </xf>
    <xf numFmtId="0" fontId="70" fillId="21" borderId="11" xfId="7" applyFont="1" applyFill="1" applyBorder="1" applyAlignment="1" applyProtection="1">
      <alignment horizontal="center" vertical="center" wrapText="1"/>
      <protection locked="0"/>
    </xf>
    <xf numFmtId="14" fontId="20" fillId="2" borderId="15" xfId="7" applyNumberFormat="1" applyFont="1" applyFill="1" applyBorder="1" applyAlignment="1" applyProtection="1">
      <alignment horizontal="center"/>
      <protection locked="0"/>
    </xf>
    <xf numFmtId="0" fontId="20" fillId="2" borderId="13" xfId="7" applyFont="1" applyFill="1" applyBorder="1" applyAlignment="1" applyProtection="1">
      <alignment horizontal="center"/>
      <protection locked="0"/>
    </xf>
    <xf numFmtId="0" fontId="7" fillId="2" borderId="9" xfId="7" applyFill="1" applyBorder="1" applyAlignment="1" applyProtection="1">
      <alignment horizontal="right"/>
      <protection locked="0"/>
    </xf>
    <xf numFmtId="0" fontId="7" fillId="2" borderId="10" xfId="7" applyFill="1" applyBorder="1" applyAlignment="1" applyProtection="1">
      <alignment horizontal="right"/>
      <protection locked="0"/>
    </xf>
    <xf numFmtId="1" fontId="7" fillId="2" borderId="10" xfId="7" applyNumberFormat="1" applyFill="1" applyBorder="1" applyAlignment="1" applyProtection="1">
      <alignment horizontal="center"/>
      <protection locked="0"/>
    </xf>
    <xf numFmtId="0" fontId="8" fillId="6" borderId="0" xfId="7" applyFont="1" applyFill="1" applyAlignment="1" applyProtection="1">
      <alignment horizontal="center" vertical="center" wrapText="1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4" fillId="9" borderId="29" xfId="7" applyFont="1" applyFill="1" applyBorder="1" applyAlignment="1" applyProtection="1">
      <alignment horizontal="center" vertical="center"/>
      <protection locked="0"/>
    </xf>
    <xf numFmtId="0" fontId="7" fillId="2" borderId="15" xfId="7" applyFill="1" applyBorder="1" applyAlignment="1" applyProtection="1">
      <alignment horizontal="center"/>
      <protection locked="0"/>
    </xf>
    <xf numFmtId="0" fontId="0" fillId="0" borderId="13" xfId="0" applyBorder="1"/>
    <xf numFmtId="0" fontId="7" fillId="0" borderId="0" xfId="7" applyAlignment="1" applyProtection="1">
      <alignment horizontal="center"/>
      <protection locked="0"/>
    </xf>
    <xf numFmtId="0" fontId="0" fillId="0" borderId="12" xfId="0" applyBorder="1"/>
    <xf numFmtId="2" fontId="7" fillId="6" borderId="10" xfId="7" applyNumberForma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22" fillId="0" borderId="6" xfId="0" applyFont="1" applyBorder="1"/>
    <xf numFmtId="0" fontId="22" fillId="0" borderId="20" xfId="0" applyFont="1" applyBorder="1"/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9" xfId="0" applyBorder="1"/>
    <xf numFmtId="0" fontId="7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/>
    <xf numFmtId="0" fontId="0" fillId="0" borderId="0" xfId="0" applyAlignment="1">
      <alignment horizontal="center" vertical="center"/>
    </xf>
    <xf numFmtId="0" fontId="0" fillId="0" borderId="0" xfId="0"/>
    <xf numFmtId="0" fontId="0" fillId="0" borderId="3" xfId="0" applyBorder="1"/>
    <xf numFmtId="0" fontId="7" fillId="0" borderId="23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1">
    <cellStyle name="Currency 2" xfId="3"/>
    <cellStyle name="Currency 2 2" xfId="8"/>
    <cellStyle name="Lien hypertexte" xfId="4" builtinId="8"/>
    <cellStyle name="Milliers" xfId="1" builtinId="3"/>
    <cellStyle name="Monétaire" xfId="2" builtinId="4"/>
    <cellStyle name="Normal" xfId="0" builtinId="0"/>
    <cellStyle name="Normal 2" xfId="5"/>
    <cellStyle name="Normal 2 2" xfId="9"/>
    <cellStyle name="Normal 3" xfId="6"/>
    <cellStyle name="Normal 3 2" xfId="10"/>
    <cellStyle name="Normal_Sheet1" xfId="7"/>
  </cellStyles>
  <dxfs count="203"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auto="1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0"/>
      </font>
    </dxf>
  </dxfs>
  <tableStyles count="0" defaultTableStyle="TableStyleMedium9" defaultPivotStyle="PivotStyleLight16"/>
  <colors>
    <mruColors>
      <color rgb="FFFF6600"/>
      <color rgb="FFFF9B00"/>
      <color rgb="FFE8E8DF"/>
      <color rgb="FFB9B4AF"/>
      <color rgb="FFFF6400"/>
      <color rgb="FF3C3C3C"/>
      <color rgb="FF8C8987"/>
      <color rgb="FFEAAD3E"/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5.png"/><Relationship Id="rId21" Type="http://schemas.openxmlformats.org/officeDocument/2006/relationships/image" Target="../media/image20.jpeg"/><Relationship Id="rId42" Type="http://schemas.openxmlformats.org/officeDocument/2006/relationships/image" Target="../media/image40.jpeg"/><Relationship Id="rId63" Type="http://schemas.openxmlformats.org/officeDocument/2006/relationships/image" Target="../media/image61.jpeg"/><Relationship Id="rId84" Type="http://schemas.openxmlformats.org/officeDocument/2006/relationships/image" Target="../media/image82.jpeg"/><Relationship Id="rId138" Type="http://schemas.openxmlformats.org/officeDocument/2006/relationships/image" Target="../media/image136.jpg"/><Relationship Id="rId159" Type="http://schemas.microsoft.com/office/2007/relationships/hdphoto" Target="../media/hdphoto5.wdp"/><Relationship Id="rId170" Type="http://schemas.openxmlformats.org/officeDocument/2006/relationships/image" Target="../media/image162.jpeg"/><Relationship Id="rId191" Type="http://schemas.openxmlformats.org/officeDocument/2006/relationships/image" Target="../media/image183.jpg"/><Relationship Id="rId205" Type="http://schemas.openxmlformats.org/officeDocument/2006/relationships/image" Target="../media/image197.jpeg"/><Relationship Id="rId107" Type="http://schemas.openxmlformats.org/officeDocument/2006/relationships/image" Target="../media/image105.png"/><Relationship Id="rId11" Type="http://schemas.openxmlformats.org/officeDocument/2006/relationships/image" Target="../media/image11.jpeg"/><Relationship Id="rId32" Type="http://schemas.openxmlformats.org/officeDocument/2006/relationships/image" Target="../media/image30.jpeg"/><Relationship Id="rId53" Type="http://schemas.openxmlformats.org/officeDocument/2006/relationships/image" Target="../media/image51.jpeg"/><Relationship Id="rId74" Type="http://schemas.openxmlformats.org/officeDocument/2006/relationships/image" Target="../media/image72.jpeg"/><Relationship Id="rId128" Type="http://schemas.openxmlformats.org/officeDocument/2006/relationships/image" Target="../media/image126.jpg"/><Relationship Id="rId149" Type="http://schemas.openxmlformats.org/officeDocument/2006/relationships/image" Target="../media/image147.jpg"/><Relationship Id="rId5" Type="http://schemas.openxmlformats.org/officeDocument/2006/relationships/image" Target="../media/image5.jpeg"/><Relationship Id="rId90" Type="http://schemas.openxmlformats.org/officeDocument/2006/relationships/image" Target="../media/image88.jpeg"/><Relationship Id="rId95" Type="http://schemas.openxmlformats.org/officeDocument/2006/relationships/image" Target="../media/image93.png"/><Relationship Id="rId160" Type="http://schemas.openxmlformats.org/officeDocument/2006/relationships/image" Target="../media/image155.png"/><Relationship Id="rId165" Type="http://schemas.microsoft.com/office/2007/relationships/hdphoto" Target="../media/hdphoto8.wdp"/><Relationship Id="rId181" Type="http://schemas.openxmlformats.org/officeDocument/2006/relationships/image" Target="../media/image173.jpeg"/><Relationship Id="rId186" Type="http://schemas.openxmlformats.org/officeDocument/2006/relationships/image" Target="../media/image178.jpg"/><Relationship Id="rId216" Type="http://schemas.openxmlformats.org/officeDocument/2006/relationships/image" Target="../media/image208.jpeg"/><Relationship Id="rId211" Type="http://schemas.openxmlformats.org/officeDocument/2006/relationships/image" Target="../media/image203.jp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43" Type="http://schemas.openxmlformats.org/officeDocument/2006/relationships/image" Target="../media/image41.jpeg"/><Relationship Id="rId48" Type="http://schemas.openxmlformats.org/officeDocument/2006/relationships/image" Target="../media/image46.jpeg"/><Relationship Id="rId64" Type="http://schemas.openxmlformats.org/officeDocument/2006/relationships/image" Target="../media/image62.jpeg"/><Relationship Id="rId69" Type="http://schemas.openxmlformats.org/officeDocument/2006/relationships/image" Target="../media/image67.jpeg"/><Relationship Id="rId113" Type="http://schemas.openxmlformats.org/officeDocument/2006/relationships/image" Target="../media/image111.jpeg"/><Relationship Id="rId118" Type="http://schemas.openxmlformats.org/officeDocument/2006/relationships/image" Target="../media/image116.gif"/><Relationship Id="rId134" Type="http://schemas.openxmlformats.org/officeDocument/2006/relationships/image" Target="../media/image132.jpg"/><Relationship Id="rId139" Type="http://schemas.openxmlformats.org/officeDocument/2006/relationships/image" Target="../media/image137.jpg"/><Relationship Id="rId80" Type="http://schemas.openxmlformats.org/officeDocument/2006/relationships/image" Target="../media/image78.jpeg"/><Relationship Id="rId85" Type="http://schemas.openxmlformats.org/officeDocument/2006/relationships/image" Target="../media/image83.jpeg"/><Relationship Id="rId150" Type="http://schemas.openxmlformats.org/officeDocument/2006/relationships/image" Target="../media/image148.jpg"/><Relationship Id="rId155" Type="http://schemas.microsoft.com/office/2007/relationships/hdphoto" Target="../media/hdphoto3.wdp"/><Relationship Id="rId171" Type="http://schemas.openxmlformats.org/officeDocument/2006/relationships/image" Target="../media/image163.jpeg"/><Relationship Id="rId176" Type="http://schemas.openxmlformats.org/officeDocument/2006/relationships/image" Target="../media/image168.png"/><Relationship Id="rId192" Type="http://schemas.openxmlformats.org/officeDocument/2006/relationships/image" Target="../media/image184.png"/><Relationship Id="rId197" Type="http://schemas.openxmlformats.org/officeDocument/2006/relationships/image" Target="../media/image189.jpeg"/><Relationship Id="rId206" Type="http://schemas.openxmlformats.org/officeDocument/2006/relationships/image" Target="../media/image198.jpeg"/><Relationship Id="rId201" Type="http://schemas.openxmlformats.org/officeDocument/2006/relationships/image" Target="../media/image193.jpeg"/><Relationship Id="rId12" Type="http://schemas.openxmlformats.org/officeDocument/2006/relationships/image" Target="../media/image12.png"/><Relationship Id="rId17" Type="http://schemas.openxmlformats.org/officeDocument/2006/relationships/image" Target="../media/image16.png"/><Relationship Id="rId33" Type="http://schemas.openxmlformats.org/officeDocument/2006/relationships/image" Target="../media/image31.jpeg"/><Relationship Id="rId38" Type="http://schemas.openxmlformats.org/officeDocument/2006/relationships/image" Target="../media/image36.jpeg"/><Relationship Id="rId59" Type="http://schemas.openxmlformats.org/officeDocument/2006/relationships/image" Target="../media/image57.jpeg"/><Relationship Id="rId103" Type="http://schemas.openxmlformats.org/officeDocument/2006/relationships/image" Target="../media/image101.jpeg"/><Relationship Id="rId108" Type="http://schemas.openxmlformats.org/officeDocument/2006/relationships/image" Target="../media/image106.png"/><Relationship Id="rId124" Type="http://schemas.openxmlformats.org/officeDocument/2006/relationships/image" Target="../media/image122.jpg"/><Relationship Id="rId129" Type="http://schemas.openxmlformats.org/officeDocument/2006/relationships/image" Target="../media/image127.jpg"/><Relationship Id="rId54" Type="http://schemas.openxmlformats.org/officeDocument/2006/relationships/image" Target="../media/image52.jpeg"/><Relationship Id="rId70" Type="http://schemas.openxmlformats.org/officeDocument/2006/relationships/image" Target="../media/image68.jpeg"/><Relationship Id="rId75" Type="http://schemas.openxmlformats.org/officeDocument/2006/relationships/image" Target="../media/image73.jpeg"/><Relationship Id="rId91" Type="http://schemas.openxmlformats.org/officeDocument/2006/relationships/image" Target="../media/image89.jpeg"/><Relationship Id="rId96" Type="http://schemas.openxmlformats.org/officeDocument/2006/relationships/image" Target="../media/image94.jpeg"/><Relationship Id="rId140" Type="http://schemas.openxmlformats.org/officeDocument/2006/relationships/image" Target="../media/image138.jpg"/><Relationship Id="rId145" Type="http://schemas.openxmlformats.org/officeDocument/2006/relationships/image" Target="../media/image143.jpg"/><Relationship Id="rId161" Type="http://schemas.microsoft.com/office/2007/relationships/hdphoto" Target="../media/hdphoto6.wdp"/><Relationship Id="rId166" Type="http://schemas.openxmlformats.org/officeDocument/2006/relationships/image" Target="../media/image158.jpg"/><Relationship Id="rId182" Type="http://schemas.openxmlformats.org/officeDocument/2006/relationships/image" Target="../media/image174.jpg"/><Relationship Id="rId187" Type="http://schemas.openxmlformats.org/officeDocument/2006/relationships/image" Target="../media/image179.jpg"/><Relationship Id="rId217" Type="http://schemas.openxmlformats.org/officeDocument/2006/relationships/image" Target="../media/image20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12" Type="http://schemas.openxmlformats.org/officeDocument/2006/relationships/image" Target="../media/image204.jpg"/><Relationship Id="rId23" Type="http://schemas.openxmlformats.org/officeDocument/2006/relationships/image" Target="../media/image22.jpeg"/><Relationship Id="rId28" Type="http://schemas.openxmlformats.org/officeDocument/2006/relationships/image" Target="../media/image27.png"/><Relationship Id="rId49" Type="http://schemas.openxmlformats.org/officeDocument/2006/relationships/image" Target="../media/image47.jpeg"/><Relationship Id="rId114" Type="http://schemas.openxmlformats.org/officeDocument/2006/relationships/image" Target="../media/image112.jpeg"/><Relationship Id="rId119" Type="http://schemas.openxmlformats.org/officeDocument/2006/relationships/image" Target="../media/image117.jpg"/><Relationship Id="rId44" Type="http://schemas.openxmlformats.org/officeDocument/2006/relationships/image" Target="../media/image42.jpeg"/><Relationship Id="rId60" Type="http://schemas.openxmlformats.org/officeDocument/2006/relationships/image" Target="../media/image58.jpeg"/><Relationship Id="rId65" Type="http://schemas.openxmlformats.org/officeDocument/2006/relationships/image" Target="../media/image63.jpeg"/><Relationship Id="rId81" Type="http://schemas.openxmlformats.org/officeDocument/2006/relationships/image" Target="../media/image79.jpeg"/><Relationship Id="rId86" Type="http://schemas.openxmlformats.org/officeDocument/2006/relationships/image" Target="../media/image84.jpeg"/><Relationship Id="rId130" Type="http://schemas.openxmlformats.org/officeDocument/2006/relationships/image" Target="../media/image128.jpg"/><Relationship Id="rId135" Type="http://schemas.openxmlformats.org/officeDocument/2006/relationships/image" Target="../media/image133.jpg"/><Relationship Id="rId151" Type="http://schemas.openxmlformats.org/officeDocument/2006/relationships/image" Target="../media/image149.jpg"/><Relationship Id="rId156" Type="http://schemas.openxmlformats.org/officeDocument/2006/relationships/image" Target="../media/image153.png"/><Relationship Id="rId177" Type="http://schemas.openxmlformats.org/officeDocument/2006/relationships/image" Target="../media/image169.jpeg"/><Relationship Id="rId198" Type="http://schemas.openxmlformats.org/officeDocument/2006/relationships/image" Target="../media/image190.jpeg"/><Relationship Id="rId172" Type="http://schemas.openxmlformats.org/officeDocument/2006/relationships/image" Target="../media/image164.jpeg"/><Relationship Id="rId193" Type="http://schemas.openxmlformats.org/officeDocument/2006/relationships/image" Target="../media/image185.jpg"/><Relationship Id="rId202" Type="http://schemas.openxmlformats.org/officeDocument/2006/relationships/image" Target="../media/image194.jpeg"/><Relationship Id="rId207" Type="http://schemas.openxmlformats.org/officeDocument/2006/relationships/image" Target="../media/image199.jpeg"/><Relationship Id="rId13" Type="http://schemas.openxmlformats.org/officeDocument/2006/relationships/image" Target="../media/image13.png"/><Relationship Id="rId18" Type="http://schemas.openxmlformats.org/officeDocument/2006/relationships/image" Target="../media/image17.png"/><Relationship Id="rId39" Type="http://schemas.openxmlformats.org/officeDocument/2006/relationships/image" Target="../media/image37.jpeg"/><Relationship Id="rId109" Type="http://schemas.openxmlformats.org/officeDocument/2006/relationships/image" Target="../media/image107.jpeg"/><Relationship Id="rId34" Type="http://schemas.openxmlformats.org/officeDocument/2006/relationships/image" Target="../media/image32.jpeg"/><Relationship Id="rId50" Type="http://schemas.openxmlformats.org/officeDocument/2006/relationships/image" Target="../media/image48.jpeg"/><Relationship Id="rId55" Type="http://schemas.openxmlformats.org/officeDocument/2006/relationships/image" Target="../media/image53.jpeg"/><Relationship Id="rId76" Type="http://schemas.openxmlformats.org/officeDocument/2006/relationships/image" Target="../media/image74.jpeg"/><Relationship Id="rId97" Type="http://schemas.openxmlformats.org/officeDocument/2006/relationships/image" Target="../media/image95.jpeg"/><Relationship Id="rId104" Type="http://schemas.openxmlformats.org/officeDocument/2006/relationships/image" Target="../media/image102.jpeg"/><Relationship Id="rId120" Type="http://schemas.openxmlformats.org/officeDocument/2006/relationships/image" Target="../media/image118.jpg"/><Relationship Id="rId125" Type="http://schemas.openxmlformats.org/officeDocument/2006/relationships/image" Target="../media/image123.jpg"/><Relationship Id="rId141" Type="http://schemas.openxmlformats.org/officeDocument/2006/relationships/image" Target="../media/image139.jpg"/><Relationship Id="rId146" Type="http://schemas.openxmlformats.org/officeDocument/2006/relationships/image" Target="../media/image144.jpg"/><Relationship Id="rId167" Type="http://schemas.openxmlformats.org/officeDocument/2006/relationships/image" Target="../media/image159.png"/><Relationship Id="rId188" Type="http://schemas.openxmlformats.org/officeDocument/2006/relationships/image" Target="../media/image180.jpg"/><Relationship Id="rId7" Type="http://schemas.openxmlformats.org/officeDocument/2006/relationships/image" Target="../media/image7.jpeg"/><Relationship Id="rId71" Type="http://schemas.openxmlformats.org/officeDocument/2006/relationships/image" Target="../media/image69.jpeg"/><Relationship Id="rId92" Type="http://schemas.openxmlformats.org/officeDocument/2006/relationships/image" Target="../media/image90.jpeg"/><Relationship Id="rId162" Type="http://schemas.openxmlformats.org/officeDocument/2006/relationships/image" Target="../media/image156.png"/><Relationship Id="rId183" Type="http://schemas.openxmlformats.org/officeDocument/2006/relationships/image" Target="../media/image175.jpg"/><Relationship Id="rId213" Type="http://schemas.openxmlformats.org/officeDocument/2006/relationships/image" Target="../media/image205.jpeg"/><Relationship Id="rId218" Type="http://schemas.openxmlformats.org/officeDocument/2006/relationships/image" Target="../media/image210.jpeg"/><Relationship Id="rId2" Type="http://schemas.openxmlformats.org/officeDocument/2006/relationships/image" Target="../media/image2.png"/><Relationship Id="rId29" Type="http://schemas.microsoft.com/office/2007/relationships/hdphoto" Target="../media/hdphoto2.wdp"/><Relationship Id="rId24" Type="http://schemas.openxmlformats.org/officeDocument/2006/relationships/image" Target="../media/image23.jpeg"/><Relationship Id="rId40" Type="http://schemas.openxmlformats.org/officeDocument/2006/relationships/image" Target="../media/image38.jpeg"/><Relationship Id="rId45" Type="http://schemas.openxmlformats.org/officeDocument/2006/relationships/image" Target="../media/image43.jpeg"/><Relationship Id="rId66" Type="http://schemas.openxmlformats.org/officeDocument/2006/relationships/image" Target="../media/image64.jpeg"/><Relationship Id="rId87" Type="http://schemas.openxmlformats.org/officeDocument/2006/relationships/image" Target="../media/image85.jpeg"/><Relationship Id="rId110" Type="http://schemas.openxmlformats.org/officeDocument/2006/relationships/image" Target="../media/image108.jpeg"/><Relationship Id="rId115" Type="http://schemas.openxmlformats.org/officeDocument/2006/relationships/image" Target="../media/image113.jpeg"/><Relationship Id="rId131" Type="http://schemas.openxmlformats.org/officeDocument/2006/relationships/image" Target="../media/image129.jpg"/><Relationship Id="rId136" Type="http://schemas.openxmlformats.org/officeDocument/2006/relationships/image" Target="../media/image134.jpg"/><Relationship Id="rId157" Type="http://schemas.microsoft.com/office/2007/relationships/hdphoto" Target="../media/hdphoto4.wdp"/><Relationship Id="rId178" Type="http://schemas.openxmlformats.org/officeDocument/2006/relationships/image" Target="../media/image170.jpeg"/><Relationship Id="rId61" Type="http://schemas.openxmlformats.org/officeDocument/2006/relationships/image" Target="../media/image59.jpeg"/><Relationship Id="rId82" Type="http://schemas.openxmlformats.org/officeDocument/2006/relationships/image" Target="../media/image80.jpeg"/><Relationship Id="rId152" Type="http://schemas.openxmlformats.org/officeDocument/2006/relationships/image" Target="../media/image150.jpg"/><Relationship Id="rId173" Type="http://schemas.openxmlformats.org/officeDocument/2006/relationships/image" Target="../media/image165.jpeg"/><Relationship Id="rId194" Type="http://schemas.openxmlformats.org/officeDocument/2006/relationships/image" Target="../media/image186.jpeg"/><Relationship Id="rId199" Type="http://schemas.openxmlformats.org/officeDocument/2006/relationships/image" Target="../media/image191.jpeg"/><Relationship Id="rId203" Type="http://schemas.openxmlformats.org/officeDocument/2006/relationships/image" Target="../media/image195.jpeg"/><Relationship Id="rId208" Type="http://schemas.openxmlformats.org/officeDocument/2006/relationships/image" Target="../media/image200.png"/><Relationship Id="rId19" Type="http://schemas.openxmlformats.org/officeDocument/2006/relationships/image" Target="../media/image18.jpeg"/><Relationship Id="rId14" Type="http://schemas.openxmlformats.org/officeDocument/2006/relationships/image" Target="../media/image14.png"/><Relationship Id="rId30" Type="http://schemas.openxmlformats.org/officeDocument/2006/relationships/image" Target="../media/image28.jpeg"/><Relationship Id="rId35" Type="http://schemas.openxmlformats.org/officeDocument/2006/relationships/image" Target="../media/image33.jpeg"/><Relationship Id="rId56" Type="http://schemas.openxmlformats.org/officeDocument/2006/relationships/image" Target="../media/image54.jpeg"/><Relationship Id="rId77" Type="http://schemas.openxmlformats.org/officeDocument/2006/relationships/image" Target="../media/image75.jpeg"/><Relationship Id="rId100" Type="http://schemas.openxmlformats.org/officeDocument/2006/relationships/image" Target="../media/image98.jpeg"/><Relationship Id="rId105" Type="http://schemas.openxmlformats.org/officeDocument/2006/relationships/image" Target="../media/image103.jpeg"/><Relationship Id="rId126" Type="http://schemas.openxmlformats.org/officeDocument/2006/relationships/image" Target="../media/image124.jpg"/><Relationship Id="rId147" Type="http://schemas.openxmlformats.org/officeDocument/2006/relationships/image" Target="../media/image145.jpg"/><Relationship Id="rId168" Type="http://schemas.openxmlformats.org/officeDocument/2006/relationships/image" Target="../media/image160.jpeg"/><Relationship Id="rId8" Type="http://schemas.openxmlformats.org/officeDocument/2006/relationships/image" Target="../media/image8.png"/><Relationship Id="rId51" Type="http://schemas.openxmlformats.org/officeDocument/2006/relationships/image" Target="../media/image49.jpeg"/><Relationship Id="rId72" Type="http://schemas.openxmlformats.org/officeDocument/2006/relationships/image" Target="../media/image70.jpeg"/><Relationship Id="rId93" Type="http://schemas.openxmlformats.org/officeDocument/2006/relationships/image" Target="../media/image91.jpeg"/><Relationship Id="rId98" Type="http://schemas.openxmlformats.org/officeDocument/2006/relationships/image" Target="../media/image96.jpeg"/><Relationship Id="rId121" Type="http://schemas.openxmlformats.org/officeDocument/2006/relationships/image" Target="../media/image119.jpg"/><Relationship Id="rId142" Type="http://schemas.openxmlformats.org/officeDocument/2006/relationships/image" Target="../media/image140.jpg"/><Relationship Id="rId163" Type="http://schemas.microsoft.com/office/2007/relationships/hdphoto" Target="../media/hdphoto7.wdp"/><Relationship Id="rId184" Type="http://schemas.openxmlformats.org/officeDocument/2006/relationships/image" Target="../media/image176.png"/><Relationship Id="rId189" Type="http://schemas.openxmlformats.org/officeDocument/2006/relationships/image" Target="../media/image181.jpg"/><Relationship Id="rId219" Type="http://schemas.openxmlformats.org/officeDocument/2006/relationships/image" Target="../media/image211.jpeg"/><Relationship Id="rId3" Type="http://schemas.openxmlformats.org/officeDocument/2006/relationships/image" Target="../media/image3.jpeg"/><Relationship Id="rId214" Type="http://schemas.openxmlformats.org/officeDocument/2006/relationships/image" Target="../media/image206.jpeg"/><Relationship Id="rId25" Type="http://schemas.openxmlformats.org/officeDocument/2006/relationships/image" Target="../media/image24.jpeg"/><Relationship Id="rId46" Type="http://schemas.openxmlformats.org/officeDocument/2006/relationships/image" Target="../media/image44.jpeg"/><Relationship Id="rId67" Type="http://schemas.openxmlformats.org/officeDocument/2006/relationships/image" Target="../media/image65.jpeg"/><Relationship Id="rId116" Type="http://schemas.openxmlformats.org/officeDocument/2006/relationships/image" Target="../media/image114.jpeg"/><Relationship Id="rId137" Type="http://schemas.openxmlformats.org/officeDocument/2006/relationships/image" Target="../media/image135.jpg"/><Relationship Id="rId158" Type="http://schemas.openxmlformats.org/officeDocument/2006/relationships/image" Target="../media/image154.png"/><Relationship Id="rId20" Type="http://schemas.openxmlformats.org/officeDocument/2006/relationships/image" Target="../media/image19.png"/><Relationship Id="rId41" Type="http://schemas.openxmlformats.org/officeDocument/2006/relationships/image" Target="../media/image39.jpeg"/><Relationship Id="rId62" Type="http://schemas.openxmlformats.org/officeDocument/2006/relationships/image" Target="../media/image60.jpeg"/><Relationship Id="rId83" Type="http://schemas.openxmlformats.org/officeDocument/2006/relationships/image" Target="../media/image81.jpeg"/><Relationship Id="rId88" Type="http://schemas.openxmlformats.org/officeDocument/2006/relationships/image" Target="../media/image86.jpeg"/><Relationship Id="rId111" Type="http://schemas.openxmlformats.org/officeDocument/2006/relationships/image" Target="../media/image109.jpeg"/><Relationship Id="rId132" Type="http://schemas.openxmlformats.org/officeDocument/2006/relationships/image" Target="../media/image130.jpg"/><Relationship Id="rId153" Type="http://schemas.openxmlformats.org/officeDocument/2006/relationships/image" Target="../media/image151.jpg"/><Relationship Id="rId174" Type="http://schemas.openxmlformats.org/officeDocument/2006/relationships/image" Target="../media/image166.jpg"/><Relationship Id="rId179" Type="http://schemas.openxmlformats.org/officeDocument/2006/relationships/image" Target="../media/image171.jpeg"/><Relationship Id="rId195" Type="http://schemas.openxmlformats.org/officeDocument/2006/relationships/image" Target="../media/image187.jpeg"/><Relationship Id="rId209" Type="http://schemas.openxmlformats.org/officeDocument/2006/relationships/image" Target="../media/image201.jpeg"/><Relationship Id="rId190" Type="http://schemas.openxmlformats.org/officeDocument/2006/relationships/image" Target="../media/image182.jpg"/><Relationship Id="rId204" Type="http://schemas.openxmlformats.org/officeDocument/2006/relationships/image" Target="../media/image196.jpeg"/><Relationship Id="rId15" Type="http://schemas.microsoft.com/office/2007/relationships/hdphoto" Target="../media/hdphoto1.wdp"/><Relationship Id="rId36" Type="http://schemas.openxmlformats.org/officeDocument/2006/relationships/image" Target="../media/image34.jpeg"/><Relationship Id="rId57" Type="http://schemas.openxmlformats.org/officeDocument/2006/relationships/image" Target="../media/image55.jpeg"/><Relationship Id="rId106" Type="http://schemas.openxmlformats.org/officeDocument/2006/relationships/image" Target="../media/image104.png"/><Relationship Id="rId127" Type="http://schemas.openxmlformats.org/officeDocument/2006/relationships/image" Target="../media/image125.jpg"/><Relationship Id="rId10" Type="http://schemas.openxmlformats.org/officeDocument/2006/relationships/image" Target="../media/image10.png"/><Relationship Id="rId31" Type="http://schemas.openxmlformats.org/officeDocument/2006/relationships/image" Target="../media/image29.jpeg"/><Relationship Id="rId52" Type="http://schemas.openxmlformats.org/officeDocument/2006/relationships/image" Target="../media/image50.jpeg"/><Relationship Id="rId73" Type="http://schemas.openxmlformats.org/officeDocument/2006/relationships/image" Target="../media/image71.jpeg"/><Relationship Id="rId78" Type="http://schemas.openxmlformats.org/officeDocument/2006/relationships/image" Target="../media/image76.jpeg"/><Relationship Id="rId94" Type="http://schemas.openxmlformats.org/officeDocument/2006/relationships/image" Target="../media/image92.jpeg"/><Relationship Id="rId99" Type="http://schemas.openxmlformats.org/officeDocument/2006/relationships/image" Target="../media/image97.jpeg"/><Relationship Id="rId101" Type="http://schemas.openxmlformats.org/officeDocument/2006/relationships/image" Target="../media/image99.png"/><Relationship Id="rId122" Type="http://schemas.openxmlformats.org/officeDocument/2006/relationships/image" Target="../media/image120.jpg"/><Relationship Id="rId143" Type="http://schemas.openxmlformats.org/officeDocument/2006/relationships/image" Target="../media/image141.jpg"/><Relationship Id="rId148" Type="http://schemas.openxmlformats.org/officeDocument/2006/relationships/image" Target="../media/image146.jpg"/><Relationship Id="rId164" Type="http://schemas.openxmlformats.org/officeDocument/2006/relationships/image" Target="../media/image157.png"/><Relationship Id="rId169" Type="http://schemas.openxmlformats.org/officeDocument/2006/relationships/image" Target="../media/image161.jpeg"/><Relationship Id="rId185" Type="http://schemas.openxmlformats.org/officeDocument/2006/relationships/image" Target="../media/image177.jp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80" Type="http://schemas.openxmlformats.org/officeDocument/2006/relationships/image" Target="../media/image172.jpeg"/><Relationship Id="rId210" Type="http://schemas.openxmlformats.org/officeDocument/2006/relationships/image" Target="../media/image202.jpeg"/><Relationship Id="rId215" Type="http://schemas.openxmlformats.org/officeDocument/2006/relationships/image" Target="../media/image207.jpg"/><Relationship Id="rId26" Type="http://schemas.openxmlformats.org/officeDocument/2006/relationships/image" Target="../media/image25.jpeg"/><Relationship Id="rId47" Type="http://schemas.openxmlformats.org/officeDocument/2006/relationships/image" Target="../media/image45.jpeg"/><Relationship Id="rId68" Type="http://schemas.openxmlformats.org/officeDocument/2006/relationships/image" Target="../media/image66.jpeg"/><Relationship Id="rId89" Type="http://schemas.openxmlformats.org/officeDocument/2006/relationships/image" Target="../media/image87.jpeg"/><Relationship Id="rId112" Type="http://schemas.openxmlformats.org/officeDocument/2006/relationships/image" Target="../media/image110.jpeg"/><Relationship Id="rId133" Type="http://schemas.openxmlformats.org/officeDocument/2006/relationships/image" Target="../media/image131.jpg"/><Relationship Id="rId154" Type="http://schemas.openxmlformats.org/officeDocument/2006/relationships/image" Target="../media/image152.png"/><Relationship Id="rId175" Type="http://schemas.openxmlformats.org/officeDocument/2006/relationships/image" Target="../media/image167.jpg"/><Relationship Id="rId196" Type="http://schemas.openxmlformats.org/officeDocument/2006/relationships/image" Target="../media/image188.jpeg"/><Relationship Id="rId200" Type="http://schemas.openxmlformats.org/officeDocument/2006/relationships/image" Target="../media/image192.jpeg"/><Relationship Id="rId16" Type="http://schemas.openxmlformats.org/officeDocument/2006/relationships/image" Target="../media/image15.png"/><Relationship Id="rId37" Type="http://schemas.openxmlformats.org/officeDocument/2006/relationships/image" Target="../media/image35.jpeg"/><Relationship Id="rId58" Type="http://schemas.openxmlformats.org/officeDocument/2006/relationships/image" Target="../media/image56.jpeg"/><Relationship Id="rId79" Type="http://schemas.openxmlformats.org/officeDocument/2006/relationships/image" Target="../media/image77.jpeg"/><Relationship Id="rId102" Type="http://schemas.openxmlformats.org/officeDocument/2006/relationships/image" Target="../media/image100.png"/><Relationship Id="rId123" Type="http://schemas.openxmlformats.org/officeDocument/2006/relationships/image" Target="../media/image121.jpg"/><Relationship Id="rId144" Type="http://schemas.openxmlformats.org/officeDocument/2006/relationships/image" Target="../media/image142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152400</xdr:colOff>
      <xdr:row>398</xdr:row>
      <xdr:rowOff>21049</xdr:rowOff>
    </xdr:from>
    <xdr:to>
      <xdr:col>21</xdr:col>
      <xdr:colOff>257175</xdr:colOff>
      <xdr:row>404</xdr:row>
      <xdr:rowOff>1265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74439874"/>
          <a:ext cx="1314450" cy="1064705"/>
        </a:xfrm>
        <a:prstGeom prst="rect">
          <a:avLst/>
        </a:prstGeom>
      </xdr:spPr>
    </xdr:pic>
    <xdr:clientData/>
  </xdr:twoCellAnchor>
  <xdr:twoCellAnchor editAs="oneCell">
    <xdr:from>
      <xdr:col>18</xdr:col>
      <xdr:colOff>133350</xdr:colOff>
      <xdr:row>387</xdr:row>
      <xdr:rowOff>144419</xdr:rowOff>
    </xdr:from>
    <xdr:to>
      <xdr:col>21</xdr:col>
      <xdr:colOff>266700</xdr:colOff>
      <xdr:row>392</xdr:row>
      <xdr:rowOff>85650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0" y="72362969"/>
          <a:ext cx="1343025" cy="846106"/>
        </a:xfrm>
        <a:prstGeom prst="rect">
          <a:avLst/>
        </a:prstGeom>
      </xdr:spPr>
    </xdr:pic>
    <xdr:clientData/>
  </xdr:twoCellAnchor>
  <xdr:twoCellAnchor editAs="oneCell">
    <xdr:from>
      <xdr:col>3</xdr:col>
      <xdr:colOff>312420</xdr:colOff>
      <xdr:row>491</xdr:row>
      <xdr:rowOff>38100</xdr:rowOff>
    </xdr:from>
    <xdr:to>
      <xdr:col>6</xdr:col>
      <xdr:colOff>25101</xdr:colOff>
      <xdr:row>496</xdr:row>
      <xdr:rowOff>101233</xdr:rowOff>
    </xdr:to>
    <xdr:pic>
      <xdr:nvPicPr>
        <xdr:cNvPr id="136558" name="Picture 129" descr="bulk.jpg">
          <a:extLst>
            <a:ext uri="{FF2B5EF4-FFF2-40B4-BE49-F238E27FC236}">
              <a16:creationId xmlns:a16="http://schemas.microsoft.com/office/drawing/2014/main" id="{00000000-0008-0000-0000-00006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500" y="6877050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431650</xdr:colOff>
      <xdr:row>491</xdr:row>
      <xdr:rowOff>51099</xdr:rowOff>
    </xdr:from>
    <xdr:to>
      <xdr:col>11</xdr:col>
      <xdr:colOff>81226</xdr:colOff>
      <xdr:row>496</xdr:row>
      <xdr:rowOff>129472</xdr:rowOff>
    </xdr:to>
    <xdr:pic>
      <xdr:nvPicPr>
        <xdr:cNvPr id="136559" name="Picture 130" descr="bulk-flowrack.jpg">
          <a:extLst>
            <a:ext uri="{FF2B5EF4-FFF2-40B4-BE49-F238E27FC236}">
              <a16:creationId xmlns:a16="http://schemas.microsoft.com/office/drawing/2014/main" id="{00000000-0008-0000-0000-00006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690756" y="81369946"/>
          <a:ext cx="939373" cy="965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289560</xdr:colOff>
      <xdr:row>491</xdr:row>
      <xdr:rowOff>30480</xdr:rowOff>
    </xdr:from>
    <xdr:to>
      <xdr:col>15</xdr:col>
      <xdr:colOff>277584</xdr:colOff>
      <xdr:row>496</xdr:row>
      <xdr:rowOff>63133</xdr:rowOff>
    </xdr:to>
    <xdr:pic>
      <xdr:nvPicPr>
        <xdr:cNvPr id="136560" name="Picture 131" descr="bulk-cart.jpg">
          <a:extLst>
            <a:ext uri="{FF2B5EF4-FFF2-40B4-BE49-F238E27FC236}">
              <a16:creationId xmlns:a16="http://schemas.microsoft.com/office/drawing/2014/main" id="{00000000-0008-0000-0000-00007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251960" y="68762880"/>
          <a:ext cx="92202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342900</xdr:colOff>
      <xdr:row>491</xdr:row>
      <xdr:rowOff>30480</xdr:rowOff>
    </xdr:from>
    <xdr:to>
      <xdr:col>21</xdr:col>
      <xdr:colOff>47625</xdr:colOff>
      <xdr:row>496</xdr:row>
      <xdr:rowOff>93613</xdr:rowOff>
    </xdr:to>
    <xdr:pic>
      <xdr:nvPicPr>
        <xdr:cNvPr id="136561" name="Picture 132" descr="bulk-work.jpg">
          <a:extLst>
            <a:ext uri="{FF2B5EF4-FFF2-40B4-BE49-F238E27FC236}">
              <a16:creationId xmlns:a16="http://schemas.microsoft.com/office/drawing/2014/main" id="{00000000-0008-0000-0000-00007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156960" y="6876288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266701</xdr:colOff>
      <xdr:row>99</xdr:row>
      <xdr:rowOff>30480</xdr:rowOff>
    </xdr:from>
    <xdr:to>
      <xdr:col>16</xdr:col>
      <xdr:colOff>127686</xdr:colOff>
      <xdr:row>104</xdr:row>
      <xdr:rowOff>123925</xdr:rowOff>
    </xdr:to>
    <xdr:pic>
      <xdr:nvPicPr>
        <xdr:cNvPr id="136564" name="Picture 127" descr="H-13-B.jpg">
          <a:extLst>
            <a:ext uri="{FF2B5EF4-FFF2-40B4-BE49-F238E27FC236}">
              <a16:creationId xmlns:a16="http://schemas.microsoft.com/office/drawing/2014/main" id="{00000000-0008-0000-0000-00007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236721" y="15118080"/>
          <a:ext cx="1103046" cy="979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223193</xdr:colOff>
      <xdr:row>421</xdr:row>
      <xdr:rowOff>7870</xdr:rowOff>
    </xdr:from>
    <xdr:to>
      <xdr:col>16</xdr:col>
      <xdr:colOff>114746</xdr:colOff>
      <xdr:row>426</xdr:row>
      <xdr:rowOff>95783</xdr:rowOff>
    </xdr:to>
    <xdr:pic>
      <xdr:nvPicPr>
        <xdr:cNvPr id="136612" name="Picture 150" descr="WF-LONG-B.PNG">
          <a:extLst>
            <a:ext uri="{FF2B5EF4-FFF2-40B4-BE49-F238E27FC236}">
              <a16:creationId xmlns:a16="http://schemas.microsoft.com/office/drawing/2014/main" id="{00000000-0008-0000-0000-0000A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167664" y="65943282"/>
          <a:ext cx="1139441" cy="983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611505</xdr:colOff>
      <xdr:row>387</xdr:row>
      <xdr:rowOff>167640</xdr:rowOff>
    </xdr:from>
    <xdr:to>
      <xdr:col>11</xdr:col>
      <xdr:colOff>12855</xdr:colOff>
      <xdr:row>391</xdr:row>
      <xdr:rowOff>127362</xdr:rowOff>
    </xdr:to>
    <xdr:pic>
      <xdr:nvPicPr>
        <xdr:cNvPr id="136623" name="Picture 141" descr="M6-N-B.PNG">
          <a:extLst>
            <a:ext uri="{FF2B5EF4-FFF2-40B4-BE49-F238E27FC236}">
              <a16:creationId xmlns:a16="http://schemas.microsoft.com/office/drawing/2014/main" id="{00000000-0008-0000-0000-0000A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792730" y="72119490"/>
          <a:ext cx="668175" cy="683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144780</xdr:colOff>
      <xdr:row>387</xdr:row>
      <xdr:rowOff>114300</xdr:rowOff>
    </xdr:from>
    <xdr:to>
      <xdr:col>6</xdr:col>
      <xdr:colOff>208280</xdr:colOff>
      <xdr:row>392</xdr:row>
      <xdr:rowOff>6530</xdr:rowOff>
    </xdr:to>
    <xdr:pic>
      <xdr:nvPicPr>
        <xdr:cNvPr id="136624" name="Picture 142" descr="M6-25B-B.PNG">
          <a:extLst>
            <a:ext uri="{FF2B5EF4-FFF2-40B4-BE49-F238E27FC236}">
              <a16:creationId xmlns:a16="http://schemas.microsoft.com/office/drawing/2014/main" id="{00000000-0008-0000-0000-0000B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 rot="-461464">
          <a:off x="403860" y="57165240"/>
          <a:ext cx="131826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304800</xdr:colOff>
      <xdr:row>491</xdr:row>
      <xdr:rowOff>45720</xdr:rowOff>
    </xdr:from>
    <xdr:to>
      <xdr:col>25</xdr:col>
      <xdr:colOff>291831</xdr:colOff>
      <xdr:row>496</xdr:row>
      <xdr:rowOff>85993</xdr:rowOff>
    </xdr:to>
    <xdr:pic>
      <xdr:nvPicPr>
        <xdr:cNvPr id="136628" name="Picture 129" descr="bulk.jpg">
          <a:extLst>
            <a:ext uri="{FF2B5EF4-FFF2-40B4-BE49-F238E27FC236}">
              <a16:creationId xmlns:a16="http://schemas.microsoft.com/office/drawing/2014/main" id="{00000000-0008-0000-0000-0000B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70520" y="68778120"/>
          <a:ext cx="92964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259080</xdr:colOff>
      <xdr:row>421</xdr:row>
      <xdr:rowOff>60960</xdr:rowOff>
    </xdr:from>
    <xdr:to>
      <xdr:col>6</xdr:col>
      <xdr:colOff>78740</xdr:colOff>
      <xdr:row>426</xdr:row>
      <xdr:rowOff>47899</xdr:rowOff>
    </xdr:to>
    <xdr:pic>
      <xdr:nvPicPr>
        <xdr:cNvPr id="136637" name="Picture 136" descr="WFUP-1-b.png">
          <a:extLst>
            <a:ext uri="{FF2B5EF4-FFF2-40B4-BE49-F238E27FC236}">
              <a16:creationId xmlns:a16="http://schemas.microsoft.com/office/drawing/2014/main" id="{00000000-0008-0000-0000-0000B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18160" y="61287660"/>
          <a:ext cx="10744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198120</xdr:colOff>
      <xdr:row>421</xdr:row>
      <xdr:rowOff>91440</xdr:rowOff>
    </xdr:from>
    <xdr:to>
      <xdr:col>11</xdr:col>
      <xdr:colOff>89615</xdr:colOff>
      <xdr:row>426</xdr:row>
      <xdr:rowOff>63139</xdr:rowOff>
    </xdr:to>
    <xdr:pic>
      <xdr:nvPicPr>
        <xdr:cNvPr id="136638" name="Picture 137" descr="WFLOW-b.png">
          <a:extLst>
            <a:ext uri="{FF2B5EF4-FFF2-40B4-BE49-F238E27FC236}">
              <a16:creationId xmlns:a16="http://schemas.microsoft.com/office/drawing/2014/main" id="{00000000-0008-0000-0000-0000B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308860" y="61318140"/>
          <a:ext cx="119634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418801</xdr:colOff>
      <xdr:row>410</xdr:row>
      <xdr:rowOff>45271</xdr:rowOff>
    </xdr:from>
    <xdr:to>
      <xdr:col>20</xdr:col>
      <xdr:colOff>245445</xdr:colOff>
      <xdr:row>416</xdr:row>
      <xdr:rowOff>2690</xdr:rowOff>
    </xdr:to>
    <xdr:pic>
      <xdr:nvPicPr>
        <xdr:cNvPr id="136645" name="Picture 141" descr="F-BUS-B.PNG">
          <a:extLst>
            <a:ext uri="{FF2B5EF4-FFF2-40B4-BE49-F238E27FC236}">
              <a16:creationId xmlns:a16="http://schemas.microsoft.com/office/drawing/2014/main" id="{00000000-0008-0000-0000-0000C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98154" y="63007389"/>
          <a:ext cx="776642" cy="936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17960</xdr:colOff>
      <xdr:row>21</xdr:row>
      <xdr:rowOff>0</xdr:rowOff>
    </xdr:from>
    <xdr:to>
      <xdr:col>26</xdr:col>
      <xdr:colOff>105733</xdr:colOff>
      <xdr:row>30</xdr:row>
      <xdr:rowOff>162346</xdr:rowOff>
    </xdr:to>
    <xdr:pic>
      <xdr:nvPicPr>
        <xdr:cNvPr id="132" name="Picture 131" descr="Tubes-liste-de-prix.pn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237660" y="4895850"/>
          <a:ext cx="3612023" cy="2048296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121921</xdr:colOff>
      <xdr:row>433</xdr:row>
      <xdr:rowOff>104775</xdr:rowOff>
    </xdr:from>
    <xdr:to>
      <xdr:col>5</xdr:col>
      <xdr:colOff>178128</xdr:colOff>
      <xdr:row>437</xdr:row>
      <xdr:rowOff>37013</xdr:rowOff>
    </xdr:to>
    <xdr:pic>
      <xdr:nvPicPr>
        <xdr:cNvPr id="150" name="Picture 147" descr="M8-40B-B.PN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21971" y="83115150"/>
          <a:ext cx="961082" cy="6561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335954</xdr:colOff>
      <xdr:row>501</xdr:row>
      <xdr:rowOff>17930</xdr:rowOff>
    </xdr:from>
    <xdr:to>
      <xdr:col>6</xdr:col>
      <xdr:colOff>14792</xdr:colOff>
      <xdr:row>506</xdr:row>
      <xdr:rowOff>97976</xdr:rowOff>
    </xdr:to>
    <xdr:pic>
      <xdr:nvPicPr>
        <xdr:cNvPr id="158" name="Picture 157" descr="Flexpipe Crib_vignette.pn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b="918"/>
        <a:stretch>
          <a:fillRect/>
        </a:stretch>
      </xdr:blipFill>
      <xdr:spPr>
        <a:xfrm>
          <a:off x="640754" y="79463154"/>
          <a:ext cx="920450" cy="986117"/>
        </a:xfrm>
        <a:prstGeom prst="rect">
          <a:avLst/>
        </a:prstGeom>
      </xdr:spPr>
    </xdr:pic>
    <xdr:clientData/>
  </xdr:twoCellAnchor>
  <xdr:twoCellAnchor editAs="oneCell">
    <xdr:from>
      <xdr:col>3</xdr:col>
      <xdr:colOff>161365</xdr:colOff>
      <xdr:row>131</xdr:row>
      <xdr:rowOff>35858</xdr:rowOff>
    </xdr:from>
    <xdr:to>
      <xdr:col>6</xdr:col>
      <xdr:colOff>172486</xdr:colOff>
      <xdr:row>136</xdr:row>
      <xdr:rowOff>81963</xdr:rowOff>
    </xdr:to>
    <xdr:pic>
      <xdr:nvPicPr>
        <xdr:cNvPr id="204" name="Picture 203" descr="HJ-1_vignette.jpg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12377" y="21147740"/>
          <a:ext cx="1264088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215153</xdr:colOff>
      <xdr:row>521</xdr:row>
      <xdr:rowOff>15733</xdr:rowOff>
    </xdr:from>
    <xdr:to>
      <xdr:col>21</xdr:col>
      <xdr:colOff>80795</xdr:colOff>
      <xdr:row>526</xdr:row>
      <xdr:rowOff>92964</xdr:rowOff>
    </xdr:to>
    <xdr:pic>
      <xdr:nvPicPr>
        <xdr:cNvPr id="223" name="Picture 243" descr="5-t-bit-b.png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263028" y="83711908"/>
          <a:ext cx="1079127" cy="941286"/>
        </a:xfrm>
        <a:prstGeom prst="rect">
          <a:avLst/>
        </a:prstGeom>
      </xdr:spPr>
    </xdr:pic>
    <xdr:clientData/>
  </xdr:twoCellAnchor>
  <xdr:twoCellAnchor editAs="oneCell">
    <xdr:from>
      <xdr:col>3</xdr:col>
      <xdr:colOff>297180</xdr:colOff>
      <xdr:row>286</xdr:row>
      <xdr:rowOff>26894</xdr:rowOff>
    </xdr:from>
    <xdr:to>
      <xdr:col>6</xdr:col>
      <xdr:colOff>162560</xdr:colOff>
      <xdr:row>291</xdr:row>
      <xdr:rowOff>137162</xdr:rowOff>
    </xdr:to>
    <xdr:pic>
      <xdr:nvPicPr>
        <xdr:cNvPr id="250" name="Picture 249" descr="AF-ILEV_vignette.jpg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b="15068"/>
        <a:stretch>
          <a:fillRect/>
        </a:stretch>
      </xdr:blipFill>
      <xdr:spPr>
        <a:xfrm>
          <a:off x="678180" y="45579254"/>
          <a:ext cx="1112520" cy="971326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286</xdr:row>
      <xdr:rowOff>26894</xdr:rowOff>
    </xdr:from>
    <xdr:to>
      <xdr:col>16</xdr:col>
      <xdr:colOff>281939</xdr:colOff>
      <xdr:row>291</xdr:row>
      <xdr:rowOff>137162</xdr:rowOff>
    </xdr:to>
    <xdr:pic>
      <xdr:nvPicPr>
        <xdr:cNvPr id="260" name="Picture 259" descr="AF-RUB_vignette.jpg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b="9333"/>
        <a:stretch>
          <a:fillRect/>
        </a:stretch>
      </xdr:blipFill>
      <xdr:spPr>
        <a:xfrm>
          <a:off x="4152900" y="45579254"/>
          <a:ext cx="1348738" cy="971326"/>
        </a:xfrm>
        <a:prstGeom prst="rect">
          <a:avLst/>
        </a:prstGeom>
      </xdr:spPr>
    </xdr:pic>
    <xdr:clientData/>
  </xdr:twoCellAnchor>
  <xdr:twoCellAnchor editAs="oneCell">
    <xdr:from>
      <xdr:col>23</xdr:col>
      <xdr:colOff>150223</xdr:colOff>
      <xdr:row>286</xdr:row>
      <xdr:rowOff>44822</xdr:rowOff>
    </xdr:from>
    <xdr:to>
      <xdr:col>26</xdr:col>
      <xdr:colOff>249056</xdr:colOff>
      <xdr:row>291</xdr:row>
      <xdr:rowOff>144782</xdr:rowOff>
    </xdr:to>
    <xdr:pic>
      <xdr:nvPicPr>
        <xdr:cNvPr id="264" name="Picture 263" descr="AF-STACK_vignette.jpg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t="6667"/>
        <a:stretch>
          <a:fillRect/>
        </a:stretch>
      </xdr:blipFill>
      <xdr:spPr>
        <a:xfrm>
          <a:off x="7724503" y="45597182"/>
          <a:ext cx="1341120" cy="961018"/>
        </a:xfrm>
        <a:prstGeom prst="rect">
          <a:avLst/>
        </a:prstGeom>
      </xdr:spPr>
    </xdr:pic>
    <xdr:clientData/>
  </xdr:twoCellAnchor>
  <xdr:twoCellAnchor editAs="oneCell">
    <xdr:from>
      <xdr:col>13</xdr:col>
      <xdr:colOff>120059</xdr:colOff>
      <xdr:row>308</xdr:row>
      <xdr:rowOff>35859</xdr:rowOff>
    </xdr:from>
    <xdr:to>
      <xdr:col>16</xdr:col>
      <xdr:colOff>255989</xdr:colOff>
      <xdr:row>313</xdr:row>
      <xdr:rowOff>160021</xdr:rowOff>
    </xdr:to>
    <xdr:pic>
      <xdr:nvPicPr>
        <xdr:cNvPr id="265" name="Picture 264" descr="AI-CENTER_vignette.jpg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097699" y="49733499"/>
          <a:ext cx="1377989" cy="985221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</xdr:colOff>
      <xdr:row>308</xdr:row>
      <xdr:rowOff>29006</xdr:rowOff>
    </xdr:from>
    <xdr:to>
      <xdr:col>6</xdr:col>
      <xdr:colOff>323476</xdr:colOff>
      <xdr:row>313</xdr:row>
      <xdr:rowOff>87488</xdr:rowOff>
    </xdr:to>
    <xdr:pic>
      <xdr:nvPicPr>
        <xdr:cNvPr id="266" name="Picture 265" descr="AI-CORNER_vignette.jpg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t="13609" b="7169"/>
        <a:stretch>
          <a:fillRect/>
        </a:stretch>
      </xdr:blipFill>
      <xdr:spPr>
        <a:xfrm>
          <a:off x="426720" y="50305766"/>
          <a:ext cx="1523626" cy="919541"/>
        </a:xfrm>
        <a:prstGeom prst="rect">
          <a:avLst/>
        </a:prstGeom>
      </xdr:spPr>
    </xdr:pic>
    <xdr:clientData/>
  </xdr:twoCellAnchor>
  <xdr:twoCellAnchor editAs="oneCell">
    <xdr:from>
      <xdr:col>8</xdr:col>
      <xdr:colOff>22106</xdr:colOff>
      <xdr:row>308</xdr:row>
      <xdr:rowOff>75300</xdr:rowOff>
    </xdr:from>
    <xdr:to>
      <xdr:col>11</xdr:col>
      <xdr:colOff>447675</xdr:colOff>
      <xdr:row>313</xdr:row>
      <xdr:rowOff>121933</xdr:rowOff>
    </xdr:to>
    <xdr:pic>
      <xdr:nvPicPr>
        <xdr:cNvPr id="267" name="Picture 266" descr="AI-SUPPORT_vignette.jpg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t="13547" b="15333"/>
        <a:stretch>
          <a:fillRect/>
        </a:stretch>
      </xdr:blipFill>
      <xdr:spPr>
        <a:xfrm>
          <a:off x="2203331" y="54063000"/>
          <a:ext cx="1682869" cy="932458"/>
        </a:xfrm>
        <a:prstGeom prst="rect">
          <a:avLst/>
        </a:prstGeom>
      </xdr:spPr>
    </xdr:pic>
    <xdr:clientData/>
  </xdr:twoCellAnchor>
  <xdr:twoCellAnchor editAs="oneCell">
    <xdr:from>
      <xdr:col>8</xdr:col>
      <xdr:colOff>152399</xdr:colOff>
      <xdr:row>297</xdr:row>
      <xdr:rowOff>35860</xdr:rowOff>
    </xdr:from>
    <xdr:to>
      <xdr:col>11</xdr:col>
      <xdr:colOff>205261</xdr:colOff>
      <xdr:row>302</xdr:row>
      <xdr:rowOff>137160</xdr:rowOff>
    </xdr:to>
    <xdr:pic>
      <xdr:nvPicPr>
        <xdr:cNvPr id="270" name="Picture 269" descr="AO-CLIP_vignette.jpg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339339" y="47660860"/>
          <a:ext cx="1341379" cy="962360"/>
        </a:xfrm>
        <a:prstGeom prst="rect">
          <a:avLst/>
        </a:prstGeom>
      </xdr:spPr>
    </xdr:pic>
    <xdr:clientData/>
  </xdr:twoCellAnchor>
  <xdr:twoCellAnchor editAs="oneCell">
    <xdr:from>
      <xdr:col>13</xdr:col>
      <xdr:colOff>137160</xdr:colOff>
      <xdr:row>297</xdr:row>
      <xdr:rowOff>35858</xdr:rowOff>
    </xdr:from>
    <xdr:to>
      <xdr:col>16</xdr:col>
      <xdr:colOff>335281</xdr:colOff>
      <xdr:row>302</xdr:row>
      <xdr:rowOff>143467</xdr:rowOff>
    </xdr:to>
    <xdr:pic>
      <xdr:nvPicPr>
        <xdr:cNvPr id="271" name="Picture 270" descr="AO-EMT1_vignette.jpg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artisticMarker/>
                  </a14:imgEffect>
                </a14:imgLayer>
              </a14:imgProps>
            </a:ext>
          </a:extLst>
        </a:blip>
        <a:srcRect t="4667"/>
        <a:stretch>
          <a:fillRect/>
        </a:stretch>
      </xdr:blipFill>
      <xdr:spPr>
        <a:xfrm>
          <a:off x="4114800" y="47660858"/>
          <a:ext cx="1440180" cy="968669"/>
        </a:xfrm>
        <a:prstGeom prst="rect">
          <a:avLst/>
        </a:prstGeom>
      </xdr:spPr>
    </xdr:pic>
    <xdr:clientData/>
  </xdr:twoCellAnchor>
  <xdr:twoCellAnchor editAs="oneCell">
    <xdr:from>
      <xdr:col>18</xdr:col>
      <xdr:colOff>32917</xdr:colOff>
      <xdr:row>297</xdr:row>
      <xdr:rowOff>11257</xdr:rowOff>
    </xdr:from>
    <xdr:to>
      <xdr:col>21</xdr:col>
      <xdr:colOff>344805</xdr:colOff>
      <xdr:row>302</xdr:row>
      <xdr:rowOff>152400</xdr:rowOff>
    </xdr:to>
    <xdr:pic>
      <xdr:nvPicPr>
        <xdr:cNvPr id="272" name="Picture 271" descr="AO-EMT2_vignette.jpg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t="4000" b="6000"/>
        <a:stretch>
          <a:fillRect/>
        </a:stretch>
      </xdr:blipFill>
      <xdr:spPr>
        <a:xfrm>
          <a:off x="5824117" y="47636257"/>
          <a:ext cx="1552043" cy="1002203"/>
        </a:xfrm>
        <a:prstGeom prst="rect">
          <a:avLst/>
        </a:prstGeom>
      </xdr:spPr>
    </xdr:pic>
    <xdr:clientData/>
  </xdr:twoCellAnchor>
  <xdr:twoCellAnchor editAs="oneCell">
    <xdr:from>
      <xdr:col>3</xdr:col>
      <xdr:colOff>129539</xdr:colOff>
      <xdr:row>297</xdr:row>
      <xdr:rowOff>26894</xdr:rowOff>
    </xdr:from>
    <xdr:to>
      <xdr:col>6</xdr:col>
      <xdr:colOff>295954</xdr:colOff>
      <xdr:row>302</xdr:row>
      <xdr:rowOff>144780</xdr:rowOff>
    </xdr:to>
    <xdr:pic>
      <xdr:nvPicPr>
        <xdr:cNvPr id="273" name="Picture 272" descr="AO-SHIM_vignette.jpg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10539" y="47651894"/>
          <a:ext cx="1413555" cy="978946"/>
        </a:xfrm>
        <a:prstGeom prst="rect">
          <a:avLst/>
        </a:prstGeom>
      </xdr:spPr>
    </xdr:pic>
    <xdr:clientData/>
  </xdr:twoCellAnchor>
  <xdr:twoCellAnchor editAs="oneCell">
    <xdr:from>
      <xdr:col>3</xdr:col>
      <xdr:colOff>395792</xdr:colOff>
      <xdr:row>275</xdr:row>
      <xdr:rowOff>26894</xdr:rowOff>
    </xdr:from>
    <xdr:to>
      <xdr:col>6</xdr:col>
      <xdr:colOff>430399</xdr:colOff>
      <xdr:row>280</xdr:row>
      <xdr:rowOff>105048</xdr:rowOff>
    </xdr:to>
    <xdr:pic>
      <xdr:nvPicPr>
        <xdr:cNvPr id="277" name="Picture 276" descr="AP-ICAP_vignette.jpg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817133" y="43792588"/>
          <a:ext cx="1279581" cy="956694"/>
        </a:xfrm>
        <a:prstGeom prst="rect">
          <a:avLst/>
        </a:prstGeom>
      </xdr:spPr>
    </xdr:pic>
    <xdr:clientData/>
  </xdr:twoCellAnchor>
  <xdr:twoCellAnchor editAs="oneCell">
    <xdr:from>
      <xdr:col>3</xdr:col>
      <xdr:colOff>167640</xdr:colOff>
      <xdr:row>319</xdr:row>
      <xdr:rowOff>38100</xdr:rowOff>
    </xdr:from>
    <xdr:to>
      <xdr:col>6</xdr:col>
      <xdr:colOff>170180</xdr:colOff>
      <xdr:row>324</xdr:row>
      <xdr:rowOff>108857</xdr:rowOff>
    </xdr:to>
    <xdr:pic>
      <xdr:nvPicPr>
        <xdr:cNvPr id="279" name="Picture 278" descr="AS-DIVIDER_vignette.jpg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418652" y="49693606"/>
          <a:ext cx="1256852" cy="956982"/>
        </a:xfrm>
        <a:prstGeom prst="rect">
          <a:avLst/>
        </a:prstGeom>
      </xdr:spPr>
    </xdr:pic>
    <xdr:clientData/>
  </xdr:twoCellAnchor>
  <xdr:twoCellAnchor editAs="oneCell">
    <xdr:from>
      <xdr:col>13</xdr:col>
      <xdr:colOff>167640</xdr:colOff>
      <xdr:row>319</xdr:row>
      <xdr:rowOff>38100</xdr:rowOff>
    </xdr:from>
    <xdr:to>
      <xdr:col>16</xdr:col>
      <xdr:colOff>175259</xdr:colOff>
      <xdr:row>324</xdr:row>
      <xdr:rowOff>101237</xdr:rowOff>
    </xdr:to>
    <xdr:pic>
      <xdr:nvPicPr>
        <xdr:cNvPr id="280" name="Picture 279" descr="AS-REST_vignette.jpg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t="2439"/>
        <a:stretch>
          <a:fillRect/>
        </a:stretch>
      </xdr:blipFill>
      <xdr:spPr>
        <a:xfrm>
          <a:off x="4137660" y="49072800"/>
          <a:ext cx="1249680" cy="93726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319</xdr:row>
      <xdr:rowOff>53788</xdr:rowOff>
    </xdr:from>
    <xdr:to>
      <xdr:col>11</xdr:col>
      <xdr:colOff>310595</xdr:colOff>
      <xdr:row>324</xdr:row>
      <xdr:rowOff>101237</xdr:rowOff>
    </xdr:to>
    <xdr:pic>
      <xdr:nvPicPr>
        <xdr:cNvPr id="161" name="Picture 160" descr="AS-SWIVEL_vignette.jp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t="5333" b="10000"/>
        <a:stretch>
          <a:fillRect/>
        </a:stretch>
      </xdr:blipFill>
      <xdr:spPr>
        <a:xfrm>
          <a:off x="2129566" y="49709294"/>
          <a:ext cx="1585856" cy="933674"/>
        </a:xfrm>
        <a:prstGeom prst="rect">
          <a:avLst/>
        </a:prstGeom>
      </xdr:spPr>
    </xdr:pic>
    <xdr:clientData/>
  </xdr:twoCellAnchor>
  <xdr:twoCellAnchor editAs="oneCell">
    <xdr:from>
      <xdr:col>13</xdr:col>
      <xdr:colOff>91440</xdr:colOff>
      <xdr:row>341</xdr:row>
      <xdr:rowOff>22860</xdr:rowOff>
    </xdr:from>
    <xdr:to>
      <xdr:col>16</xdr:col>
      <xdr:colOff>274319</xdr:colOff>
      <xdr:row>346</xdr:row>
      <xdr:rowOff>102458</xdr:rowOff>
    </xdr:to>
    <xdr:pic>
      <xdr:nvPicPr>
        <xdr:cNvPr id="163" name="Picture 162" descr="AW-HOLDER_vignette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t="4000" b="5333"/>
        <a:stretch>
          <a:fillRect/>
        </a:stretch>
      </xdr:blipFill>
      <xdr:spPr>
        <a:xfrm>
          <a:off x="4061460" y="53248560"/>
          <a:ext cx="1424940" cy="968959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341</xdr:row>
      <xdr:rowOff>22860</xdr:rowOff>
    </xdr:from>
    <xdr:to>
      <xdr:col>6</xdr:col>
      <xdr:colOff>55880</xdr:colOff>
      <xdr:row>346</xdr:row>
      <xdr:rowOff>92816</xdr:rowOff>
    </xdr:to>
    <xdr:pic>
      <xdr:nvPicPr>
        <xdr:cNvPr id="164" name="Picture 163" descr="AW-HOOK_vignette.jp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t="8000" r="14500"/>
        <a:stretch>
          <a:fillRect/>
        </a:stretch>
      </xdr:blipFill>
      <xdr:spPr>
        <a:xfrm>
          <a:off x="365760" y="53248560"/>
          <a:ext cx="1188720" cy="959317"/>
        </a:xfrm>
        <a:prstGeom prst="rect">
          <a:avLst/>
        </a:prstGeom>
      </xdr:spPr>
    </xdr:pic>
    <xdr:clientData/>
  </xdr:twoCellAnchor>
  <xdr:twoCellAnchor editAs="oneCell">
    <xdr:from>
      <xdr:col>8</xdr:col>
      <xdr:colOff>185057</xdr:colOff>
      <xdr:row>341</xdr:row>
      <xdr:rowOff>15240</xdr:rowOff>
    </xdr:from>
    <xdr:to>
      <xdr:col>11</xdr:col>
      <xdr:colOff>173435</xdr:colOff>
      <xdr:row>346</xdr:row>
      <xdr:rowOff>90692</xdr:rowOff>
    </xdr:to>
    <xdr:pic>
      <xdr:nvPicPr>
        <xdr:cNvPr id="166" name="Picture 165" descr="AW-ROLLER_vignette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503714" y="54204326"/>
          <a:ext cx="1287780" cy="946307"/>
        </a:xfrm>
        <a:prstGeom prst="rect">
          <a:avLst/>
        </a:prstGeom>
      </xdr:spPr>
    </xdr:pic>
    <xdr:clientData/>
  </xdr:twoCellAnchor>
  <xdr:twoCellAnchor editAs="oneCell">
    <xdr:from>
      <xdr:col>3</xdr:col>
      <xdr:colOff>22859</xdr:colOff>
      <xdr:row>375</xdr:row>
      <xdr:rowOff>7620</xdr:rowOff>
    </xdr:from>
    <xdr:to>
      <xdr:col>7</xdr:col>
      <xdr:colOff>12700</xdr:colOff>
      <xdr:row>379</xdr:row>
      <xdr:rowOff>158746</xdr:rowOff>
    </xdr:to>
    <xdr:pic>
      <xdr:nvPicPr>
        <xdr:cNvPr id="168" name="Picture 167" descr="D-HDPEW-4812_vignette.jp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b="19333"/>
        <a:stretch>
          <a:fillRect/>
        </a:stretch>
      </xdr:blipFill>
      <xdr:spPr>
        <a:xfrm>
          <a:off x="416559" y="61932820"/>
          <a:ext cx="1697991" cy="862330"/>
        </a:xfrm>
        <a:prstGeom prst="rect">
          <a:avLst/>
        </a:prstGeom>
      </xdr:spPr>
    </xdr:pic>
    <xdr:clientData/>
  </xdr:twoCellAnchor>
  <xdr:twoCellAnchor editAs="oneCell">
    <xdr:from>
      <xdr:col>8</xdr:col>
      <xdr:colOff>25346</xdr:colOff>
      <xdr:row>375</xdr:row>
      <xdr:rowOff>44557</xdr:rowOff>
    </xdr:from>
    <xdr:to>
      <xdr:col>12</xdr:col>
      <xdr:colOff>16809</xdr:colOff>
      <xdr:row>378</xdr:row>
      <xdr:rowOff>89645</xdr:rowOff>
    </xdr:to>
    <xdr:pic>
      <xdr:nvPicPr>
        <xdr:cNvPr id="212" name="Picture 211" descr="D-HDPEW-4814_vignette.jp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b="26000"/>
        <a:stretch>
          <a:fillRect/>
        </a:stretch>
      </xdr:blipFill>
      <xdr:spPr>
        <a:xfrm>
          <a:off x="2330557" y="65089902"/>
          <a:ext cx="1825224" cy="582972"/>
        </a:xfrm>
        <a:prstGeom prst="rect">
          <a:avLst/>
        </a:prstGeom>
      </xdr:spPr>
    </xdr:pic>
    <xdr:clientData/>
  </xdr:twoCellAnchor>
  <xdr:twoCellAnchor editAs="oneCell">
    <xdr:from>
      <xdr:col>13</xdr:col>
      <xdr:colOff>60959</xdr:colOff>
      <xdr:row>501</xdr:row>
      <xdr:rowOff>59615</xdr:rowOff>
    </xdr:from>
    <xdr:to>
      <xdr:col>16</xdr:col>
      <xdr:colOff>396238</xdr:colOff>
      <xdr:row>506</xdr:row>
      <xdr:rowOff>145040</xdr:rowOff>
    </xdr:to>
    <xdr:pic>
      <xdr:nvPicPr>
        <xdr:cNvPr id="233" name="Picture 232" descr="Training-169.jpg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207509" y="83816115"/>
          <a:ext cx="1598929" cy="974420"/>
        </a:xfrm>
        <a:prstGeom prst="rect">
          <a:avLst/>
        </a:prstGeom>
      </xdr:spPr>
    </xdr:pic>
    <xdr:clientData/>
  </xdr:twoCellAnchor>
  <xdr:twoCellAnchor editAs="oneCell">
    <xdr:from>
      <xdr:col>3</xdr:col>
      <xdr:colOff>160020</xdr:colOff>
      <xdr:row>79</xdr:row>
      <xdr:rowOff>22860</xdr:rowOff>
    </xdr:from>
    <xdr:to>
      <xdr:col>6</xdr:col>
      <xdr:colOff>177800</xdr:colOff>
      <xdr:row>84</xdr:row>
      <xdr:rowOff>137707</xdr:rowOff>
    </xdr:to>
    <xdr:pic>
      <xdr:nvPicPr>
        <xdr:cNvPr id="281" name="Picture 280" descr="H-1_vignette.jpg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560070" y="12795885"/>
          <a:ext cx="1227455" cy="962572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79</xdr:row>
      <xdr:rowOff>45720</xdr:rowOff>
    </xdr:from>
    <xdr:to>
      <xdr:col>11</xdr:col>
      <xdr:colOff>287735</xdr:colOff>
      <xdr:row>84</xdr:row>
      <xdr:rowOff>80557</xdr:rowOff>
    </xdr:to>
    <xdr:pic>
      <xdr:nvPicPr>
        <xdr:cNvPr id="282" name="Picture 281" descr="H-2_vignette.jpg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t="11333" b="12667"/>
        <a:stretch>
          <a:fillRect/>
        </a:stretch>
      </xdr:blipFill>
      <xdr:spPr>
        <a:xfrm>
          <a:off x="2164080" y="11765280"/>
          <a:ext cx="1524000" cy="868680"/>
        </a:xfrm>
        <a:prstGeom prst="rect">
          <a:avLst/>
        </a:prstGeom>
      </xdr:spPr>
    </xdr:pic>
    <xdr:clientData/>
  </xdr:twoCellAnchor>
  <xdr:twoCellAnchor editAs="oneCell">
    <xdr:from>
      <xdr:col>13</xdr:col>
      <xdr:colOff>42454</xdr:colOff>
      <xdr:row>79</xdr:row>
      <xdr:rowOff>42454</xdr:rowOff>
    </xdr:from>
    <xdr:to>
      <xdr:col>16</xdr:col>
      <xdr:colOff>324393</xdr:colOff>
      <xdr:row>84</xdr:row>
      <xdr:rowOff>100151</xdr:rowOff>
    </xdr:to>
    <xdr:pic>
      <xdr:nvPicPr>
        <xdr:cNvPr id="283" name="Picture 282" descr="H-3_vignette.jpg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t="11333" b="10667"/>
        <a:stretch>
          <a:fillRect/>
        </a:stretch>
      </xdr:blipFill>
      <xdr:spPr>
        <a:xfrm>
          <a:off x="3895997" y="12517483"/>
          <a:ext cx="1533796" cy="874123"/>
        </a:xfrm>
        <a:prstGeom prst="rect">
          <a:avLst/>
        </a:prstGeom>
      </xdr:spPr>
    </xdr:pic>
    <xdr:clientData/>
  </xdr:twoCellAnchor>
  <xdr:twoCellAnchor editAs="oneCell">
    <xdr:from>
      <xdr:col>18</xdr:col>
      <xdr:colOff>327660</xdr:colOff>
      <xdr:row>79</xdr:row>
      <xdr:rowOff>30480</xdr:rowOff>
    </xdr:from>
    <xdr:to>
      <xdr:col>21</xdr:col>
      <xdr:colOff>184785</xdr:colOff>
      <xdr:row>84</xdr:row>
      <xdr:rowOff>138746</xdr:rowOff>
    </xdr:to>
    <xdr:pic>
      <xdr:nvPicPr>
        <xdr:cNvPr id="284" name="Picture 283" descr="H-4_vignette.jpg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l="8543" r="8543"/>
        <a:stretch>
          <a:fillRect/>
        </a:stretch>
      </xdr:blipFill>
      <xdr:spPr>
        <a:xfrm>
          <a:off x="6156960" y="11750040"/>
          <a:ext cx="1097280" cy="942109"/>
        </a:xfrm>
        <a:prstGeom prst="rect">
          <a:avLst/>
        </a:prstGeom>
      </xdr:spPr>
    </xdr:pic>
    <xdr:clientData/>
  </xdr:twoCellAnchor>
  <xdr:twoCellAnchor editAs="oneCell">
    <xdr:from>
      <xdr:col>23</xdr:col>
      <xdr:colOff>210820</xdr:colOff>
      <xdr:row>79</xdr:row>
      <xdr:rowOff>7620</xdr:rowOff>
    </xdr:from>
    <xdr:to>
      <xdr:col>26</xdr:col>
      <xdr:colOff>250145</xdr:colOff>
      <xdr:row>84</xdr:row>
      <xdr:rowOff>141517</xdr:rowOff>
    </xdr:to>
    <xdr:pic>
      <xdr:nvPicPr>
        <xdr:cNvPr id="285" name="Picture 284" descr="H-5_vignette.jpg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7945120" y="1172718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287732</xdr:colOff>
      <xdr:row>89</xdr:row>
      <xdr:rowOff>22860</xdr:rowOff>
    </xdr:from>
    <xdr:to>
      <xdr:col>6</xdr:col>
      <xdr:colOff>124460</xdr:colOff>
      <xdr:row>94</xdr:row>
      <xdr:rowOff>104501</xdr:rowOff>
    </xdr:to>
    <xdr:pic>
      <xdr:nvPicPr>
        <xdr:cNvPr id="286" name="Picture 285" descr="H-6_vignette.jpg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rcRect l="8000" r="8000"/>
        <a:stretch>
          <a:fillRect/>
        </a:stretch>
      </xdr:blipFill>
      <xdr:spPr>
        <a:xfrm>
          <a:off x="539192" y="13403580"/>
          <a:ext cx="1083868" cy="967740"/>
        </a:xfrm>
        <a:prstGeom prst="rect">
          <a:avLst/>
        </a:prstGeom>
      </xdr:spPr>
    </xdr:pic>
    <xdr:clientData/>
  </xdr:twoCellAnchor>
  <xdr:twoCellAnchor editAs="oneCell">
    <xdr:from>
      <xdr:col>8</xdr:col>
      <xdr:colOff>270460</xdr:colOff>
      <xdr:row>89</xdr:row>
      <xdr:rowOff>22861</xdr:rowOff>
    </xdr:from>
    <xdr:to>
      <xdr:col>11</xdr:col>
      <xdr:colOff>59135</xdr:colOff>
      <xdr:row>94</xdr:row>
      <xdr:rowOff>112122</xdr:rowOff>
    </xdr:to>
    <xdr:pic>
      <xdr:nvPicPr>
        <xdr:cNvPr id="287" name="Picture 286" descr="H-6A_vignette.jpg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l="8000" r="8500"/>
        <a:stretch>
          <a:fillRect/>
        </a:stretch>
      </xdr:blipFill>
      <xdr:spPr>
        <a:xfrm>
          <a:off x="2373580" y="13403581"/>
          <a:ext cx="1085900" cy="975360"/>
        </a:xfrm>
        <a:prstGeom prst="rect">
          <a:avLst/>
        </a:prstGeom>
      </xdr:spPr>
    </xdr:pic>
    <xdr:clientData/>
  </xdr:twoCellAnchor>
  <xdr:twoCellAnchor editAs="oneCell">
    <xdr:from>
      <xdr:col>13</xdr:col>
      <xdr:colOff>320040</xdr:colOff>
      <xdr:row>89</xdr:row>
      <xdr:rowOff>7620</xdr:rowOff>
    </xdr:from>
    <xdr:to>
      <xdr:col>16</xdr:col>
      <xdr:colOff>91439</xdr:colOff>
      <xdr:row>94</xdr:row>
      <xdr:rowOff>130626</xdr:rowOff>
    </xdr:to>
    <xdr:pic>
      <xdr:nvPicPr>
        <xdr:cNvPr id="288" name="Picture 287" descr="H-7_vignette.jpg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l="12000" r="13000"/>
        <a:stretch>
          <a:fillRect/>
        </a:stretch>
      </xdr:blipFill>
      <xdr:spPr>
        <a:xfrm>
          <a:off x="4290060" y="13388340"/>
          <a:ext cx="1013460" cy="101346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266700</xdr:colOff>
      <xdr:row>89</xdr:row>
      <xdr:rowOff>15240</xdr:rowOff>
    </xdr:from>
    <xdr:to>
      <xdr:col>21</xdr:col>
      <xdr:colOff>161925</xdr:colOff>
      <xdr:row>94</xdr:row>
      <xdr:rowOff>113575</xdr:rowOff>
    </xdr:to>
    <xdr:pic>
      <xdr:nvPicPr>
        <xdr:cNvPr id="289" name="Picture 288" descr="H-7A_vignette.jpg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l="7000" r="6500"/>
        <a:stretch>
          <a:fillRect/>
        </a:stretch>
      </xdr:blipFill>
      <xdr:spPr>
        <a:xfrm>
          <a:off x="6096000" y="13395960"/>
          <a:ext cx="1135380" cy="984434"/>
        </a:xfrm>
        <a:prstGeom prst="rect">
          <a:avLst/>
        </a:prstGeom>
      </xdr:spPr>
    </xdr:pic>
    <xdr:clientData/>
  </xdr:twoCellAnchor>
  <xdr:twoCellAnchor editAs="oneCell">
    <xdr:from>
      <xdr:col>23</xdr:col>
      <xdr:colOff>219075</xdr:colOff>
      <xdr:row>89</xdr:row>
      <xdr:rowOff>20781</xdr:rowOff>
    </xdr:from>
    <xdr:to>
      <xdr:col>26</xdr:col>
      <xdr:colOff>97745</xdr:colOff>
      <xdr:row>94</xdr:row>
      <xdr:rowOff>164892</xdr:rowOff>
    </xdr:to>
    <xdr:pic>
      <xdr:nvPicPr>
        <xdr:cNvPr id="290" name="Picture 289" descr="H-8-vignette.jpg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l="7500" r="10000"/>
        <a:stretch>
          <a:fillRect/>
        </a:stretch>
      </xdr:blipFill>
      <xdr:spPr>
        <a:xfrm>
          <a:off x="7762875" y="14508306"/>
          <a:ext cx="1088345" cy="1039461"/>
        </a:xfrm>
        <a:prstGeom prst="rect">
          <a:avLst/>
        </a:prstGeom>
      </xdr:spPr>
    </xdr:pic>
    <xdr:clientData/>
  </xdr:twoCellAnchor>
  <xdr:twoCellAnchor editAs="oneCell">
    <xdr:from>
      <xdr:col>8</xdr:col>
      <xdr:colOff>259690</xdr:colOff>
      <xdr:row>99</xdr:row>
      <xdr:rowOff>22860</xdr:rowOff>
    </xdr:from>
    <xdr:to>
      <xdr:col>11</xdr:col>
      <xdr:colOff>89615</xdr:colOff>
      <xdr:row>104</xdr:row>
      <xdr:rowOff>119741</xdr:rowOff>
    </xdr:to>
    <xdr:pic>
      <xdr:nvPicPr>
        <xdr:cNvPr id="292" name="Picture 291" descr="H-12_vignette.jpg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 l="5000" r="9000"/>
        <a:stretch>
          <a:fillRect/>
        </a:stretch>
      </xdr:blipFill>
      <xdr:spPr>
        <a:xfrm>
          <a:off x="2362810" y="15110460"/>
          <a:ext cx="1127150" cy="982980"/>
        </a:xfrm>
        <a:prstGeom prst="rect">
          <a:avLst/>
        </a:prstGeom>
      </xdr:spPr>
    </xdr:pic>
    <xdr:clientData/>
  </xdr:twoCellAnchor>
  <xdr:twoCellAnchor editAs="oneCell">
    <xdr:from>
      <xdr:col>18</xdr:col>
      <xdr:colOff>175260</xdr:colOff>
      <xdr:row>99</xdr:row>
      <xdr:rowOff>30479</xdr:rowOff>
    </xdr:from>
    <xdr:to>
      <xdr:col>21</xdr:col>
      <xdr:colOff>276225</xdr:colOff>
      <xdr:row>104</xdr:row>
      <xdr:rowOff>124731</xdr:rowOff>
    </xdr:to>
    <xdr:pic>
      <xdr:nvPicPr>
        <xdr:cNvPr id="293" name="Picture 292" descr="H-14_vignette.jpg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t="1559" b="975"/>
        <a:stretch>
          <a:fillRect/>
        </a:stretch>
      </xdr:blipFill>
      <xdr:spPr>
        <a:xfrm>
          <a:off x="6004560" y="15118079"/>
          <a:ext cx="1341120" cy="980351"/>
        </a:xfrm>
        <a:prstGeom prst="rect">
          <a:avLst/>
        </a:prstGeom>
      </xdr:spPr>
    </xdr:pic>
    <xdr:clientData/>
  </xdr:twoCellAnchor>
  <xdr:twoCellAnchor editAs="oneCell">
    <xdr:from>
      <xdr:col>23</xdr:col>
      <xdr:colOff>386690</xdr:colOff>
      <xdr:row>99</xdr:row>
      <xdr:rowOff>30480</xdr:rowOff>
    </xdr:from>
    <xdr:to>
      <xdr:col>26</xdr:col>
      <xdr:colOff>163074</xdr:colOff>
      <xdr:row>104</xdr:row>
      <xdr:rowOff>119741</xdr:rowOff>
    </xdr:to>
    <xdr:pic>
      <xdr:nvPicPr>
        <xdr:cNvPr id="294" name="Picture 293" descr="H-15_vignette.jpg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l="11000" r="10000"/>
        <a:stretch>
          <a:fillRect/>
        </a:stretch>
      </xdr:blipFill>
      <xdr:spPr>
        <a:xfrm>
          <a:off x="8120990" y="15118080"/>
          <a:ext cx="1027379" cy="975360"/>
        </a:xfrm>
        <a:prstGeom prst="rect">
          <a:avLst/>
        </a:prstGeom>
      </xdr:spPr>
    </xdr:pic>
    <xdr:clientData/>
  </xdr:twoCellAnchor>
  <xdr:twoCellAnchor editAs="oneCell">
    <xdr:from>
      <xdr:col>3</xdr:col>
      <xdr:colOff>212464</xdr:colOff>
      <xdr:row>109</xdr:row>
      <xdr:rowOff>40854</xdr:rowOff>
    </xdr:from>
    <xdr:to>
      <xdr:col>6</xdr:col>
      <xdr:colOff>260724</xdr:colOff>
      <xdr:row>114</xdr:row>
      <xdr:rowOff>115419</xdr:rowOff>
    </xdr:to>
    <xdr:pic>
      <xdr:nvPicPr>
        <xdr:cNvPr id="295" name="Picture 294" descr="H-16_vignette.jpg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 rot="10800000">
          <a:off x="635086" y="18290434"/>
          <a:ext cx="1329093" cy="971037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109</xdr:row>
      <xdr:rowOff>30481</xdr:rowOff>
    </xdr:from>
    <xdr:to>
      <xdr:col>11</xdr:col>
      <xdr:colOff>188675</xdr:colOff>
      <xdr:row>114</xdr:row>
      <xdr:rowOff>93616</xdr:rowOff>
    </xdr:to>
    <xdr:pic>
      <xdr:nvPicPr>
        <xdr:cNvPr id="296" name="Picture 295" descr="H-17_vignette.jpg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2308860" y="16824961"/>
          <a:ext cx="1280160" cy="960120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109</xdr:row>
      <xdr:rowOff>30480</xdr:rowOff>
    </xdr:from>
    <xdr:to>
      <xdr:col>16</xdr:col>
      <xdr:colOff>223519</xdr:colOff>
      <xdr:row>114</xdr:row>
      <xdr:rowOff>101235</xdr:rowOff>
    </xdr:to>
    <xdr:pic>
      <xdr:nvPicPr>
        <xdr:cNvPr id="297" name="Picture 296" descr="H-18_vignette.jpg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4145280" y="1682496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</xdr:colOff>
      <xdr:row>330</xdr:row>
      <xdr:rowOff>30480</xdr:rowOff>
    </xdr:from>
    <xdr:to>
      <xdr:col>16</xdr:col>
      <xdr:colOff>358139</xdr:colOff>
      <xdr:row>335</xdr:row>
      <xdr:rowOff>70756</xdr:rowOff>
    </xdr:to>
    <xdr:pic>
      <xdr:nvPicPr>
        <xdr:cNvPr id="160" name="Picture 159" descr="AL-TAG_vignette-1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t="10667" b="8000"/>
        <a:stretch>
          <a:fillRect/>
        </a:stretch>
      </xdr:blipFill>
      <xdr:spPr>
        <a:xfrm>
          <a:off x="266252" y="51819586"/>
          <a:ext cx="1584512" cy="944432"/>
        </a:xfrm>
        <a:prstGeom prst="rect">
          <a:avLst/>
        </a:prstGeom>
      </xdr:spPr>
    </xdr:pic>
    <xdr:clientData/>
  </xdr:twoCellAnchor>
  <xdr:twoCellAnchor editAs="oneCell">
    <xdr:from>
      <xdr:col>18</xdr:col>
      <xdr:colOff>30479</xdr:colOff>
      <xdr:row>330</xdr:row>
      <xdr:rowOff>55517</xdr:rowOff>
    </xdr:from>
    <xdr:to>
      <xdr:col>21</xdr:col>
      <xdr:colOff>398144</xdr:colOff>
      <xdr:row>335</xdr:row>
      <xdr:rowOff>141513</xdr:rowOff>
    </xdr:to>
    <xdr:pic>
      <xdr:nvPicPr>
        <xdr:cNvPr id="165" name="Picture 164" descr="AL-TAG2_vignette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t="4667" b="6000"/>
        <a:stretch>
          <a:fillRect/>
        </a:stretch>
      </xdr:blipFill>
      <xdr:spPr>
        <a:xfrm>
          <a:off x="5832565" y="53667660"/>
          <a:ext cx="1615440" cy="956854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</xdr:colOff>
      <xdr:row>330</xdr:row>
      <xdr:rowOff>69669</xdr:rowOff>
    </xdr:from>
    <xdr:to>
      <xdr:col>6</xdr:col>
      <xdr:colOff>223520</xdr:colOff>
      <xdr:row>335</xdr:row>
      <xdr:rowOff>151856</xdr:rowOff>
    </xdr:to>
    <xdr:pic>
      <xdr:nvPicPr>
        <xdr:cNvPr id="169" name="Picture 168" descr="AC_SKID_vignette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586740" y="53681812"/>
          <a:ext cx="1271451" cy="953045"/>
        </a:xfrm>
        <a:prstGeom prst="rect">
          <a:avLst/>
        </a:prstGeom>
      </xdr:spPr>
    </xdr:pic>
    <xdr:clientData/>
  </xdr:twoCellAnchor>
  <xdr:twoCellAnchor editAs="oneCell">
    <xdr:from>
      <xdr:col>8</xdr:col>
      <xdr:colOff>170180</xdr:colOff>
      <xdr:row>330</xdr:row>
      <xdr:rowOff>30480</xdr:rowOff>
    </xdr:from>
    <xdr:to>
      <xdr:col>11</xdr:col>
      <xdr:colOff>142955</xdr:colOff>
      <xdr:row>335</xdr:row>
      <xdr:rowOff>116477</xdr:rowOff>
    </xdr:to>
    <xdr:pic>
      <xdr:nvPicPr>
        <xdr:cNvPr id="170" name="Picture 169" descr="AC-STRAP_vignette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2276886" y="56032998"/>
          <a:ext cx="1270896" cy="963258"/>
        </a:xfrm>
        <a:prstGeom prst="rect">
          <a:avLst/>
        </a:prstGeom>
      </xdr:spPr>
    </xdr:pic>
    <xdr:clientData/>
  </xdr:twoCellAnchor>
  <xdr:twoCellAnchor editAs="oneCell">
    <xdr:from>
      <xdr:col>8</xdr:col>
      <xdr:colOff>26894</xdr:colOff>
      <xdr:row>131</xdr:row>
      <xdr:rowOff>44823</xdr:rowOff>
    </xdr:from>
    <xdr:to>
      <xdr:col>11</xdr:col>
      <xdr:colOff>306560</xdr:colOff>
      <xdr:row>136</xdr:row>
      <xdr:rowOff>72999</xdr:rowOff>
    </xdr:to>
    <xdr:pic>
      <xdr:nvPicPr>
        <xdr:cNvPr id="191" name="Picture 190" descr="HJ-2_vignette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rcRect t="7059" b="13725"/>
        <a:stretch>
          <a:fillRect/>
        </a:stretch>
      </xdr:blipFill>
      <xdr:spPr>
        <a:xfrm>
          <a:off x="2133600" y="21120847"/>
          <a:ext cx="1577787" cy="986118"/>
        </a:xfrm>
        <a:prstGeom prst="rect">
          <a:avLst/>
        </a:prstGeom>
      </xdr:spPr>
    </xdr:pic>
    <xdr:clientData/>
  </xdr:twoCellAnchor>
  <xdr:twoCellAnchor editAs="oneCell">
    <xdr:from>
      <xdr:col>13</xdr:col>
      <xdr:colOff>35859</xdr:colOff>
      <xdr:row>131</xdr:row>
      <xdr:rowOff>26894</xdr:rowOff>
    </xdr:from>
    <xdr:to>
      <xdr:col>16</xdr:col>
      <xdr:colOff>318247</xdr:colOff>
      <xdr:row>136</xdr:row>
      <xdr:rowOff>72999</xdr:rowOff>
    </xdr:to>
    <xdr:pic>
      <xdr:nvPicPr>
        <xdr:cNvPr id="221" name="Picture 220" descr="HJ-3_vignette.jpg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rcRect t="15464" b="9804"/>
        <a:stretch>
          <a:fillRect/>
        </a:stretch>
      </xdr:blipFill>
      <xdr:spPr>
        <a:xfrm>
          <a:off x="4007224" y="21102918"/>
          <a:ext cx="1524000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15487</xdr:colOff>
      <xdr:row>131</xdr:row>
      <xdr:rowOff>26893</xdr:rowOff>
    </xdr:from>
    <xdr:to>
      <xdr:col>21</xdr:col>
      <xdr:colOff>383802</xdr:colOff>
      <xdr:row>136</xdr:row>
      <xdr:rowOff>108856</xdr:rowOff>
    </xdr:to>
    <xdr:pic>
      <xdr:nvPicPr>
        <xdr:cNvPr id="222" name="Picture 221" descr="HJ-4_vignette.jpg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 t="7059" b="6667"/>
        <a:stretch>
          <a:fillRect/>
        </a:stretch>
      </xdr:blipFill>
      <xdr:spPr>
        <a:xfrm>
          <a:off x="5842546" y="21102917"/>
          <a:ext cx="1607125" cy="1039905"/>
        </a:xfrm>
        <a:prstGeom prst="rect">
          <a:avLst/>
        </a:prstGeom>
      </xdr:spPr>
    </xdr:pic>
    <xdr:clientData/>
  </xdr:twoCellAnchor>
  <xdr:twoCellAnchor editAs="oneCell">
    <xdr:from>
      <xdr:col>23</xdr:col>
      <xdr:colOff>46959</xdr:colOff>
      <xdr:row>131</xdr:row>
      <xdr:rowOff>26894</xdr:rowOff>
    </xdr:from>
    <xdr:to>
      <xdr:col>26</xdr:col>
      <xdr:colOff>374754</xdr:colOff>
      <xdr:row>136</xdr:row>
      <xdr:rowOff>89718</xdr:rowOff>
    </xdr:to>
    <xdr:pic>
      <xdr:nvPicPr>
        <xdr:cNvPr id="234" name="Picture 233" descr="HJ-5_vignette.jpg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t="7133" b="9214"/>
        <a:stretch>
          <a:fillRect/>
        </a:stretch>
      </xdr:blipFill>
      <xdr:spPr>
        <a:xfrm>
          <a:off x="7774535" y="21102918"/>
          <a:ext cx="1584618" cy="102076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53789</xdr:colOff>
      <xdr:row>142</xdr:row>
      <xdr:rowOff>35858</xdr:rowOff>
    </xdr:from>
    <xdr:to>
      <xdr:col>6</xdr:col>
      <xdr:colOff>323477</xdr:colOff>
      <xdr:row>147</xdr:row>
      <xdr:rowOff>34577</xdr:rowOff>
    </xdr:to>
    <xdr:pic>
      <xdr:nvPicPr>
        <xdr:cNvPr id="235" name="Picture 234" descr="HJ-6_vignette.jpg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t="10196" b="5882"/>
        <a:stretch>
          <a:fillRect/>
        </a:stretch>
      </xdr:blipFill>
      <xdr:spPr>
        <a:xfrm>
          <a:off x="304801" y="23039293"/>
          <a:ext cx="1524000" cy="959224"/>
        </a:xfrm>
        <a:prstGeom prst="rect">
          <a:avLst/>
        </a:prstGeom>
      </xdr:spPr>
    </xdr:pic>
    <xdr:clientData/>
  </xdr:twoCellAnchor>
  <xdr:twoCellAnchor editAs="oneCell">
    <xdr:from>
      <xdr:col>8</xdr:col>
      <xdr:colOff>89647</xdr:colOff>
      <xdr:row>142</xdr:row>
      <xdr:rowOff>17931</xdr:rowOff>
    </xdr:from>
    <xdr:to>
      <xdr:col>11</xdr:col>
      <xdr:colOff>234844</xdr:colOff>
      <xdr:row>147</xdr:row>
      <xdr:rowOff>33788</xdr:rowOff>
    </xdr:to>
    <xdr:pic>
      <xdr:nvPicPr>
        <xdr:cNvPr id="236" name="Picture 235" descr="HJ-6A_vignette.jpg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b="9804"/>
        <a:stretch>
          <a:fillRect/>
        </a:stretch>
      </xdr:blipFill>
      <xdr:spPr>
        <a:xfrm>
          <a:off x="2324847" y="24814681"/>
          <a:ext cx="1460021" cy="904858"/>
        </a:xfrm>
        <a:prstGeom prst="rect">
          <a:avLst/>
        </a:prstGeom>
      </xdr:spPr>
    </xdr:pic>
    <xdr:clientData/>
  </xdr:twoCellAnchor>
  <xdr:twoCellAnchor editAs="oneCell">
    <xdr:from>
      <xdr:col>13</xdr:col>
      <xdr:colOff>268941</xdr:colOff>
      <xdr:row>142</xdr:row>
      <xdr:rowOff>35859</xdr:rowOff>
    </xdr:from>
    <xdr:to>
      <xdr:col>16</xdr:col>
      <xdr:colOff>49306</xdr:colOff>
      <xdr:row>147</xdr:row>
      <xdr:rowOff>16648</xdr:rowOff>
    </xdr:to>
    <xdr:pic>
      <xdr:nvPicPr>
        <xdr:cNvPr id="237" name="Picture 236" descr="HJ-7_vignette.jp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l="17059" t="11765" r="15882" b="5882"/>
        <a:stretch>
          <a:fillRect/>
        </a:stretch>
      </xdr:blipFill>
      <xdr:spPr>
        <a:xfrm>
          <a:off x="4240306" y="23039294"/>
          <a:ext cx="1021977" cy="941294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179295</xdr:colOff>
      <xdr:row>142</xdr:row>
      <xdr:rowOff>35859</xdr:rowOff>
    </xdr:from>
    <xdr:to>
      <xdr:col>21</xdr:col>
      <xdr:colOff>251107</xdr:colOff>
      <xdr:row>147</xdr:row>
      <xdr:rowOff>34577</xdr:rowOff>
    </xdr:to>
    <xdr:pic>
      <xdr:nvPicPr>
        <xdr:cNvPr id="238" name="Picture 237" descr="HJ-7A_vignette.jpg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rcRect l="8235" t="12549" r="10588" b="8235"/>
        <a:stretch>
          <a:fillRect/>
        </a:stretch>
      </xdr:blipFill>
      <xdr:spPr>
        <a:xfrm>
          <a:off x="6006354" y="23039294"/>
          <a:ext cx="1310622" cy="959223"/>
        </a:xfrm>
        <a:prstGeom prst="rect">
          <a:avLst/>
        </a:prstGeom>
      </xdr:spPr>
    </xdr:pic>
    <xdr:clientData/>
  </xdr:twoCellAnchor>
  <xdr:twoCellAnchor editAs="oneCell">
    <xdr:from>
      <xdr:col>23</xdr:col>
      <xdr:colOff>394448</xdr:colOff>
      <xdr:row>142</xdr:row>
      <xdr:rowOff>17930</xdr:rowOff>
    </xdr:from>
    <xdr:to>
      <xdr:col>26</xdr:col>
      <xdr:colOff>69954</xdr:colOff>
      <xdr:row>147</xdr:row>
      <xdr:rowOff>32522</xdr:rowOff>
    </xdr:to>
    <xdr:pic>
      <xdr:nvPicPr>
        <xdr:cNvPr id="240" name="Picture 239" descr="HJ-8_vignette.jpg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 l="14706" r="21176" b="10588"/>
        <a:stretch>
          <a:fillRect/>
        </a:stretch>
      </xdr:blipFill>
      <xdr:spPr>
        <a:xfrm>
          <a:off x="8122024" y="23021365"/>
          <a:ext cx="932329" cy="975097"/>
        </a:xfrm>
        <a:prstGeom prst="rect">
          <a:avLst/>
        </a:prstGeom>
      </xdr:spPr>
    </xdr:pic>
    <xdr:clientData/>
  </xdr:twoCellAnchor>
  <xdr:twoCellAnchor editAs="oneCell">
    <xdr:from>
      <xdr:col>3</xdr:col>
      <xdr:colOff>170330</xdr:colOff>
      <xdr:row>153</xdr:row>
      <xdr:rowOff>8965</xdr:rowOff>
    </xdr:from>
    <xdr:to>
      <xdr:col>6</xdr:col>
      <xdr:colOff>90394</xdr:colOff>
      <xdr:row>158</xdr:row>
      <xdr:rowOff>56353</xdr:rowOff>
    </xdr:to>
    <xdr:pic>
      <xdr:nvPicPr>
        <xdr:cNvPr id="241" name="Picture 240" descr="HJ-9_vignette.jpg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l="8235" t="4706" r="14706" b="9020"/>
        <a:stretch>
          <a:fillRect/>
        </a:stretch>
      </xdr:blipFill>
      <xdr:spPr>
        <a:xfrm>
          <a:off x="421342" y="24859130"/>
          <a:ext cx="1174376" cy="986118"/>
        </a:xfrm>
        <a:prstGeom prst="rect">
          <a:avLst/>
        </a:prstGeom>
      </xdr:spPr>
    </xdr:pic>
    <xdr:clientData/>
  </xdr:twoCellAnchor>
  <xdr:twoCellAnchor editAs="oneCell">
    <xdr:from>
      <xdr:col>8</xdr:col>
      <xdr:colOff>35859</xdr:colOff>
      <xdr:row>153</xdr:row>
      <xdr:rowOff>53788</xdr:rowOff>
    </xdr:from>
    <xdr:to>
      <xdr:col>11</xdr:col>
      <xdr:colOff>261738</xdr:colOff>
      <xdr:row>158</xdr:row>
      <xdr:rowOff>47388</xdr:rowOff>
    </xdr:to>
    <xdr:pic>
      <xdr:nvPicPr>
        <xdr:cNvPr id="261" name="Picture 260" descr="HJ-12_vignette.jpg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t="6274" b="12157"/>
        <a:stretch>
          <a:fillRect/>
        </a:stretch>
      </xdr:blipFill>
      <xdr:spPr>
        <a:xfrm>
          <a:off x="2142565" y="24903953"/>
          <a:ext cx="1524000" cy="932330"/>
        </a:xfrm>
        <a:prstGeom prst="rect">
          <a:avLst/>
        </a:prstGeom>
      </xdr:spPr>
    </xdr:pic>
    <xdr:clientData/>
  </xdr:twoCellAnchor>
  <xdr:twoCellAnchor editAs="oneCell">
    <xdr:from>
      <xdr:col>13</xdr:col>
      <xdr:colOff>179293</xdr:colOff>
      <xdr:row>153</xdr:row>
      <xdr:rowOff>18972</xdr:rowOff>
    </xdr:from>
    <xdr:to>
      <xdr:col>16</xdr:col>
      <xdr:colOff>147916</xdr:colOff>
      <xdr:row>158</xdr:row>
      <xdr:rowOff>65318</xdr:rowOff>
    </xdr:to>
    <xdr:pic>
      <xdr:nvPicPr>
        <xdr:cNvPr id="262" name="Picture 261" descr="HJ-13_vignette.jpg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 l="10588" t="8627" r="13529" b="9020"/>
        <a:stretch>
          <a:fillRect/>
        </a:stretch>
      </xdr:blipFill>
      <xdr:spPr>
        <a:xfrm>
          <a:off x="4150658" y="24869137"/>
          <a:ext cx="1210235" cy="985076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17928</xdr:colOff>
      <xdr:row>153</xdr:row>
      <xdr:rowOff>35859</xdr:rowOff>
    </xdr:from>
    <xdr:to>
      <xdr:col>21</xdr:col>
      <xdr:colOff>383802</xdr:colOff>
      <xdr:row>158</xdr:row>
      <xdr:rowOff>47388</xdr:rowOff>
    </xdr:to>
    <xdr:pic>
      <xdr:nvPicPr>
        <xdr:cNvPr id="302" name="Picture 301" descr="HJ-14_vignette.jpg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t="14118" b="13725"/>
        <a:stretch>
          <a:fillRect/>
        </a:stretch>
      </xdr:blipFill>
      <xdr:spPr>
        <a:xfrm>
          <a:off x="5844987" y="24886024"/>
          <a:ext cx="1604684" cy="950259"/>
        </a:xfrm>
        <a:prstGeom prst="rect">
          <a:avLst/>
        </a:prstGeom>
      </xdr:spPr>
    </xdr:pic>
    <xdr:clientData/>
  </xdr:twoCellAnchor>
  <xdr:twoCellAnchor editAs="oneCell">
    <xdr:from>
      <xdr:col>23</xdr:col>
      <xdr:colOff>259977</xdr:colOff>
      <xdr:row>153</xdr:row>
      <xdr:rowOff>53788</xdr:rowOff>
    </xdr:from>
    <xdr:to>
      <xdr:col>26</xdr:col>
      <xdr:colOff>105813</xdr:colOff>
      <xdr:row>158</xdr:row>
      <xdr:rowOff>44912</xdr:rowOff>
    </xdr:to>
    <xdr:pic>
      <xdr:nvPicPr>
        <xdr:cNvPr id="303" name="Picture 302" descr="HJ-15_vignette.jpg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l="8235" t="7059" r="12941" b="4314"/>
        <a:stretch>
          <a:fillRect/>
        </a:stretch>
      </xdr:blipFill>
      <xdr:spPr>
        <a:xfrm>
          <a:off x="7987553" y="24903953"/>
          <a:ext cx="1102659" cy="929854"/>
        </a:xfrm>
        <a:prstGeom prst="rect">
          <a:avLst/>
        </a:prstGeom>
      </xdr:spPr>
    </xdr:pic>
    <xdr:clientData/>
  </xdr:twoCellAnchor>
  <xdr:twoCellAnchor editAs="oneCell">
    <xdr:from>
      <xdr:col>3</xdr:col>
      <xdr:colOff>98611</xdr:colOff>
      <xdr:row>164</xdr:row>
      <xdr:rowOff>22382</xdr:rowOff>
    </xdr:from>
    <xdr:to>
      <xdr:col>6</xdr:col>
      <xdr:colOff>206934</xdr:colOff>
      <xdr:row>169</xdr:row>
      <xdr:rowOff>56353</xdr:rowOff>
    </xdr:to>
    <xdr:pic>
      <xdr:nvPicPr>
        <xdr:cNvPr id="304" name="Picture 303" descr="HJ-17_vignette.jp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t="8627" r="13529" b="10588"/>
        <a:stretch>
          <a:fillRect/>
        </a:stretch>
      </xdr:blipFill>
      <xdr:spPr>
        <a:xfrm>
          <a:off x="349623" y="26719276"/>
          <a:ext cx="1362635" cy="954772"/>
        </a:xfrm>
        <a:prstGeom prst="rect">
          <a:avLst/>
        </a:prstGeom>
      </xdr:spPr>
    </xdr:pic>
    <xdr:clientData/>
  </xdr:twoCellAnchor>
  <xdr:twoCellAnchor editAs="oneCell">
    <xdr:from>
      <xdr:col>18</xdr:col>
      <xdr:colOff>44822</xdr:colOff>
      <xdr:row>286</xdr:row>
      <xdr:rowOff>26066</xdr:rowOff>
    </xdr:from>
    <xdr:to>
      <xdr:col>21</xdr:col>
      <xdr:colOff>411816</xdr:colOff>
      <xdr:row>291</xdr:row>
      <xdr:rowOff>137162</xdr:rowOff>
    </xdr:to>
    <xdr:pic>
      <xdr:nvPicPr>
        <xdr:cNvPr id="307" name="Picture 306" descr="Photo-AF-OSM_vignette.jpg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b="16078"/>
        <a:stretch>
          <a:fillRect/>
        </a:stretch>
      </xdr:blipFill>
      <xdr:spPr>
        <a:xfrm>
          <a:off x="5836022" y="45578426"/>
          <a:ext cx="1606028" cy="972154"/>
        </a:xfrm>
        <a:prstGeom prst="rect">
          <a:avLst/>
        </a:prstGeom>
      </xdr:spPr>
    </xdr:pic>
    <xdr:clientData/>
  </xdr:twoCellAnchor>
  <xdr:twoCellAnchor editAs="oneCell">
    <xdr:from>
      <xdr:col>18</xdr:col>
      <xdr:colOff>115839</xdr:colOff>
      <xdr:row>352</xdr:row>
      <xdr:rowOff>17928</xdr:rowOff>
    </xdr:from>
    <xdr:to>
      <xdr:col>21</xdr:col>
      <xdr:colOff>298178</xdr:colOff>
      <xdr:row>357</xdr:row>
      <xdr:rowOff>107575</xdr:rowOff>
    </xdr:to>
    <xdr:pic>
      <xdr:nvPicPr>
        <xdr:cNvPr id="311" name="Picture 310" descr="Photo-FL-COU-U_vignette.jpg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l="12941" t="11765" r="14118" b="19201"/>
        <a:stretch>
          <a:fillRect/>
        </a:stretch>
      </xdr:blipFill>
      <xdr:spPr>
        <a:xfrm>
          <a:off x="5711096" y="55241157"/>
          <a:ext cx="1430114" cy="906075"/>
        </a:xfrm>
        <a:prstGeom prst="rect">
          <a:avLst/>
        </a:prstGeom>
      </xdr:spPr>
    </xdr:pic>
    <xdr:clientData/>
  </xdr:twoCellAnchor>
  <xdr:twoCellAnchor editAs="oneCell">
    <xdr:from>
      <xdr:col>13</xdr:col>
      <xdr:colOff>315011</xdr:colOff>
      <xdr:row>387</xdr:row>
      <xdr:rowOff>62754</xdr:rowOff>
    </xdr:from>
    <xdr:to>
      <xdr:col>16</xdr:col>
      <xdr:colOff>76199</xdr:colOff>
      <xdr:row>392</xdr:row>
      <xdr:rowOff>17290</xdr:rowOff>
    </xdr:to>
    <xdr:pic>
      <xdr:nvPicPr>
        <xdr:cNvPr id="312" name="Picture 311" descr="M6-12B_vignette.jpg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l="7647" t="5490" r="13529" b="4314"/>
        <a:stretch>
          <a:fillRect/>
        </a:stretch>
      </xdr:blipFill>
      <xdr:spPr>
        <a:xfrm>
          <a:off x="4286376" y="61175154"/>
          <a:ext cx="1002800" cy="860612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44</xdr:row>
      <xdr:rowOff>17930</xdr:rowOff>
    </xdr:from>
    <xdr:to>
      <xdr:col>11</xdr:col>
      <xdr:colOff>154161</xdr:colOff>
      <xdr:row>48</xdr:row>
      <xdr:rowOff>130627</xdr:rowOff>
    </xdr:to>
    <xdr:pic>
      <xdr:nvPicPr>
        <xdr:cNvPr id="317" name="Picture 316" descr="R40-CS_vignette.jpg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l="8823" t="5490" r="7647" b="6667"/>
        <a:stretch>
          <a:fillRect/>
        </a:stretch>
      </xdr:blipFill>
      <xdr:spPr>
        <a:xfrm>
          <a:off x="2321859" y="9771530"/>
          <a:ext cx="1237129" cy="833717"/>
        </a:xfrm>
        <a:prstGeom prst="rect">
          <a:avLst/>
        </a:prstGeom>
      </xdr:spPr>
    </xdr:pic>
    <xdr:clientData/>
  </xdr:twoCellAnchor>
  <xdr:twoCellAnchor editAs="oneCell">
    <xdr:from>
      <xdr:col>23</xdr:col>
      <xdr:colOff>379942</xdr:colOff>
      <xdr:row>44</xdr:row>
      <xdr:rowOff>23422</xdr:rowOff>
    </xdr:from>
    <xdr:to>
      <xdr:col>26</xdr:col>
      <xdr:colOff>401648</xdr:colOff>
      <xdr:row>48</xdr:row>
      <xdr:rowOff>110776</xdr:rowOff>
    </xdr:to>
    <xdr:pic>
      <xdr:nvPicPr>
        <xdr:cNvPr id="319" name="Picture 318" descr="R40-GUIDE_vignette.jpg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rcRect l="4118" t="6275" r="5294" b="5098"/>
        <a:stretch>
          <a:fillRect/>
        </a:stretch>
      </xdr:blipFill>
      <xdr:spPr>
        <a:xfrm>
          <a:off x="8107518" y="9777022"/>
          <a:ext cx="1278529" cy="801331"/>
        </a:xfrm>
        <a:prstGeom prst="rect">
          <a:avLst/>
        </a:prstGeom>
      </xdr:spPr>
    </xdr:pic>
    <xdr:clientData/>
  </xdr:twoCellAnchor>
  <xdr:twoCellAnchor editAs="oneCell">
    <xdr:from>
      <xdr:col>3</xdr:col>
      <xdr:colOff>385482</xdr:colOff>
      <xdr:row>34</xdr:row>
      <xdr:rowOff>35858</xdr:rowOff>
    </xdr:from>
    <xdr:to>
      <xdr:col>6</xdr:col>
      <xdr:colOff>307334</xdr:colOff>
      <xdr:row>38</xdr:row>
      <xdr:rowOff>101826</xdr:rowOff>
    </xdr:to>
    <xdr:pic>
      <xdr:nvPicPr>
        <xdr:cNvPr id="322" name="Picture 321" descr="R40-RT96_vignette.jpg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 t="9412" r="10000" b="2745"/>
        <a:stretch>
          <a:fillRect/>
        </a:stretch>
      </xdr:blipFill>
      <xdr:spPr>
        <a:xfrm>
          <a:off x="636494" y="8104093"/>
          <a:ext cx="1176164" cy="790829"/>
        </a:xfrm>
        <a:prstGeom prst="rect">
          <a:avLst/>
        </a:prstGeom>
      </xdr:spPr>
    </xdr:pic>
    <xdr:clientData/>
  </xdr:twoCellAnchor>
  <xdr:twoCellAnchor editAs="oneCell">
    <xdr:from>
      <xdr:col>13</xdr:col>
      <xdr:colOff>107577</xdr:colOff>
      <xdr:row>44</xdr:row>
      <xdr:rowOff>44823</xdr:rowOff>
    </xdr:from>
    <xdr:to>
      <xdr:col>16</xdr:col>
      <xdr:colOff>264459</xdr:colOff>
      <xdr:row>48</xdr:row>
      <xdr:rowOff>101811</xdr:rowOff>
    </xdr:to>
    <xdr:pic>
      <xdr:nvPicPr>
        <xdr:cNvPr id="323" name="Picture 322" descr="R40-SLOW_vignette.jpg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l="3529" t="8627" r="6471" b="14510"/>
        <a:stretch>
          <a:fillRect/>
        </a:stretch>
      </xdr:blipFill>
      <xdr:spPr>
        <a:xfrm>
          <a:off x="4078942" y="9798423"/>
          <a:ext cx="1398494" cy="770965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179295</xdr:colOff>
      <xdr:row>34</xdr:row>
      <xdr:rowOff>25589</xdr:rowOff>
    </xdr:from>
    <xdr:to>
      <xdr:col>26</xdr:col>
      <xdr:colOff>240283</xdr:colOff>
      <xdr:row>38</xdr:row>
      <xdr:rowOff>115292</xdr:rowOff>
    </xdr:to>
    <xdr:pic>
      <xdr:nvPicPr>
        <xdr:cNvPr id="324" name="Picture 323" descr="R40-TC_vignette.jpg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 l="8235" t="2353" b="9020"/>
        <a:stretch>
          <a:fillRect/>
        </a:stretch>
      </xdr:blipFill>
      <xdr:spPr>
        <a:xfrm>
          <a:off x="7906871" y="8093824"/>
          <a:ext cx="1317811" cy="814564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179293</xdr:colOff>
      <xdr:row>44</xdr:row>
      <xdr:rowOff>15584</xdr:rowOff>
    </xdr:from>
    <xdr:to>
      <xdr:col>6</xdr:col>
      <xdr:colOff>189006</xdr:colOff>
      <xdr:row>48</xdr:row>
      <xdr:rowOff>121713</xdr:rowOff>
    </xdr:to>
    <xdr:pic>
      <xdr:nvPicPr>
        <xdr:cNvPr id="326" name="Picture 325" descr="R40-TU_vignette.jpg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 l="7059" t="14902" r="10000" b="10588"/>
        <a:stretch>
          <a:fillRect/>
        </a:stretch>
      </xdr:blipFill>
      <xdr:spPr>
        <a:xfrm>
          <a:off x="430305" y="9769184"/>
          <a:ext cx="1264025" cy="820106"/>
        </a:xfrm>
        <a:prstGeom prst="rect">
          <a:avLst/>
        </a:prstGeom>
      </xdr:spPr>
    </xdr:pic>
    <xdr:clientData/>
  </xdr:twoCellAnchor>
  <xdr:twoCellAnchor editAs="oneCell">
    <xdr:from>
      <xdr:col>8</xdr:col>
      <xdr:colOff>75452</xdr:colOff>
      <xdr:row>521</xdr:row>
      <xdr:rowOff>91015</xdr:rowOff>
    </xdr:from>
    <xdr:to>
      <xdr:col>11</xdr:col>
      <xdr:colOff>336176</xdr:colOff>
      <xdr:row>526</xdr:row>
      <xdr:rowOff>106561</xdr:rowOff>
    </xdr:to>
    <xdr:pic>
      <xdr:nvPicPr>
        <xdr:cNvPr id="327" name="Picture 326" descr="T-BCUT_vignette.jpg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l="4118" t="18824" r="4118" b="15294"/>
        <a:stretch>
          <a:fillRect/>
        </a:stretch>
      </xdr:blipFill>
      <xdr:spPr>
        <a:xfrm>
          <a:off x="2342402" y="87778165"/>
          <a:ext cx="1575548" cy="904548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511</xdr:row>
      <xdr:rowOff>8965</xdr:rowOff>
    </xdr:from>
    <xdr:to>
      <xdr:col>16</xdr:col>
      <xdr:colOff>228599</xdr:colOff>
      <xdr:row>516</xdr:row>
      <xdr:rowOff>102131</xdr:rowOff>
    </xdr:to>
    <xdr:pic>
      <xdr:nvPicPr>
        <xdr:cNvPr id="328" name="Picture 327" descr="T-BDEB_vignette.jpg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4123765" y="81677436"/>
          <a:ext cx="1317811" cy="988358"/>
        </a:xfrm>
        <a:prstGeom prst="rect">
          <a:avLst/>
        </a:prstGeom>
      </xdr:spPr>
    </xdr:pic>
    <xdr:clientData/>
  </xdr:twoCellAnchor>
  <xdr:twoCellAnchor editAs="oneCell">
    <xdr:from>
      <xdr:col>23</xdr:col>
      <xdr:colOff>98610</xdr:colOff>
      <xdr:row>511</xdr:row>
      <xdr:rowOff>47343</xdr:rowOff>
    </xdr:from>
    <xdr:to>
      <xdr:col>26</xdr:col>
      <xdr:colOff>231318</xdr:colOff>
      <xdr:row>516</xdr:row>
      <xdr:rowOff>64031</xdr:rowOff>
    </xdr:to>
    <xdr:pic>
      <xdr:nvPicPr>
        <xdr:cNvPr id="329" name="Picture 328" descr="T-BSAW_vignette.jpg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 l="10000" t="19608" r="14706" b="14510"/>
        <a:stretch>
          <a:fillRect/>
        </a:stretch>
      </xdr:blipFill>
      <xdr:spPr>
        <a:xfrm>
          <a:off x="7826186" y="81715814"/>
          <a:ext cx="1389531" cy="91188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266701</xdr:colOff>
      <xdr:row>511</xdr:row>
      <xdr:rowOff>18236</xdr:rowOff>
    </xdr:from>
    <xdr:to>
      <xdr:col>21</xdr:col>
      <xdr:colOff>197786</xdr:colOff>
      <xdr:row>516</xdr:row>
      <xdr:rowOff>140044</xdr:rowOff>
    </xdr:to>
    <xdr:pic>
      <xdr:nvPicPr>
        <xdr:cNvPr id="330" name="Picture 329" descr="T-SAW_4_vignette.jpg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rcRect l="14118" t="14902" r="17647" b="5882"/>
        <a:stretch>
          <a:fillRect/>
        </a:stretch>
      </xdr:blipFill>
      <xdr:spPr>
        <a:xfrm>
          <a:off x="6261101" y="85743236"/>
          <a:ext cx="1191560" cy="1004461"/>
        </a:xfrm>
        <a:prstGeom prst="rect">
          <a:avLst/>
        </a:prstGeom>
      </xdr:spPr>
    </xdr:pic>
    <xdr:clientData/>
  </xdr:twoCellAnchor>
  <xdr:twoCellAnchor editAs="oneCell">
    <xdr:from>
      <xdr:col>3</xdr:col>
      <xdr:colOff>44824</xdr:colOff>
      <xdr:row>521</xdr:row>
      <xdr:rowOff>8964</xdr:rowOff>
    </xdr:from>
    <xdr:to>
      <xdr:col>6</xdr:col>
      <xdr:colOff>314512</xdr:colOff>
      <xdr:row>526</xdr:row>
      <xdr:rowOff>89004</xdr:rowOff>
    </xdr:to>
    <xdr:pic>
      <xdr:nvPicPr>
        <xdr:cNvPr id="331" name="Picture 330" descr="T-CUTTER_vignette.jpg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 t="7059" b="6667"/>
        <a:stretch>
          <a:fillRect/>
        </a:stretch>
      </xdr:blipFill>
      <xdr:spPr>
        <a:xfrm>
          <a:off x="349624" y="83900682"/>
          <a:ext cx="1524000" cy="986117"/>
        </a:xfrm>
        <a:prstGeom prst="rect">
          <a:avLst/>
        </a:prstGeom>
      </xdr:spPr>
    </xdr:pic>
    <xdr:clientData/>
  </xdr:twoCellAnchor>
  <xdr:twoCellAnchor editAs="oneCell">
    <xdr:from>
      <xdr:col>8</xdr:col>
      <xdr:colOff>22784</xdr:colOff>
      <xdr:row>511</xdr:row>
      <xdr:rowOff>17928</xdr:rowOff>
    </xdr:from>
    <xdr:to>
      <xdr:col>11</xdr:col>
      <xdr:colOff>312164</xdr:colOff>
      <xdr:row>516</xdr:row>
      <xdr:rowOff>19207</xdr:rowOff>
    </xdr:to>
    <xdr:pic>
      <xdr:nvPicPr>
        <xdr:cNvPr id="332" name="Picture 331" descr="T-DEBURR_vignette.jpg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rcRect t="10196" b="14510"/>
        <a:stretch>
          <a:fillRect/>
        </a:stretch>
      </xdr:blipFill>
      <xdr:spPr>
        <a:xfrm>
          <a:off x="2129490" y="81686399"/>
          <a:ext cx="1587501" cy="896471"/>
        </a:xfrm>
        <a:prstGeom prst="rect">
          <a:avLst/>
        </a:prstGeom>
      </xdr:spPr>
    </xdr:pic>
    <xdr:clientData/>
  </xdr:twoCellAnchor>
  <xdr:twoCellAnchor editAs="oneCell">
    <xdr:from>
      <xdr:col>13</xdr:col>
      <xdr:colOff>307414</xdr:colOff>
      <xdr:row>521</xdr:row>
      <xdr:rowOff>83918</xdr:rowOff>
    </xdr:from>
    <xdr:to>
      <xdr:col>16</xdr:col>
      <xdr:colOff>105708</xdr:colOff>
      <xdr:row>526</xdr:row>
      <xdr:rowOff>159974</xdr:rowOff>
    </xdr:to>
    <xdr:pic>
      <xdr:nvPicPr>
        <xdr:cNvPr id="333" name="Picture 332" descr="T-HANDLE_vignette.jpg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 l="7647" r="12941"/>
        <a:stretch>
          <a:fillRect/>
        </a:stretch>
      </xdr:blipFill>
      <xdr:spPr>
        <a:xfrm>
          <a:off x="4453964" y="87771068"/>
          <a:ext cx="1061944" cy="965058"/>
        </a:xfrm>
        <a:prstGeom prst="rect">
          <a:avLst/>
        </a:prstGeom>
      </xdr:spPr>
    </xdr:pic>
    <xdr:clientData/>
  </xdr:twoCellAnchor>
  <xdr:twoCellAnchor editAs="oneCell">
    <xdr:from>
      <xdr:col>3</xdr:col>
      <xdr:colOff>324222</xdr:colOff>
      <xdr:row>445</xdr:row>
      <xdr:rowOff>32123</xdr:rowOff>
    </xdr:from>
    <xdr:to>
      <xdr:col>6</xdr:col>
      <xdr:colOff>343914</xdr:colOff>
      <xdr:row>450</xdr:row>
      <xdr:rowOff>135220</xdr:rowOff>
    </xdr:to>
    <xdr:pic>
      <xdr:nvPicPr>
        <xdr:cNvPr id="335" name="Picture 334" descr="W_3ESB_vignette.jpg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717922" y="76543273"/>
          <a:ext cx="1289692" cy="928594"/>
        </a:xfrm>
        <a:prstGeom prst="rect">
          <a:avLst/>
        </a:prstGeom>
      </xdr:spPr>
    </xdr:pic>
    <xdr:clientData/>
  </xdr:twoCellAnchor>
  <xdr:twoCellAnchor editAs="oneCell">
    <xdr:from>
      <xdr:col>2</xdr:col>
      <xdr:colOff>90097</xdr:colOff>
      <xdr:row>2</xdr:row>
      <xdr:rowOff>140297</xdr:rowOff>
    </xdr:from>
    <xdr:to>
      <xdr:col>11</xdr:col>
      <xdr:colOff>67685</xdr:colOff>
      <xdr:row>6</xdr:row>
      <xdr:rowOff>93191</xdr:rowOff>
    </xdr:to>
    <xdr:pic>
      <xdr:nvPicPr>
        <xdr:cNvPr id="171" name="Picture 170" descr="Flexpipe-Logo-Full-Signature-En-RGB-Blacksmaller.jpg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 l="7312" t="19794" r="12258" b="25639"/>
        <a:stretch>
          <a:fillRect/>
        </a:stretch>
      </xdr:blipFill>
      <xdr:spPr>
        <a:xfrm>
          <a:off x="385932" y="651285"/>
          <a:ext cx="3211606" cy="86729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26</xdr:col>
      <xdr:colOff>370100</xdr:colOff>
      <xdr:row>17</xdr:row>
      <xdr:rowOff>17585</xdr:rowOff>
    </xdr:to>
    <xdr:pic>
      <xdr:nvPicPr>
        <xdr:cNvPr id="178" name="Picture 177" descr="Header.png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422031" y="2233246"/>
          <a:ext cx="8944712" cy="1277816"/>
        </a:xfrm>
        <a:prstGeom prst="rect">
          <a:avLst/>
        </a:prstGeom>
      </xdr:spPr>
    </xdr:pic>
    <xdr:clientData/>
  </xdr:twoCellAnchor>
  <xdr:twoCellAnchor editAs="oneCell">
    <xdr:from>
      <xdr:col>0</xdr:col>
      <xdr:colOff>11723</xdr:colOff>
      <xdr:row>564</xdr:row>
      <xdr:rowOff>1</xdr:rowOff>
    </xdr:from>
    <xdr:to>
      <xdr:col>27</xdr:col>
      <xdr:colOff>295274</xdr:colOff>
      <xdr:row>569</xdr:row>
      <xdr:rowOff>76196</xdr:rowOff>
    </xdr:to>
    <xdr:pic>
      <xdr:nvPicPr>
        <xdr:cNvPr id="179" name="Picture 178" descr="footer.jpg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1723" y="99400660"/>
          <a:ext cx="9777735" cy="1169894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501</xdr:row>
      <xdr:rowOff>17930</xdr:rowOff>
    </xdr:from>
    <xdr:to>
      <xdr:col>11</xdr:col>
      <xdr:colOff>287991</xdr:colOff>
      <xdr:row>506</xdr:row>
      <xdr:rowOff>154734</xdr:rowOff>
    </xdr:to>
    <xdr:pic>
      <xdr:nvPicPr>
        <xdr:cNvPr id="193" name="Picture 192" descr="On site Training_vignette.JPG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2447365" y="83533130"/>
          <a:ext cx="1371600" cy="1033272"/>
        </a:xfrm>
        <a:prstGeom prst="rect">
          <a:avLst/>
        </a:prstGeom>
      </xdr:spPr>
    </xdr:pic>
    <xdr:clientData/>
  </xdr:twoCellAnchor>
  <xdr:twoCellAnchor editAs="oneCell">
    <xdr:from>
      <xdr:col>8</xdr:col>
      <xdr:colOff>367553</xdr:colOff>
      <xdr:row>34</xdr:row>
      <xdr:rowOff>26894</xdr:rowOff>
    </xdr:from>
    <xdr:to>
      <xdr:col>11</xdr:col>
      <xdr:colOff>117661</xdr:colOff>
      <xdr:row>38</xdr:row>
      <xdr:rowOff>169789</xdr:rowOff>
    </xdr:to>
    <xdr:pic>
      <xdr:nvPicPr>
        <xdr:cNvPr id="195" name="Picture 194" descr="R40-MS_vignette.jpg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2599765" y="8139953"/>
          <a:ext cx="1048870" cy="860073"/>
        </a:xfrm>
        <a:prstGeom prst="rect">
          <a:avLst/>
        </a:prstGeom>
      </xdr:spPr>
    </xdr:pic>
    <xdr:clientData/>
  </xdr:twoCellAnchor>
  <xdr:twoCellAnchor editAs="oneCell">
    <xdr:from>
      <xdr:col>13</xdr:col>
      <xdr:colOff>385484</xdr:colOff>
      <xdr:row>34</xdr:row>
      <xdr:rowOff>17929</xdr:rowOff>
    </xdr:from>
    <xdr:to>
      <xdr:col>16</xdr:col>
      <xdr:colOff>71717</xdr:colOff>
      <xdr:row>38</xdr:row>
      <xdr:rowOff>158492</xdr:rowOff>
    </xdr:to>
    <xdr:pic>
      <xdr:nvPicPr>
        <xdr:cNvPr id="196" name="Picture 195" descr="R40-TS_vignette.jp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4536143" y="8130988"/>
          <a:ext cx="932327" cy="857741"/>
        </a:xfrm>
        <a:prstGeom prst="rect">
          <a:avLst/>
        </a:prstGeom>
      </xdr:spPr>
    </xdr:pic>
    <xdr:clientData/>
  </xdr:twoCellAnchor>
  <xdr:twoCellAnchor editAs="oneCell">
    <xdr:from>
      <xdr:col>18</xdr:col>
      <xdr:colOff>182669</xdr:colOff>
      <xdr:row>34</xdr:row>
      <xdr:rowOff>24706</xdr:rowOff>
    </xdr:from>
    <xdr:to>
      <xdr:col>21</xdr:col>
      <xdr:colOff>222435</xdr:colOff>
      <xdr:row>38</xdr:row>
      <xdr:rowOff>137124</xdr:rowOff>
    </xdr:to>
    <xdr:pic>
      <xdr:nvPicPr>
        <xdr:cNvPr id="197" name="Picture 196" descr="R40-DS_vignette.jp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 l="4706" t="7059" r="11176" b="8235"/>
        <a:stretch>
          <a:fillRect/>
        </a:stretch>
      </xdr:blipFill>
      <xdr:spPr>
        <a:xfrm>
          <a:off x="6144198" y="8137765"/>
          <a:ext cx="1278577" cy="82959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53788</xdr:colOff>
      <xdr:row>533</xdr:row>
      <xdr:rowOff>26895</xdr:rowOff>
    </xdr:from>
    <xdr:to>
      <xdr:col>6</xdr:col>
      <xdr:colOff>14119</xdr:colOff>
      <xdr:row>538</xdr:row>
      <xdr:rowOff>128646</xdr:rowOff>
    </xdr:to>
    <xdr:pic>
      <xdr:nvPicPr>
        <xdr:cNvPr id="202" name="Image 169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457200" y="90319413"/>
          <a:ext cx="1196340" cy="998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35859</xdr:colOff>
      <xdr:row>533</xdr:row>
      <xdr:rowOff>35859</xdr:rowOff>
    </xdr:from>
    <xdr:to>
      <xdr:col>11</xdr:col>
      <xdr:colOff>27903</xdr:colOff>
      <xdr:row>538</xdr:row>
      <xdr:rowOff>114750</xdr:rowOff>
    </xdr:to>
    <xdr:pic>
      <xdr:nvPicPr>
        <xdr:cNvPr id="203" name="Image 170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2268071" y="90328377"/>
          <a:ext cx="1280160" cy="975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170329</xdr:colOff>
      <xdr:row>533</xdr:row>
      <xdr:rowOff>125506</xdr:rowOff>
    </xdr:from>
    <xdr:to>
      <xdr:col>26</xdr:col>
      <xdr:colOff>302334</xdr:colOff>
      <xdr:row>538</xdr:row>
      <xdr:rowOff>97717</xdr:rowOff>
    </xdr:to>
    <xdr:pic>
      <xdr:nvPicPr>
        <xdr:cNvPr id="205" name="Image 148" descr="Turn Table.jpg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7906870" y="90418024"/>
          <a:ext cx="13792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358589</xdr:colOff>
      <xdr:row>533</xdr:row>
      <xdr:rowOff>35859</xdr:rowOff>
    </xdr:from>
    <xdr:to>
      <xdr:col>16</xdr:col>
      <xdr:colOff>80235</xdr:colOff>
      <xdr:row>538</xdr:row>
      <xdr:rowOff>107130</xdr:rowOff>
    </xdr:to>
    <xdr:pic>
      <xdr:nvPicPr>
        <xdr:cNvPr id="206" name="Picture 205" descr="PIR-11-86-v.jpg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4509248" y="90328377"/>
          <a:ext cx="967740" cy="967740"/>
        </a:xfrm>
        <a:prstGeom prst="rect">
          <a:avLst/>
        </a:prstGeom>
      </xdr:spPr>
    </xdr:pic>
    <xdr:clientData/>
  </xdr:twoCellAnchor>
  <xdr:twoCellAnchor editAs="oneCell">
    <xdr:from>
      <xdr:col>18</xdr:col>
      <xdr:colOff>152399</xdr:colOff>
      <xdr:row>534</xdr:row>
      <xdr:rowOff>31245</xdr:rowOff>
    </xdr:from>
    <xdr:to>
      <xdr:col>21</xdr:col>
      <xdr:colOff>261879</xdr:colOff>
      <xdr:row>537</xdr:row>
      <xdr:rowOff>108026</xdr:rowOff>
    </xdr:to>
    <xdr:pic>
      <xdr:nvPicPr>
        <xdr:cNvPr id="207" name="Image 157" descr="HAN-NIC.jpg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6113928" y="90503057"/>
          <a:ext cx="1348291" cy="6146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83244</xdr:colOff>
      <xdr:row>543</xdr:row>
      <xdr:rowOff>88367</xdr:rowOff>
    </xdr:from>
    <xdr:to>
      <xdr:col>6</xdr:col>
      <xdr:colOff>385131</xdr:colOff>
      <xdr:row>547</xdr:row>
      <xdr:rowOff>95094</xdr:rowOff>
    </xdr:to>
    <xdr:pic>
      <xdr:nvPicPr>
        <xdr:cNvPr id="219" name="Image 167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505866" y="99731073"/>
          <a:ext cx="1582720" cy="698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201066</xdr:colOff>
      <xdr:row>543</xdr:row>
      <xdr:rowOff>128067</xdr:rowOff>
    </xdr:from>
    <xdr:to>
      <xdr:col>11</xdr:col>
      <xdr:colOff>433924</xdr:colOff>
      <xdr:row>547</xdr:row>
      <xdr:rowOff>130758</xdr:rowOff>
    </xdr:to>
    <xdr:pic>
      <xdr:nvPicPr>
        <xdr:cNvPr id="220" name="Image 168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2506277" y="99770773"/>
          <a:ext cx="1571319" cy="6942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49946</xdr:colOff>
      <xdr:row>543</xdr:row>
      <xdr:rowOff>145996</xdr:rowOff>
    </xdr:from>
    <xdr:to>
      <xdr:col>17</xdr:col>
      <xdr:colOff>192</xdr:colOff>
      <xdr:row>548</xdr:row>
      <xdr:rowOff>11527</xdr:rowOff>
    </xdr:to>
    <xdr:pic>
      <xdr:nvPicPr>
        <xdr:cNvPr id="224" name="Image 169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4340198" y="99788702"/>
          <a:ext cx="1681715" cy="729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387162</xdr:colOff>
      <xdr:row>553</xdr:row>
      <xdr:rowOff>70038</xdr:rowOff>
    </xdr:from>
    <xdr:to>
      <xdr:col>6</xdr:col>
      <xdr:colOff>50538</xdr:colOff>
      <xdr:row>558</xdr:row>
      <xdr:rowOff>124499</xdr:rowOff>
    </xdr:to>
    <xdr:pic>
      <xdr:nvPicPr>
        <xdr:cNvPr id="239" name="Picture 238" descr="G-201.jpg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779368" y="103814097"/>
          <a:ext cx="873611" cy="894902"/>
        </a:xfrm>
        <a:prstGeom prst="rect">
          <a:avLst/>
        </a:prstGeom>
      </xdr:spPr>
    </xdr:pic>
    <xdr:clientData/>
  </xdr:twoCellAnchor>
  <xdr:twoCellAnchor editAs="oneCell">
    <xdr:from>
      <xdr:col>8</xdr:col>
      <xdr:colOff>573741</xdr:colOff>
      <xdr:row>445</xdr:row>
      <xdr:rowOff>62752</xdr:rowOff>
    </xdr:from>
    <xdr:to>
      <xdr:col>10</xdr:col>
      <xdr:colOff>313092</xdr:colOff>
      <xdr:row>450</xdr:row>
      <xdr:rowOff>125508</xdr:rowOff>
    </xdr:to>
    <xdr:pic>
      <xdr:nvPicPr>
        <xdr:cNvPr id="194" name="Picture 193" descr="W_3EF_vignettte.jp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2805953" y="76271717"/>
          <a:ext cx="670560" cy="914400"/>
        </a:xfrm>
        <a:prstGeom prst="rect">
          <a:avLst/>
        </a:prstGeom>
      </xdr:spPr>
    </xdr:pic>
    <xdr:clientData/>
  </xdr:twoCellAnchor>
  <xdr:twoCellAnchor editAs="oneCell">
    <xdr:from>
      <xdr:col>23</xdr:col>
      <xdr:colOff>206188</xdr:colOff>
      <xdr:row>553</xdr:row>
      <xdr:rowOff>54535</xdr:rowOff>
    </xdr:from>
    <xdr:to>
      <xdr:col>26</xdr:col>
      <xdr:colOff>187138</xdr:colOff>
      <xdr:row>558</xdr:row>
      <xdr:rowOff>103095</xdr:rowOff>
    </xdr:to>
    <xdr:pic>
      <xdr:nvPicPr>
        <xdr:cNvPr id="200" name="Image 163" descr="G-201.jpg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 rot="10800000">
          <a:off x="6167717" y="96774747"/>
          <a:ext cx="1237130" cy="945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251011</xdr:colOff>
      <xdr:row>553</xdr:row>
      <xdr:rowOff>50800</xdr:rowOff>
    </xdr:from>
    <xdr:to>
      <xdr:col>21</xdr:col>
      <xdr:colOff>159683</xdr:colOff>
      <xdr:row>558</xdr:row>
      <xdr:rowOff>58271</xdr:rowOff>
    </xdr:to>
    <xdr:pic>
      <xdr:nvPicPr>
        <xdr:cNvPr id="201" name="Image 163" descr="G-201.jpg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 rot="10800000">
          <a:off x="4401670" y="96771012"/>
          <a:ext cx="1183341" cy="9039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376516</xdr:colOff>
      <xdr:row>553</xdr:row>
      <xdr:rowOff>98612</xdr:rowOff>
    </xdr:from>
    <xdr:to>
      <xdr:col>16</xdr:col>
      <xdr:colOff>158734</xdr:colOff>
      <xdr:row>558</xdr:row>
      <xdr:rowOff>62754</xdr:rowOff>
    </xdr:to>
    <xdr:pic>
      <xdr:nvPicPr>
        <xdr:cNvPr id="208" name="Image 163" descr="G-201.jpg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 rot="10800000">
          <a:off x="4527175" y="96818824"/>
          <a:ext cx="1028312" cy="860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472184</xdr:colOff>
      <xdr:row>553</xdr:row>
      <xdr:rowOff>56733</xdr:rowOff>
    </xdr:from>
    <xdr:to>
      <xdr:col>10</xdr:col>
      <xdr:colOff>338834</xdr:colOff>
      <xdr:row>558</xdr:row>
      <xdr:rowOff>113594</xdr:rowOff>
    </xdr:to>
    <xdr:pic>
      <xdr:nvPicPr>
        <xdr:cNvPr id="209" name="Image 163" descr="G-201.jpg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 rot="5400000">
          <a:off x="2626660" y="96854681"/>
          <a:ext cx="953331" cy="7978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8</xdr:col>
      <xdr:colOff>26894</xdr:colOff>
      <xdr:row>467</xdr:row>
      <xdr:rowOff>53789</xdr:rowOff>
    </xdr:from>
    <xdr:ext cx="1564340" cy="1134034"/>
    <xdr:pic>
      <xdr:nvPicPr>
        <xdr:cNvPr id="245" name="Picture 244" descr="W-4PF_vignette.jpg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2332105" y="78123570"/>
          <a:ext cx="1564340" cy="1134034"/>
        </a:xfrm>
        <a:prstGeom prst="rect">
          <a:avLst/>
        </a:prstGeom>
      </xdr:spPr>
    </xdr:pic>
    <xdr:clientData/>
  </xdr:oneCellAnchor>
  <xdr:oneCellAnchor>
    <xdr:from>
      <xdr:col>3</xdr:col>
      <xdr:colOff>53786</xdr:colOff>
      <xdr:row>467</xdr:row>
      <xdr:rowOff>35859</xdr:rowOff>
    </xdr:from>
    <xdr:ext cx="1550521" cy="1134034"/>
    <xdr:pic>
      <xdr:nvPicPr>
        <xdr:cNvPr id="246" name="Picture 245" descr="W-4PSB_vignette.jpg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476408" y="78105640"/>
          <a:ext cx="1550521" cy="1134034"/>
        </a:xfrm>
        <a:prstGeom prst="rect">
          <a:avLst/>
        </a:prstGeom>
      </xdr:spPr>
    </xdr:pic>
    <xdr:clientData/>
  </xdr:oneCellAnchor>
  <xdr:oneCellAnchor>
    <xdr:from>
      <xdr:col>3</xdr:col>
      <xdr:colOff>457200</xdr:colOff>
      <xdr:row>456</xdr:row>
      <xdr:rowOff>44823</xdr:rowOff>
    </xdr:from>
    <xdr:ext cx="793691" cy="890068"/>
    <xdr:pic>
      <xdr:nvPicPr>
        <xdr:cNvPr id="249" name="Picture 248" descr="W-4ESB_vignette.jpg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879822" y="78114604"/>
          <a:ext cx="793691" cy="890068"/>
        </a:xfrm>
        <a:prstGeom prst="rect">
          <a:avLst/>
        </a:prstGeom>
      </xdr:spPr>
    </xdr:pic>
    <xdr:clientData/>
  </xdr:oneCellAnchor>
  <xdr:oneCellAnchor>
    <xdr:from>
      <xdr:col>8</xdr:col>
      <xdr:colOff>555812</xdr:colOff>
      <xdr:row>456</xdr:row>
      <xdr:rowOff>35859</xdr:rowOff>
    </xdr:from>
    <xdr:ext cx="684870" cy="956663"/>
    <xdr:pic>
      <xdr:nvPicPr>
        <xdr:cNvPr id="251" name="Picture 250" descr="W_4EF_vignette.jpg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2861023" y="83503674"/>
          <a:ext cx="684870" cy="956663"/>
        </a:xfrm>
        <a:prstGeom prst="rect">
          <a:avLst/>
        </a:prstGeom>
      </xdr:spPr>
    </xdr:pic>
    <xdr:clientData/>
  </xdr:oneCellAnchor>
  <xdr:oneCellAnchor>
    <xdr:from>
      <xdr:col>23</xdr:col>
      <xdr:colOff>185057</xdr:colOff>
      <xdr:row>352</xdr:row>
      <xdr:rowOff>15240</xdr:rowOff>
    </xdr:from>
    <xdr:ext cx="1326839" cy="971923"/>
    <xdr:pic>
      <xdr:nvPicPr>
        <xdr:cNvPr id="263" name="Picture 262" descr="AW-ROLLER_vignette.jp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490268" y="56569727"/>
          <a:ext cx="1326839" cy="971923"/>
        </a:xfrm>
        <a:prstGeom prst="rect">
          <a:avLst/>
        </a:prstGeom>
      </xdr:spPr>
    </xdr:pic>
    <xdr:clientData/>
  </xdr:oneCellAnchor>
  <xdr:oneCellAnchor>
    <xdr:from>
      <xdr:col>8</xdr:col>
      <xdr:colOff>83820</xdr:colOff>
      <xdr:row>341</xdr:row>
      <xdr:rowOff>22860</xdr:rowOff>
    </xdr:from>
    <xdr:ext cx="1501332" cy="985099"/>
    <xdr:pic>
      <xdr:nvPicPr>
        <xdr:cNvPr id="268" name="Picture 267" descr="AW-HANGER_vignette.jpg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 t="8000" b="3333"/>
        <a:stretch>
          <a:fillRect/>
        </a:stretch>
      </xdr:blipFill>
      <xdr:spPr>
        <a:xfrm>
          <a:off x="6231047" y="56577347"/>
          <a:ext cx="1501332" cy="985099"/>
        </a:xfrm>
        <a:prstGeom prst="rect">
          <a:avLst/>
        </a:prstGeom>
      </xdr:spPr>
    </xdr:pic>
    <xdr:clientData/>
  </xdr:oneCellAnchor>
  <xdr:twoCellAnchor editAs="oneCell">
    <xdr:from>
      <xdr:col>3</xdr:col>
      <xdr:colOff>480251</xdr:colOff>
      <xdr:row>99</xdr:row>
      <xdr:rowOff>13532</xdr:rowOff>
    </xdr:from>
    <xdr:to>
      <xdr:col>6</xdr:col>
      <xdr:colOff>51066</xdr:colOff>
      <xdr:row>104</xdr:row>
      <xdr:rowOff>132580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37"/>
        <a:stretch/>
      </xdr:blipFill>
      <xdr:spPr>
        <a:xfrm>
          <a:off x="902873" y="16495784"/>
          <a:ext cx="851648" cy="1002712"/>
        </a:xfrm>
        <a:prstGeom prst="rect">
          <a:avLst/>
        </a:prstGeom>
      </xdr:spPr>
    </xdr:pic>
    <xdr:clientData/>
  </xdr:twoCellAnchor>
  <xdr:twoCellAnchor editAs="oneCell">
    <xdr:from>
      <xdr:col>13</xdr:col>
      <xdr:colOff>38422</xdr:colOff>
      <xdr:row>375</xdr:row>
      <xdr:rowOff>32017</xdr:rowOff>
    </xdr:from>
    <xdr:to>
      <xdr:col>16</xdr:col>
      <xdr:colOff>429027</xdr:colOff>
      <xdr:row>380</xdr:row>
      <xdr:rowOff>96049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92"/>
        <a:stretch/>
      </xdr:blipFill>
      <xdr:spPr>
        <a:xfrm>
          <a:off x="4328674" y="65077362"/>
          <a:ext cx="1664874" cy="9605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24334</xdr:colOff>
      <xdr:row>375</xdr:row>
      <xdr:rowOff>30738</xdr:rowOff>
    </xdr:from>
    <xdr:to>
      <xdr:col>21</xdr:col>
      <xdr:colOff>408856</xdr:colOff>
      <xdr:row>379</xdr:row>
      <xdr:rowOff>166486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1561" y="65076083"/>
          <a:ext cx="1664874" cy="852926"/>
        </a:xfrm>
        <a:prstGeom prst="rect">
          <a:avLst/>
        </a:prstGeom>
      </xdr:spPr>
    </xdr:pic>
    <xdr:clientData/>
  </xdr:twoCellAnchor>
  <xdr:oneCellAnchor>
    <xdr:from>
      <xdr:col>18</xdr:col>
      <xdr:colOff>525075</xdr:colOff>
      <xdr:row>456</xdr:row>
      <xdr:rowOff>83244</xdr:rowOff>
    </xdr:from>
    <xdr:ext cx="793691" cy="890068"/>
    <xdr:pic>
      <xdr:nvPicPr>
        <xdr:cNvPr id="320" name="Picture 248" descr="W-4ESB_vignette.jpg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6672302" y="83551059"/>
          <a:ext cx="793691" cy="890068"/>
        </a:xfrm>
        <a:prstGeom prst="rect">
          <a:avLst/>
        </a:prstGeom>
      </xdr:spPr>
    </xdr:pic>
    <xdr:clientData/>
  </xdr:oneCellAnchor>
  <xdr:oneCellAnchor>
    <xdr:from>
      <xdr:col>23</xdr:col>
      <xdr:colOff>544286</xdr:colOff>
      <xdr:row>456</xdr:row>
      <xdr:rowOff>38421</xdr:rowOff>
    </xdr:from>
    <xdr:ext cx="684870" cy="956663"/>
    <xdr:pic>
      <xdr:nvPicPr>
        <xdr:cNvPr id="325" name="Picture 250" descr="W_4EF_vignette.jpg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8516471" y="83506236"/>
          <a:ext cx="684870" cy="956663"/>
        </a:xfrm>
        <a:prstGeom prst="rect">
          <a:avLst/>
        </a:prstGeom>
      </xdr:spPr>
    </xdr:pic>
    <xdr:clientData/>
  </xdr:oneCellAnchor>
  <xdr:twoCellAnchor editAs="oneCell">
    <xdr:from>
      <xdr:col>18</xdr:col>
      <xdr:colOff>211310</xdr:colOff>
      <xdr:row>445</xdr:row>
      <xdr:rowOff>19210</xdr:rowOff>
    </xdr:from>
    <xdr:to>
      <xdr:col>21</xdr:col>
      <xdr:colOff>241008</xdr:colOff>
      <xdr:row>450</xdr:row>
      <xdr:rowOff>122307</xdr:rowOff>
    </xdr:to>
    <xdr:pic>
      <xdr:nvPicPr>
        <xdr:cNvPr id="336" name="Picture 334" descr="W_3ESB_vignette.jpg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6358537" y="81412336"/>
          <a:ext cx="1300525" cy="935534"/>
        </a:xfrm>
        <a:prstGeom prst="rect">
          <a:avLst/>
        </a:prstGeom>
      </xdr:spPr>
    </xdr:pic>
    <xdr:clientData/>
  </xdr:twoCellAnchor>
  <xdr:twoCellAnchor editAs="oneCell">
    <xdr:from>
      <xdr:col>23</xdr:col>
      <xdr:colOff>111670</xdr:colOff>
      <xdr:row>240</xdr:row>
      <xdr:rowOff>33889</xdr:rowOff>
    </xdr:from>
    <xdr:to>
      <xdr:col>26</xdr:col>
      <xdr:colOff>352345</xdr:colOff>
      <xdr:row>246</xdr:row>
      <xdr:rowOff>2376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97"/>
        <a:stretch/>
      </xdr:blipFill>
      <xdr:spPr>
        <a:xfrm>
          <a:off x="8083855" y="41015402"/>
          <a:ext cx="1514784" cy="1018638"/>
        </a:xfrm>
        <a:prstGeom prst="rect">
          <a:avLst/>
        </a:prstGeom>
      </xdr:spPr>
    </xdr:pic>
    <xdr:clientData/>
  </xdr:twoCellAnchor>
  <xdr:twoCellAnchor editAs="oneCell">
    <xdr:from>
      <xdr:col>8</xdr:col>
      <xdr:colOff>128066</xdr:colOff>
      <xdr:row>240</xdr:row>
      <xdr:rowOff>38418</xdr:rowOff>
    </xdr:from>
    <xdr:to>
      <xdr:col>11</xdr:col>
      <xdr:colOff>422463</xdr:colOff>
      <xdr:row>245</xdr:row>
      <xdr:rowOff>134470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277" y="41019931"/>
          <a:ext cx="1632858" cy="979715"/>
        </a:xfrm>
        <a:prstGeom prst="rect">
          <a:avLst/>
        </a:prstGeom>
      </xdr:spPr>
    </xdr:pic>
    <xdr:clientData/>
  </xdr:twoCellAnchor>
  <xdr:twoCellAnchor editAs="oneCell">
    <xdr:from>
      <xdr:col>18</xdr:col>
      <xdr:colOff>364990</xdr:colOff>
      <xdr:row>240</xdr:row>
      <xdr:rowOff>32016</xdr:rowOff>
    </xdr:from>
    <xdr:to>
      <xdr:col>21</xdr:col>
      <xdr:colOff>48265</xdr:colOff>
      <xdr:row>245</xdr:row>
      <xdr:rowOff>150160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2217" y="41013529"/>
          <a:ext cx="954102" cy="1001807"/>
        </a:xfrm>
        <a:prstGeom prst="rect">
          <a:avLst/>
        </a:prstGeom>
      </xdr:spPr>
    </xdr:pic>
    <xdr:clientData/>
  </xdr:twoCellAnchor>
  <xdr:twoCellAnchor editAs="oneCell">
    <xdr:from>
      <xdr:col>3</xdr:col>
      <xdr:colOff>371394</xdr:colOff>
      <xdr:row>251</xdr:row>
      <xdr:rowOff>25407</xdr:rowOff>
    </xdr:from>
    <xdr:to>
      <xdr:col>5</xdr:col>
      <xdr:colOff>281588</xdr:colOff>
      <xdr:row>256</xdr:row>
      <xdr:rowOff>161678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016" y="42895912"/>
          <a:ext cx="870858" cy="968707"/>
        </a:xfrm>
        <a:prstGeom prst="rect">
          <a:avLst/>
        </a:prstGeom>
      </xdr:spPr>
    </xdr:pic>
    <xdr:clientData/>
  </xdr:twoCellAnchor>
  <xdr:twoCellAnchor editAs="oneCell">
    <xdr:from>
      <xdr:col>18</xdr:col>
      <xdr:colOff>57628</xdr:colOff>
      <xdr:row>251</xdr:row>
      <xdr:rowOff>25613</xdr:rowOff>
    </xdr:from>
    <xdr:to>
      <xdr:col>21</xdr:col>
      <xdr:colOff>321639</xdr:colOff>
      <xdr:row>256</xdr:row>
      <xdr:rowOff>161925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878" y="43002413"/>
          <a:ext cx="1473686" cy="993562"/>
        </a:xfrm>
        <a:prstGeom prst="rect">
          <a:avLst/>
        </a:prstGeom>
      </xdr:spPr>
    </xdr:pic>
    <xdr:clientData/>
  </xdr:twoCellAnchor>
  <xdr:twoCellAnchor editAs="oneCell">
    <xdr:from>
      <xdr:col>8</xdr:col>
      <xdr:colOff>249731</xdr:colOff>
      <xdr:row>187</xdr:row>
      <xdr:rowOff>89646</xdr:rowOff>
    </xdr:from>
    <xdr:to>
      <xdr:col>11</xdr:col>
      <xdr:colOff>111402</xdr:colOff>
      <xdr:row>192</xdr:row>
      <xdr:rowOff>160489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4942" y="33066957"/>
          <a:ext cx="1200132" cy="9481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243327</xdr:colOff>
      <xdr:row>187</xdr:row>
      <xdr:rowOff>46467</xdr:rowOff>
    </xdr:from>
    <xdr:to>
      <xdr:col>21</xdr:col>
      <xdr:colOff>61072</xdr:colOff>
      <xdr:row>192</xdr:row>
      <xdr:rowOff>138035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0554" y="33023778"/>
          <a:ext cx="1088572" cy="968829"/>
        </a:xfrm>
        <a:prstGeom prst="rect">
          <a:avLst/>
        </a:prstGeom>
      </xdr:spPr>
    </xdr:pic>
    <xdr:clientData/>
  </xdr:twoCellAnchor>
  <xdr:twoCellAnchor editAs="oneCell">
    <xdr:from>
      <xdr:col>23</xdr:col>
      <xdr:colOff>25614</xdr:colOff>
      <xdr:row>330</xdr:row>
      <xdr:rowOff>96051</xdr:rowOff>
    </xdr:from>
    <xdr:to>
      <xdr:col>26</xdr:col>
      <xdr:colOff>483373</xdr:colOff>
      <xdr:row>335</xdr:row>
      <xdr:rowOff>96050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7799" y="58059278"/>
          <a:ext cx="1750918" cy="896470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224117</xdr:colOff>
      <xdr:row>177</xdr:row>
      <xdr:rowOff>78442</xdr:rowOff>
    </xdr:from>
    <xdr:to>
      <xdr:col>6</xdr:col>
      <xdr:colOff>291726</xdr:colOff>
      <xdr:row>182</xdr:row>
      <xdr:rowOff>101600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3" y="31275618"/>
          <a:ext cx="1270000" cy="863600"/>
        </a:xfrm>
        <a:prstGeom prst="rect">
          <a:avLst/>
        </a:prstGeom>
      </xdr:spPr>
    </xdr:pic>
    <xdr:clientData/>
  </xdr:twoCellAnchor>
  <xdr:twoCellAnchor editAs="oneCell">
    <xdr:from>
      <xdr:col>8</xdr:col>
      <xdr:colOff>100853</xdr:colOff>
      <xdr:row>177</xdr:row>
      <xdr:rowOff>33618</xdr:rowOff>
    </xdr:from>
    <xdr:to>
      <xdr:col>11</xdr:col>
      <xdr:colOff>444874</xdr:colOff>
      <xdr:row>182</xdr:row>
      <xdr:rowOff>84268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3588" y="31230794"/>
          <a:ext cx="1591236" cy="891092"/>
        </a:xfrm>
        <a:prstGeom prst="rect">
          <a:avLst/>
        </a:prstGeom>
      </xdr:spPr>
    </xdr:pic>
    <xdr:clientData/>
  </xdr:twoCellAnchor>
  <xdr:twoCellAnchor editAs="oneCell">
    <xdr:from>
      <xdr:col>13</xdr:col>
      <xdr:colOff>145676</xdr:colOff>
      <xdr:row>177</xdr:row>
      <xdr:rowOff>118222</xdr:rowOff>
    </xdr:from>
    <xdr:to>
      <xdr:col>16</xdr:col>
      <xdr:colOff>418353</xdr:colOff>
      <xdr:row>182</xdr:row>
      <xdr:rowOff>93382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8588" y="31315398"/>
          <a:ext cx="1482912" cy="815602"/>
        </a:xfrm>
        <a:prstGeom prst="rect">
          <a:avLst/>
        </a:prstGeom>
      </xdr:spPr>
    </xdr:pic>
    <xdr:clientData/>
  </xdr:twoCellAnchor>
  <xdr:twoCellAnchor editAs="oneCell">
    <xdr:from>
      <xdr:col>18</xdr:col>
      <xdr:colOff>168089</xdr:colOff>
      <xdr:row>177</xdr:row>
      <xdr:rowOff>22412</xdr:rowOff>
    </xdr:from>
    <xdr:to>
      <xdr:col>21</xdr:col>
      <xdr:colOff>266514</xdr:colOff>
      <xdr:row>182</xdr:row>
      <xdr:rowOff>107539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0324" y="31219588"/>
          <a:ext cx="1303618" cy="925569"/>
        </a:xfrm>
        <a:prstGeom prst="rect">
          <a:avLst/>
        </a:prstGeom>
      </xdr:spPr>
    </xdr:pic>
    <xdr:clientData/>
  </xdr:twoCellAnchor>
  <xdr:twoCellAnchor editAs="oneCell">
    <xdr:from>
      <xdr:col>23</xdr:col>
      <xdr:colOff>280147</xdr:colOff>
      <xdr:row>177</xdr:row>
      <xdr:rowOff>23905</xdr:rowOff>
    </xdr:from>
    <xdr:to>
      <xdr:col>26</xdr:col>
      <xdr:colOff>216274</xdr:colOff>
      <xdr:row>182</xdr:row>
      <xdr:rowOff>120724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8088" y="31221081"/>
          <a:ext cx="1143001" cy="937261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179295</xdr:colOff>
      <xdr:row>187</xdr:row>
      <xdr:rowOff>56030</xdr:rowOff>
    </xdr:from>
    <xdr:to>
      <xdr:col>6</xdr:col>
      <xdr:colOff>246904</xdr:colOff>
      <xdr:row>192</xdr:row>
      <xdr:rowOff>96372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32956501"/>
          <a:ext cx="12700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336177</xdr:colOff>
      <xdr:row>187</xdr:row>
      <xdr:rowOff>33618</xdr:rowOff>
    </xdr:from>
    <xdr:to>
      <xdr:col>16</xdr:col>
      <xdr:colOff>149412</xdr:colOff>
      <xdr:row>193</xdr:row>
      <xdr:rowOff>3735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089" y="32934089"/>
          <a:ext cx="1023470" cy="1023470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179294</xdr:colOff>
      <xdr:row>187</xdr:row>
      <xdr:rowOff>78441</xdr:rowOff>
    </xdr:from>
    <xdr:to>
      <xdr:col>26</xdr:col>
      <xdr:colOff>410508</xdr:colOff>
      <xdr:row>192</xdr:row>
      <xdr:rowOff>124759</xdr:rowOff>
    </xdr:to>
    <xdr:pic>
      <xdr:nvPicPr>
        <xdr:cNvPr id="136545" name="Picture 136544">
          <a:extLst>
            <a:ext uri="{FF2B5EF4-FFF2-40B4-BE49-F238E27FC236}">
              <a16:creationId xmlns:a16="http://schemas.microsoft.com/office/drawing/2014/main" id="{00000000-0008-0000-0000-00006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7235" y="32978912"/>
          <a:ext cx="1438088" cy="920376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448235</xdr:colOff>
      <xdr:row>197</xdr:row>
      <xdr:rowOff>23904</xdr:rowOff>
    </xdr:from>
    <xdr:to>
      <xdr:col>5</xdr:col>
      <xdr:colOff>254374</xdr:colOff>
      <xdr:row>202</xdr:row>
      <xdr:rowOff>160057</xdr:rowOff>
    </xdr:to>
    <xdr:pic>
      <xdr:nvPicPr>
        <xdr:cNvPr id="136547" name="Picture 136546">
          <a:extLst>
            <a:ext uri="{FF2B5EF4-FFF2-40B4-BE49-F238E27FC236}">
              <a16:creationId xmlns:a16="http://schemas.microsoft.com/office/drawing/2014/main" id="{00000000-0008-0000-0000-00006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1" y="34694904"/>
          <a:ext cx="705971" cy="976594"/>
        </a:xfrm>
        <a:prstGeom prst="rect">
          <a:avLst/>
        </a:prstGeom>
      </xdr:spPr>
    </xdr:pic>
    <xdr:clientData/>
  </xdr:twoCellAnchor>
  <xdr:twoCellAnchor editAs="oneCell">
    <xdr:from>
      <xdr:col>8</xdr:col>
      <xdr:colOff>302560</xdr:colOff>
      <xdr:row>197</xdr:row>
      <xdr:rowOff>67235</xdr:rowOff>
    </xdr:from>
    <xdr:to>
      <xdr:col>11</xdr:col>
      <xdr:colOff>258829</xdr:colOff>
      <xdr:row>202</xdr:row>
      <xdr:rowOff>121559</xdr:rowOff>
    </xdr:to>
    <xdr:pic>
      <xdr:nvPicPr>
        <xdr:cNvPr id="136549" name="Picture 136548">
          <a:extLst>
            <a:ext uri="{FF2B5EF4-FFF2-40B4-BE49-F238E27FC236}">
              <a16:creationId xmlns:a16="http://schemas.microsoft.com/office/drawing/2014/main" id="{00000000-0008-0000-0000-00006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295" y="34738235"/>
          <a:ext cx="1203484" cy="894765"/>
        </a:xfrm>
        <a:prstGeom prst="rect">
          <a:avLst/>
        </a:prstGeom>
      </xdr:spPr>
    </xdr:pic>
    <xdr:clientData/>
  </xdr:twoCellAnchor>
  <xdr:twoCellAnchor editAs="oneCell">
    <xdr:from>
      <xdr:col>13</xdr:col>
      <xdr:colOff>302559</xdr:colOff>
      <xdr:row>197</xdr:row>
      <xdr:rowOff>30628</xdr:rowOff>
    </xdr:from>
    <xdr:to>
      <xdr:col>16</xdr:col>
      <xdr:colOff>246529</xdr:colOff>
      <xdr:row>202</xdr:row>
      <xdr:rowOff>136636</xdr:rowOff>
    </xdr:to>
    <xdr:pic>
      <xdr:nvPicPr>
        <xdr:cNvPr id="136551" name="Picture 136550">
          <a:extLst>
            <a:ext uri="{FF2B5EF4-FFF2-40B4-BE49-F238E27FC236}">
              <a16:creationId xmlns:a16="http://schemas.microsoft.com/office/drawing/2014/main" id="{00000000-0008-0000-0000-000067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5471" y="34701628"/>
          <a:ext cx="1154205" cy="946449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197</xdr:row>
      <xdr:rowOff>56029</xdr:rowOff>
    </xdr:from>
    <xdr:to>
      <xdr:col>21</xdr:col>
      <xdr:colOff>255307</xdr:colOff>
      <xdr:row>202</xdr:row>
      <xdr:rowOff>91888</xdr:rowOff>
    </xdr:to>
    <xdr:pic>
      <xdr:nvPicPr>
        <xdr:cNvPr id="136553" name="Picture 136552">
          <a:extLst>
            <a:ext uri="{FF2B5EF4-FFF2-40B4-BE49-F238E27FC236}">
              <a16:creationId xmlns:a16="http://schemas.microsoft.com/office/drawing/2014/main" id="{00000000-0008-0000-0000-000069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735" y="34727029"/>
          <a:ext cx="1270000" cy="876300"/>
        </a:xfrm>
        <a:prstGeom prst="rect">
          <a:avLst/>
        </a:prstGeom>
      </xdr:spPr>
    </xdr:pic>
    <xdr:clientData/>
  </xdr:twoCellAnchor>
  <xdr:twoCellAnchor editAs="oneCell">
    <xdr:from>
      <xdr:col>23</xdr:col>
      <xdr:colOff>336177</xdr:colOff>
      <xdr:row>197</xdr:row>
      <xdr:rowOff>22412</xdr:rowOff>
    </xdr:from>
    <xdr:to>
      <xdr:col>26</xdr:col>
      <xdr:colOff>197597</xdr:colOff>
      <xdr:row>202</xdr:row>
      <xdr:rowOff>143436</xdr:rowOff>
    </xdr:to>
    <xdr:pic>
      <xdr:nvPicPr>
        <xdr:cNvPr id="136555" name="Picture 136554">
          <a:extLst>
            <a:ext uri="{FF2B5EF4-FFF2-40B4-BE49-F238E27FC236}">
              <a16:creationId xmlns:a16="http://schemas.microsoft.com/office/drawing/2014/main" id="{00000000-0008-0000-0000-00006B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18" y="34693412"/>
          <a:ext cx="1068294" cy="961465"/>
        </a:xfrm>
        <a:prstGeom prst="rect">
          <a:avLst/>
        </a:prstGeom>
      </xdr:spPr>
    </xdr:pic>
    <xdr:clientData/>
  </xdr:twoCellAnchor>
  <xdr:twoCellAnchor editAs="oneCell">
    <xdr:from>
      <xdr:col>3</xdr:col>
      <xdr:colOff>257735</xdr:colOff>
      <xdr:row>207</xdr:row>
      <xdr:rowOff>33618</xdr:rowOff>
    </xdr:from>
    <xdr:to>
      <xdr:col>6</xdr:col>
      <xdr:colOff>325344</xdr:colOff>
      <xdr:row>212</xdr:row>
      <xdr:rowOff>145677</xdr:rowOff>
    </xdr:to>
    <xdr:pic>
      <xdr:nvPicPr>
        <xdr:cNvPr id="136557" name="Picture 136556">
          <a:extLst>
            <a:ext uri="{FF2B5EF4-FFF2-40B4-BE49-F238E27FC236}">
              <a16:creationId xmlns:a16="http://schemas.microsoft.com/office/drawing/2014/main" id="{00000000-0008-0000-0000-00006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1" y="36407912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280147</xdr:colOff>
      <xdr:row>207</xdr:row>
      <xdr:rowOff>56030</xdr:rowOff>
    </xdr:from>
    <xdr:to>
      <xdr:col>11</xdr:col>
      <xdr:colOff>302932</xdr:colOff>
      <xdr:row>212</xdr:row>
      <xdr:rowOff>104589</xdr:rowOff>
    </xdr:to>
    <xdr:pic>
      <xdr:nvPicPr>
        <xdr:cNvPr id="136563" name="Picture 136562">
          <a:extLst>
            <a:ext uri="{FF2B5EF4-FFF2-40B4-BE49-F238E27FC236}">
              <a16:creationId xmlns:a16="http://schemas.microsoft.com/office/drawing/2014/main" id="{00000000-0008-0000-0000-00007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2882" y="36430324"/>
          <a:ext cx="1270000" cy="889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124386</xdr:colOff>
      <xdr:row>207</xdr:row>
      <xdr:rowOff>66676</xdr:rowOff>
    </xdr:from>
    <xdr:to>
      <xdr:col>16</xdr:col>
      <xdr:colOff>258189</xdr:colOff>
      <xdr:row>212</xdr:row>
      <xdr:rowOff>114302</xdr:rowOff>
    </xdr:to>
    <xdr:pic>
      <xdr:nvPicPr>
        <xdr:cNvPr id="136566" name="Picture 136565">
          <a:extLst>
            <a:ext uri="{FF2B5EF4-FFF2-40B4-BE49-F238E27FC236}">
              <a16:creationId xmlns:a16="http://schemas.microsoft.com/office/drawing/2014/main" id="{00000000-0008-0000-0000-000076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2511" y="36509326"/>
          <a:ext cx="1343478" cy="904876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229</xdr:row>
      <xdr:rowOff>47625</xdr:rowOff>
    </xdr:from>
    <xdr:to>
      <xdr:col>6</xdr:col>
      <xdr:colOff>250825</xdr:colOff>
      <xdr:row>234</xdr:row>
      <xdr:rowOff>146050</xdr:rowOff>
    </xdr:to>
    <xdr:pic>
      <xdr:nvPicPr>
        <xdr:cNvPr id="136572" name="Picture 136571">
          <a:extLst>
            <a:ext uri="{FF2B5EF4-FFF2-40B4-BE49-F238E27FC236}">
              <a16:creationId xmlns:a16="http://schemas.microsoft.com/office/drawing/2014/main" id="{00000000-0008-0000-0000-00007C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9119175"/>
          <a:ext cx="1270000" cy="10414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229</xdr:row>
      <xdr:rowOff>19050</xdr:rowOff>
    </xdr:from>
    <xdr:to>
      <xdr:col>11</xdr:col>
      <xdr:colOff>95250</xdr:colOff>
      <xdr:row>234</xdr:row>
      <xdr:rowOff>154496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39090600"/>
          <a:ext cx="971550" cy="1078421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229</xdr:row>
      <xdr:rowOff>85725</xdr:rowOff>
    </xdr:from>
    <xdr:to>
      <xdr:col>16</xdr:col>
      <xdr:colOff>406400</xdr:colOff>
      <xdr:row>234</xdr:row>
      <xdr:rowOff>44450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39157275"/>
          <a:ext cx="1587500" cy="901700"/>
        </a:xfrm>
        <a:prstGeom prst="rect">
          <a:avLst/>
        </a:prstGeom>
      </xdr:spPr>
    </xdr:pic>
    <xdr:clientData/>
  </xdr:twoCellAnchor>
  <xdr:twoCellAnchor editAs="oneCell">
    <xdr:from>
      <xdr:col>18</xdr:col>
      <xdr:colOff>114299</xdr:colOff>
      <xdr:row>229</xdr:row>
      <xdr:rowOff>38100</xdr:rowOff>
    </xdr:from>
    <xdr:to>
      <xdr:col>21</xdr:col>
      <xdr:colOff>389403</xdr:colOff>
      <xdr:row>234</xdr:row>
      <xdr:rowOff>104775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49" y="39109650"/>
          <a:ext cx="1484779" cy="1009650"/>
        </a:xfrm>
        <a:prstGeom prst="rect">
          <a:avLst/>
        </a:prstGeom>
      </xdr:spPr>
    </xdr:pic>
    <xdr:clientData/>
  </xdr:twoCellAnchor>
  <xdr:twoCellAnchor editAs="oneCell">
    <xdr:from>
      <xdr:col>23</xdr:col>
      <xdr:colOff>104774</xdr:colOff>
      <xdr:row>229</xdr:row>
      <xdr:rowOff>9525</xdr:rowOff>
    </xdr:from>
    <xdr:to>
      <xdr:col>26</xdr:col>
      <xdr:colOff>451296</xdr:colOff>
      <xdr:row>234</xdr:row>
      <xdr:rowOff>171450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4" y="39081075"/>
          <a:ext cx="1556197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152399</xdr:colOff>
      <xdr:row>240</xdr:row>
      <xdr:rowOff>19049</xdr:rowOff>
    </xdr:from>
    <xdr:to>
      <xdr:col>6</xdr:col>
      <xdr:colOff>285749</xdr:colOff>
      <xdr:row>245</xdr:row>
      <xdr:rowOff>144398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9" y="41071799"/>
          <a:ext cx="1343025" cy="1020699"/>
        </a:xfrm>
        <a:prstGeom prst="rect">
          <a:avLst/>
        </a:prstGeom>
      </xdr:spPr>
    </xdr:pic>
    <xdr:clientData/>
  </xdr:twoCellAnchor>
  <xdr:twoCellAnchor editAs="oneCell">
    <xdr:from>
      <xdr:col>13</xdr:col>
      <xdr:colOff>409575</xdr:colOff>
      <xdr:row>240</xdr:row>
      <xdr:rowOff>28575</xdr:rowOff>
    </xdr:from>
    <xdr:to>
      <xdr:col>16</xdr:col>
      <xdr:colOff>161219</xdr:colOff>
      <xdr:row>246</xdr:row>
      <xdr:rowOff>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41081325"/>
          <a:ext cx="961319" cy="1038225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251</xdr:row>
      <xdr:rowOff>28575</xdr:rowOff>
    </xdr:from>
    <xdr:to>
      <xdr:col>11</xdr:col>
      <xdr:colOff>161925</xdr:colOff>
      <xdr:row>256</xdr:row>
      <xdr:rowOff>151162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43005375"/>
          <a:ext cx="1209675" cy="979837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251</xdr:row>
      <xdr:rowOff>28575</xdr:rowOff>
    </xdr:from>
    <xdr:to>
      <xdr:col>16</xdr:col>
      <xdr:colOff>228600</xdr:colOff>
      <xdr:row>256</xdr:row>
      <xdr:rowOff>163259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43005375"/>
          <a:ext cx="1209675" cy="991934"/>
        </a:xfrm>
        <a:prstGeom prst="rect">
          <a:avLst/>
        </a:prstGeom>
      </xdr:spPr>
    </xdr:pic>
    <xdr:clientData/>
  </xdr:twoCellAnchor>
  <xdr:twoCellAnchor editAs="oneCell">
    <xdr:from>
      <xdr:col>23</xdr:col>
      <xdr:colOff>361950</xdr:colOff>
      <xdr:row>251</xdr:row>
      <xdr:rowOff>28575</xdr:rowOff>
    </xdr:from>
    <xdr:to>
      <xdr:col>26</xdr:col>
      <xdr:colOff>238125</xdr:colOff>
      <xdr:row>256</xdr:row>
      <xdr:rowOff>159449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0" y="43005375"/>
          <a:ext cx="1085850" cy="988124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262</xdr:row>
      <xdr:rowOff>28575</xdr:rowOff>
    </xdr:from>
    <xdr:to>
      <xdr:col>6</xdr:col>
      <xdr:colOff>247650</xdr:colOff>
      <xdr:row>267</xdr:row>
      <xdr:rowOff>165735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44872275"/>
          <a:ext cx="1104900" cy="99441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398</xdr:row>
      <xdr:rowOff>66675</xdr:rowOff>
    </xdr:from>
    <xdr:to>
      <xdr:col>6</xdr:col>
      <xdr:colOff>269240</xdr:colOff>
      <xdr:row>403</xdr:row>
      <xdr:rowOff>35109</xdr:rowOff>
    </xdr:to>
    <xdr:pic>
      <xdr:nvPicPr>
        <xdr:cNvPr id="213" name="Picture 144" descr="M6-25BWZ-B.PNG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BEBA8EAE-BF5A-486C-A8C5-ECC9F3942E4B}">
              <a14:imgProps xmlns:a14="http://schemas.microsoft.com/office/drawing/2010/main">
                <a14:imgLayer r:embed="rId155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8650" y="74218800"/>
          <a:ext cx="1250315" cy="873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504825</xdr:colOff>
      <xdr:row>398</xdr:row>
      <xdr:rowOff>95250</xdr:rowOff>
    </xdr:from>
    <xdr:to>
      <xdr:col>11</xdr:col>
      <xdr:colOff>118654</xdr:colOff>
      <xdr:row>403</xdr:row>
      <xdr:rowOff>8439</xdr:rowOff>
    </xdr:to>
    <xdr:pic>
      <xdr:nvPicPr>
        <xdr:cNvPr id="214" name="Picture 146" descr="M6-NWZ-B.PNG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BEBA8EAE-BF5A-486C-A8C5-ECC9F3942E4B}">
              <a14:imgProps xmlns:a14="http://schemas.microsoft.com/office/drawing/2010/main">
                <a14:imgLayer r:embed="rId157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686050" y="74247375"/>
          <a:ext cx="871129" cy="818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335280</xdr:colOff>
      <xdr:row>398</xdr:row>
      <xdr:rowOff>148590</xdr:rowOff>
    </xdr:from>
    <xdr:to>
      <xdr:col>16</xdr:col>
      <xdr:colOff>187363</xdr:colOff>
      <xdr:row>402</xdr:row>
      <xdr:rowOff>160758</xdr:rowOff>
    </xdr:to>
    <xdr:pic>
      <xdr:nvPicPr>
        <xdr:cNvPr id="215" name="Picture 214" descr="M6-12BWZ_vignette.jpg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BEBA8EAE-BF5A-486C-A8C5-ECC9F3942E4B}">
              <a14:imgProps xmlns:a14="http://schemas.microsoft.com/office/drawing/2010/main">
                <a14:imgLayer r:embed="rId159">
                  <a14:imgEffect>
                    <a14:brightnessContrast contrast="-40000"/>
                  </a14:imgEffect>
                </a14:imgLayer>
              </a14:imgProps>
            </a:ext>
          </a:extLst>
        </a:blip>
        <a:srcRect l="10588" t="21177" r="17647" b="13725"/>
        <a:stretch>
          <a:fillRect/>
        </a:stretch>
      </xdr:blipFill>
      <xdr:spPr>
        <a:xfrm>
          <a:off x="4383405" y="74300715"/>
          <a:ext cx="1061758" cy="736068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410</xdr:row>
      <xdr:rowOff>9525</xdr:rowOff>
    </xdr:from>
    <xdr:to>
      <xdr:col>6</xdr:col>
      <xdr:colOff>161754</xdr:colOff>
      <xdr:row>415</xdr:row>
      <xdr:rowOff>152400</xdr:rowOff>
    </xdr:to>
    <xdr:pic>
      <xdr:nvPicPr>
        <xdr:cNvPr id="216" name="Picture 215" descr="Photoshop-F-A858_1.jpg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0" cstate="print">
          <a:extLst>
            <a:ext uri="{BEBA8EAE-BF5A-486C-A8C5-ECC9F3942E4B}">
              <a14:imgProps xmlns:a14="http://schemas.microsoft.com/office/drawing/2010/main">
                <a14:imgLayer r:embed="rId161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570" b="8368"/>
        <a:stretch/>
      </xdr:blipFill>
      <xdr:spPr>
        <a:xfrm>
          <a:off x="657225" y="76542900"/>
          <a:ext cx="1114254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375397</xdr:colOff>
      <xdr:row>410</xdr:row>
      <xdr:rowOff>19050</xdr:rowOff>
    </xdr:from>
    <xdr:to>
      <xdr:col>11</xdr:col>
      <xdr:colOff>226919</xdr:colOff>
      <xdr:row>416</xdr:row>
      <xdr:rowOff>1153</xdr:rowOff>
    </xdr:to>
    <xdr:pic>
      <xdr:nvPicPr>
        <xdr:cNvPr id="217" name="Picture 216" descr="Photoshop-F-C61_1.jpg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2" cstate="print">
          <a:extLst>
            <a:ext uri="{BEBA8EAE-BF5A-486C-A8C5-ECC9F3942E4B}">
              <a14:imgProps xmlns:a14="http://schemas.microsoft.com/office/drawing/2010/main">
                <a14:imgLayer r:embed="rId163">
                  <a14:imgEffect>
                    <a14:sharpenSoften amount="-25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8561" b="7067"/>
        <a:stretch/>
      </xdr:blipFill>
      <xdr:spPr>
        <a:xfrm>
          <a:off x="2556622" y="76552425"/>
          <a:ext cx="1108822" cy="948610"/>
        </a:xfrm>
        <a:prstGeom prst="rect">
          <a:avLst/>
        </a:prstGeom>
      </xdr:spPr>
    </xdr:pic>
    <xdr:clientData/>
  </xdr:twoCellAnchor>
  <xdr:twoCellAnchor editAs="oneCell">
    <xdr:from>
      <xdr:col>13</xdr:col>
      <xdr:colOff>323850</xdr:colOff>
      <xdr:row>410</xdr:row>
      <xdr:rowOff>38101</xdr:rowOff>
    </xdr:from>
    <xdr:to>
      <xdr:col>16</xdr:col>
      <xdr:colOff>160244</xdr:colOff>
      <xdr:row>415</xdr:row>
      <xdr:rowOff>136358</xdr:rowOff>
    </xdr:to>
    <xdr:pic>
      <xdr:nvPicPr>
        <xdr:cNvPr id="218" name="Picture 217" descr="Photoshop-F-S812_1.jpg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4" cstate="print">
          <a:extLst>
            <a:ext uri="{BEBA8EAE-BF5A-486C-A8C5-ECC9F3942E4B}">
              <a14:imgProps xmlns:a14="http://schemas.microsoft.com/office/drawing/2010/main">
                <a14:imgLayer r:embed="rId165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631" b="7307"/>
        <a:stretch/>
      </xdr:blipFill>
      <xdr:spPr>
        <a:xfrm>
          <a:off x="4371975" y="76571476"/>
          <a:ext cx="1046069" cy="907882"/>
        </a:xfrm>
        <a:prstGeom prst="rect">
          <a:avLst/>
        </a:prstGeom>
      </xdr:spPr>
    </xdr:pic>
    <xdr:clientData/>
  </xdr:twoCellAnchor>
  <xdr:twoCellAnchor editAs="oneCell">
    <xdr:from>
      <xdr:col>3</xdr:col>
      <xdr:colOff>156882</xdr:colOff>
      <xdr:row>352</xdr:row>
      <xdr:rowOff>44823</xdr:rowOff>
    </xdr:from>
    <xdr:to>
      <xdr:col>6</xdr:col>
      <xdr:colOff>216647</xdr:colOff>
      <xdr:row>357</xdr:row>
      <xdr:rowOff>156882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8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257736</xdr:colOff>
      <xdr:row>352</xdr:row>
      <xdr:rowOff>44823</xdr:rowOff>
    </xdr:from>
    <xdr:to>
      <xdr:col>11</xdr:col>
      <xdr:colOff>272677</xdr:colOff>
      <xdr:row>357</xdr:row>
      <xdr:rowOff>156882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265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201706</xdr:colOff>
      <xdr:row>352</xdr:row>
      <xdr:rowOff>56029</xdr:rowOff>
    </xdr:from>
    <xdr:to>
      <xdr:col>16</xdr:col>
      <xdr:colOff>261471</xdr:colOff>
      <xdr:row>358</xdr:row>
      <xdr:rowOff>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206" y="62360735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585</xdr:row>
      <xdr:rowOff>266700</xdr:rowOff>
    </xdr:from>
    <xdr:to>
      <xdr:col>9</xdr:col>
      <xdr:colOff>89395</xdr:colOff>
      <xdr:row>588</xdr:row>
      <xdr:rowOff>57150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0" y="113337975"/>
          <a:ext cx="2851645" cy="819150"/>
        </a:xfrm>
        <a:prstGeom prst="rect">
          <a:avLst/>
        </a:prstGeom>
      </xdr:spPr>
    </xdr:pic>
    <xdr:clientData/>
  </xdr:twoCellAnchor>
  <xdr:oneCellAnchor>
    <xdr:from>
      <xdr:col>13</xdr:col>
      <xdr:colOff>349625</xdr:colOff>
      <xdr:row>119</xdr:row>
      <xdr:rowOff>18216</xdr:rowOff>
    </xdr:from>
    <xdr:ext cx="974350" cy="999306"/>
    <xdr:pic>
      <xdr:nvPicPr>
        <xdr:cNvPr id="242" name="Picture 300" descr="HJ-DS_vignette.jpg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 l="15119" t="2400" r="15500" b="3019"/>
        <a:stretch>
          <a:fillRect/>
        </a:stretch>
      </xdr:blipFill>
      <xdr:spPr>
        <a:xfrm>
          <a:off x="2511800" y="21887616"/>
          <a:ext cx="974350" cy="999306"/>
        </a:xfrm>
        <a:prstGeom prst="rect">
          <a:avLst/>
        </a:prstGeom>
      </xdr:spPr>
    </xdr:pic>
    <xdr:clientData/>
  </xdr:oneCellAnchor>
  <xdr:oneCellAnchor>
    <xdr:from>
      <xdr:col>8</xdr:col>
      <xdr:colOff>104776</xdr:colOff>
      <xdr:row>119</xdr:row>
      <xdr:rowOff>35858</xdr:rowOff>
    </xdr:from>
    <xdr:ext cx="1404620" cy="1023197"/>
    <xdr:pic>
      <xdr:nvPicPr>
        <xdr:cNvPr id="243" name="Picture 299" descr="HJ-MS_vignette.jpg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 t="3876"/>
        <a:stretch>
          <a:fillRect/>
        </a:stretch>
      </xdr:blipFill>
      <xdr:spPr>
        <a:xfrm>
          <a:off x="504826" y="21905258"/>
          <a:ext cx="1404620" cy="1023197"/>
        </a:xfrm>
        <a:prstGeom prst="rect">
          <a:avLst/>
        </a:prstGeom>
      </xdr:spPr>
    </xdr:pic>
    <xdr:clientData/>
  </xdr:oneCellAnchor>
  <xdr:oneCellAnchor>
    <xdr:from>
      <xdr:col>3</xdr:col>
      <xdr:colOff>182880</xdr:colOff>
      <xdr:row>119</xdr:row>
      <xdr:rowOff>15240</xdr:rowOff>
    </xdr:from>
    <xdr:ext cx="1279480" cy="998490"/>
    <xdr:pic>
      <xdr:nvPicPr>
        <xdr:cNvPr id="308" name="Picture 298" descr="H-90_vignette.jpg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7717155" y="20084415"/>
          <a:ext cx="1279480" cy="998490"/>
        </a:xfrm>
        <a:prstGeom prst="rect">
          <a:avLst/>
        </a:prstGeom>
      </xdr:spPr>
    </xdr:pic>
    <xdr:clientData/>
  </xdr:oneCellAnchor>
  <xdr:oneCellAnchor>
    <xdr:from>
      <xdr:col>13</xdr:col>
      <xdr:colOff>186691</xdr:colOff>
      <xdr:row>275</xdr:row>
      <xdr:rowOff>56030</xdr:rowOff>
    </xdr:from>
    <xdr:ext cx="1387736" cy="973934"/>
    <xdr:pic>
      <xdr:nvPicPr>
        <xdr:cNvPr id="310" name="Picture 274" descr="AP-CNNCT2_vignette.jpg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 t="6000" b="4667"/>
        <a:stretch>
          <a:fillRect/>
        </a:stretch>
      </xdr:blipFill>
      <xdr:spPr>
        <a:xfrm>
          <a:off x="4196716" y="49671755"/>
          <a:ext cx="1387736" cy="973934"/>
        </a:xfrm>
        <a:prstGeom prst="rect">
          <a:avLst/>
        </a:prstGeom>
      </xdr:spPr>
    </xdr:pic>
    <xdr:clientData/>
  </xdr:oneCellAnchor>
  <xdr:oneCellAnchor>
    <xdr:from>
      <xdr:col>18</xdr:col>
      <xdr:colOff>175260</xdr:colOff>
      <xdr:row>275</xdr:row>
      <xdr:rowOff>22860</xdr:rowOff>
    </xdr:from>
    <xdr:ext cx="1284560" cy="966337"/>
    <xdr:pic>
      <xdr:nvPicPr>
        <xdr:cNvPr id="313" name="Picture 275" descr="AP-HINGE_vignette.jpg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 t="4000"/>
        <a:stretch>
          <a:fillRect/>
        </a:stretch>
      </xdr:blipFill>
      <xdr:spPr>
        <a:xfrm>
          <a:off x="7709535" y="49638585"/>
          <a:ext cx="1284560" cy="966337"/>
        </a:xfrm>
        <a:prstGeom prst="rect">
          <a:avLst/>
        </a:prstGeom>
      </xdr:spPr>
    </xdr:pic>
    <xdr:clientData/>
  </xdr:oneCellAnchor>
  <xdr:oneCellAnchor>
    <xdr:from>
      <xdr:col>18</xdr:col>
      <xdr:colOff>71718</xdr:colOff>
      <xdr:row>164</xdr:row>
      <xdr:rowOff>37540</xdr:rowOff>
    </xdr:from>
    <xdr:ext cx="1424629" cy="923687"/>
    <xdr:pic>
      <xdr:nvPicPr>
        <xdr:cNvPr id="318" name="Picture 305" descr="HJ-90_vignette.jpg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 t="5490" b="5882"/>
        <a:stretch>
          <a:fillRect/>
        </a:stretch>
      </xdr:blipFill>
      <xdr:spPr>
        <a:xfrm>
          <a:off x="5843868" y="30441340"/>
          <a:ext cx="1424629" cy="923687"/>
        </a:xfrm>
        <a:prstGeom prst="rect">
          <a:avLst/>
        </a:prstGeom>
      </xdr:spPr>
    </xdr:pic>
    <xdr:clientData/>
  </xdr:oneCellAnchor>
  <xdr:oneCellAnchor>
    <xdr:from>
      <xdr:col>3</xdr:col>
      <xdr:colOff>347384</xdr:colOff>
      <xdr:row>217</xdr:row>
      <xdr:rowOff>56030</xdr:rowOff>
    </xdr:from>
    <xdr:ext cx="1026397" cy="927809"/>
    <xdr:pic>
      <xdr:nvPicPr>
        <xdr:cNvPr id="228" name="Picture 136569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39085">
          <a:off x="7881659" y="38498930"/>
          <a:ext cx="1026397" cy="927809"/>
        </a:xfrm>
        <a:prstGeom prst="rect">
          <a:avLst/>
        </a:prstGeom>
      </xdr:spPr>
    </xdr:pic>
    <xdr:clientData/>
  </xdr:oneCellAnchor>
  <xdr:oneCellAnchor>
    <xdr:from>
      <xdr:col>18</xdr:col>
      <xdr:colOff>352425</xdr:colOff>
      <xdr:row>262</xdr:row>
      <xdr:rowOff>22224</xdr:rowOff>
    </xdr:from>
    <xdr:ext cx="962025" cy="989910"/>
    <xdr:pic>
      <xdr:nvPicPr>
        <xdr:cNvPr id="256" name="Picture 136586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48866424"/>
          <a:ext cx="962025" cy="989910"/>
        </a:xfrm>
        <a:prstGeom prst="rect">
          <a:avLst/>
        </a:prstGeom>
      </xdr:spPr>
    </xdr:pic>
    <xdr:clientData/>
  </xdr:oneCellAnchor>
  <xdr:oneCellAnchor>
    <xdr:from>
      <xdr:col>13</xdr:col>
      <xdr:colOff>403860</xdr:colOff>
      <xdr:row>432</xdr:row>
      <xdr:rowOff>91440</xdr:rowOff>
    </xdr:from>
    <xdr:ext cx="842389" cy="819968"/>
    <xdr:pic>
      <xdr:nvPicPr>
        <xdr:cNvPr id="275" name="Picture 148" descr="M8-N-B.PNG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2566035" y="84863940"/>
          <a:ext cx="842389" cy="8199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23</xdr:col>
      <xdr:colOff>30480</xdr:colOff>
      <xdr:row>543</xdr:row>
      <xdr:rowOff>22859</xdr:rowOff>
    </xdr:from>
    <xdr:ext cx="1601928" cy="795780"/>
    <xdr:pic>
      <xdr:nvPicPr>
        <xdr:cNvPr id="299" name="Picture 210" descr="D-ALUW-4818_vignette.jpg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 b="32667"/>
        <a:stretch>
          <a:fillRect/>
        </a:stretch>
      </xdr:blipFill>
      <xdr:spPr>
        <a:xfrm>
          <a:off x="7564755" y="71269859"/>
          <a:ext cx="1601928" cy="795780"/>
        </a:xfrm>
        <a:prstGeom prst="rect">
          <a:avLst/>
        </a:prstGeom>
      </xdr:spPr>
    </xdr:pic>
    <xdr:clientData/>
  </xdr:oneCellAnchor>
  <xdr:oneCellAnchor>
    <xdr:from>
      <xdr:col>3</xdr:col>
      <xdr:colOff>227925</xdr:colOff>
      <xdr:row>478</xdr:row>
      <xdr:rowOff>8965</xdr:rowOff>
    </xdr:from>
    <xdr:ext cx="1220515" cy="1230831"/>
    <xdr:pic>
      <xdr:nvPicPr>
        <xdr:cNvPr id="300" name="Picture 246" descr="Photoshop-W-6PSB_2.jpg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 l="8823" t="7682" r="11029" b="5513"/>
        <a:stretch>
          <a:fillRect/>
        </a:stretch>
      </xdr:blipFill>
      <xdr:spPr>
        <a:xfrm>
          <a:off x="6000075" y="89953540"/>
          <a:ext cx="1220515" cy="1230831"/>
        </a:xfrm>
        <a:prstGeom prst="rect">
          <a:avLst/>
        </a:prstGeom>
      </xdr:spPr>
    </xdr:pic>
    <xdr:clientData/>
  </xdr:oneCellAnchor>
  <xdr:oneCellAnchor>
    <xdr:from>
      <xdr:col>8</xdr:col>
      <xdr:colOff>340658</xdr:colOff>
      <xdr:row>478</xdr:row>
      <xdr:rowOff>35859</xdr:rowOff>
    </xdr:from>
    <xdr:ext cx="1058513" cy="1187321"/>
    <xdr:pic>
      <xdr:nvPicPr>
        <xdr:cNvPr id="301" name="Picture 247" descr="Photoshop-W-6PF_2.jpg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 l="13747" t="9660" r="15987" b="5015"/>
        <a:stretch>
          <a:fillRect/>
        </a:stretch>
      </xdr:blipFill>
      <xdr:spPr>
        <a:xfrm>
          <a:off x="7874933" y="89980434"/>
          <a:ext cx="1058513" cy="1187321"/>
        </a:xfrm>
        <a:prstGeom prst="rect">
          <a:avLst/>
        </a:prstGeom>
      </xdr:spPr>
    </xdr:pic>
    <xdr:clientData/>
  </xdr:oneCellAnchor>
  <xdr:oneCellAnchor>
    <xdr:from>
      <xdr:col>13</xdr:col>
      <xdr:colOff>238764</xdr:colOff>
      <xdr:row>478</xdr:row>
      <xdr:rowOff>43864</xdr:rowOff>
    </xdr:from>
    <xdr:ext cx="1127979" cy="1089611"/>
    <xdr:pic>
      <xdr:nvPicPr>
        <xdr:cNvPr id="305" name="Image 145" descr="BC6.jpg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4248789" y="92360164"/>
          <a:ext cx="1127979" cy="10896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7843</xdr:colOff>
      <xdr:row>467</xdr:row>
      <xdr:rowOff>68116</xdr:rowOff>
    </xdr:from>
    <xdr:ext cx="1597112" cy="1065359"/>
    <xdr:pic>
      <xdr:nvPicPr>
        <xdr:cNvPr id="306" name="Image 130" descr="BC4.jpg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4017868" y="90012691"/>
          <a:ext cx="1597112" cy="10653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18</xdr:col>
      <xdr:colOff>95250</xdr:colOff>
      <xdr:row>109</xdr:row>
      <xdr:rowOff>31200</xdr:rowOff>
    </xdr:from>
    <xdr:to>
      <xdr:col>21</xdr:col>
      <xdr:colOff>104775</xdr:colOff>
      <xdr:row>114</xdr:row>
      <xdr:rowOff>170311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00" t="17500" r="7000" b="11000"/>
        <a:stretch/>
      </xdr:blipFill>
      <xdr:spPr>
        <a:xfrm>
          <a:off x="5867400" y="20100375"/>
          <a:ext cx="1219200" cy="1043986"/>
        </a:xfrm>
        <a:prstGeom prst="rect">
          <a:avLst/>
        </a:prstGeom>
      </xdr:spPr>
    </xdr:pic>
    <xdr:clientData/>
  </xdr:twoCellAnchor>
  <xdr:twoCellAnchor editAs="oneCell">
    <xdr:from>
      <xdr:col>23</xdr:col>
      <xdr:colOff>114301</xdr:colOff>
      <xdr:row>109</xdr:row>
      <xdr:rowOff>28575</xdr:rowOff>
    </xdr:from>
    <xdr:to>
      <xdr:col>26</xdr:col>
      <xdr:colOff>232182</xdr:colOff>
      <xdr:row>114</xdr:row>
      <xdr:rowOff>162318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0" t="18500" r="8000" b="15000"/>
        <a:stretch/>
      </xdr:blipFill>
      <xdr:spPr>
        <a:xfrm>
          <a:off x="7648576" y="20097750"/>
          <a:ext cx="1327556" cy="1038618"/>
        </a:xfrm>
        <a:prstGeom prst="rect">
          <a:avLst/>
        </a:prstGeom>
      </xdr:spPr>
    </xdr:pic>
    <xdr:clientData/>
  </xdr:twoCellAnchor>
  <xdr:twoCellAnchor editAs="oneCell">
    <xdr:from>
      <xdr:col>2</xdr:col>
      <xdr:colOff>86903</xdr:colOff>
      <xdr:row>64</xdr:row>
      <xdr:rowOff>170273</xdr:rowOff>
    </xdr:from>
    <xdr:to>
      <xdr:col>3</xdr:col>
      <xdr:colOff>356917</xdr:colOff>
      <xdr:row>66</xdr:row>
      <xdr:rowOff>14015</xdr:rowOff>
    </xdr:to>
    <xdr:pic>
      <xdr:nvPicPr>
        <xdr:cNvPr id="257" name="Picture 290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71476" y="1412557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432</xdr:row>
      <xdr:rowOff>138106</xdr:rowOff>
    </xdr:from>
    <xdr:to>
      <xdr:col>11</xdr:col>
      <xdr:colOff>57150</xdr:colOff>
      <xdr:row>437</xdr:row>
      <xdr:rowOff>65588</xdr:rowOff>
    </xdr:to>
    <xdr:pic>
      <xdr:nvPicPr>
        <xdr:cNvPr id="259" name="Picture 147" descr="M8-40B-B.PNG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257425" y="82967506"/>
          <a:ext cx="1219200" cy="832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76200</xdr:colOff>
      <xdr:row>387</xdr:row>
      <xdr:rowOff>95250</xdr:rowOff>
    </xdr:from>
    <xdr:to>
      <xdr:col>26</xdr:col>
      <xdr:colOff>132921</xdr:colOff>
      <xdr:row>392</xdr:row>
      <xdr:rowOff>85725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0475" y="74104500"/>
          <a:ext cx="1266396" cy="89535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511</xdr:row>
      <xdr:rowOff>19050</xdr:rowOff>
    </xdr:from>
    <xdr:to>
      <xdr:col>6</xdr:col>
      <xdr:colOff>95250</xdr:colOff>
      <xdr:row>516</xdr:row>
      <xdr:rowOff>132475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99755325"/>
          <a:ext cx="1019175" cy="1008775"/>
        </a:xfrm>
        <a:prstGeom prst="rect">
          <a:avLst/>
        </a:prstGeom>
      </xdr:spPr>
    </xdr:pic>
    <xdr:clientData/>
  </xdr:twoCellAnchor>
  <xdr:twoCellAnchor editAs="oneCell">
    <xdr:from>
      <xdr:col>18</xdr:col>
      <xdr:colOff>466725</xdr:colOff>
      <xdr:row>44</xdr:row>
      <xdr:rowOff>28575</xdr:rowOff>
    </xdr:from>
    <xdr:to>
      <xdr:col>21</xdr:col>
      <xdr:colOff>419101</xdr:colOff>
      <xdr:row>48</xdr:row>
      <xdr:rowOff>127063</xdr:rowOff>
    </xdr:to>
    <xdr:pic>
      <xdr:nvPicPr>
        <xdr:cNvPr id="276" name="Image 275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493" r="27049" b="5462"/>
        <a:stretch/>
      </xdr:blipFill>
      <xdr:spPr>
        <a:xfrm>
          <a:off x="6238875" y="9972675"/>
          <a:ext cx="1162051" cy="812863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54</xdr:row>
      <xdr:rowOff>38100</xdr:rowOff>
    </xdr:from>
    <xdr:to>
      <xdr:col>6</xdr:col>
      <xdr:colOff>57149</xdr:colOff>
      <xdr:row>58</xdr:row>
      <xdr:rowOff>166139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18" r="7576" b="3723"/>
        <a:stretch/>
      </xdr:blipFill>
      <xdr:spPr>
        <a:xfrm>
          <a:off x="457200" y="11982450"/>
          <a:ext cx="1209674" cy="928139"/>
        </a:xfrm>
        <a:prstGeom prst="rect">
          <a:avLst/>
        </a:prstGeom>
      </xdr:spPr>
    </xdr:pic>
    <xdr:clientData/>
  </xdr:twoCellAnchor>
  <xdr:twoCellAnchor editAs="oneCell">
    <xdr:from>
      <xdr:col>23</xdr:col>
      <xdr:colOff>152400</xdr:colOff>
      <xdr:row>207</xdr:row>
      <xdr:rowOff>38100</xdr:rowOff>
    </xdr:from>
    <xdr:to>
      <xdr:col>26</xdr:col>
      <xdr:colOff>123825</xdr:colOff>
      <xdr:row>212</xdr:row>
      <xdr:rowOff>108857</xdr:rowOff>
    </xdr:to>
    <xdr:pic>
      <xdr:nvPicPr>
        <xdr:cNvPr id="338" name="Image 33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34" t="23820" r="14255" b="15648"/>
        <a:stretch/>
      </xdr:blipFill>
      <xdr:spPr>
        <a:xfrm>
          <a:off x="7686675" y="38481000"/>
          <a:ext cx="1181100" cy="928007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262</xdr:row>
      <xdr:rowOff>28575</xdr:rowOff>
    </xdr:from>
    <xdr:to>
      <xdr:col>11</xdr:col>
      <xdr:colOff>123826</xdr:colOff>
      <xdr:row>267</xdr:row>
      <xdr:rowOff>156963</xdr:rowOff>
    </xdr:to>
    <xdr:pic>
      <xdr:nvPicPr>
        <xdr:cNvPr id="340" name="Image 339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26" t="16505" r="10435" b="14563"/>
        <a:stretch/>
      </xdr:blipFill>
      <xdr:spPr>
        <a:xfrm flipH="1">
          <a:off x="2238375" y="48872775"/>
          <a:ext cx="1304926" cy="985638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76200</xdr:colOff>
      <xdr:row>262</xdr:row>
      <xdr:rowOff>28575</xdr:rowOff>
    </xdr:from>
    <xdr:to>
      <xdr:col>16</xdr:col>
      <xdr:colOff>38100</xdr:colOff>
      <xdr:row>267</xdr:row>
      <xdr:rowOff>140129</xdr:rowOff>
    </xdr:to>
    <xdr:pic>
      <xdr:nvPicPr>
        <xdr:cNvPr id="342" name="Image 341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20" t="18654" r="13324" b="15972"/>
        <a:stretch/>
      </xdr:blipFill>
      <xdr:spPr>
        <a:xfrm>
          <a:off x="4086225" y="48872775"/>
          <a:ext cx="1171575" cy="968804"/>
        </a:xfrm>
        <a:prstGeom prst="rect">
          <a:avLst/>
        </a:prstGeom>
      </xdr:spPr>
    </xdr:pic>
    <xdr:clientData/>
  </xdr:twoCellAnchor>
  <xdr:twoCellAnchor editAs="oneCell">
    <xdr:from>
      <xdr:col>18</xdr:col>
      <xdr:colOff>304800</xdr:colOff>
      <xdr:row>501</xdr:row>
      <xdr:rowOff>19050</xdr:rowOff>
    </xdr:from>
    <xdr:to>
      <xdr:col>21</xdr:col>
      <xdr:colOff>142875</xdr:colOff>
      <xdr:row>506</xdr:row>
      <xdr:rowOff>177721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6076950" y="97755075"/>
          <a:ext cx="1047750" cy="1063546"/>
        </a:xfrm>
        <a:prstGeom prst="rect">
          <a:avLst/>
        </a:prstGeom>
      </xdr:spPr>
    </xdr:pic>
    <xdr:clientData/>
  </xdr:twoCellAnchor>
  <xdr:twoCellAnchor editAs="oneCell">
    <xdr:from>
      <xdr:col>18</xdr:col>
      <xdr:colOff>361950</xdr:colOff>
      <xdr:row>207</xdr:row>
      <xdr:rowOff>28575</xdr:rowOff>
    </xdr:from>
    <xdr:to>
      <xdr:col>21</xdr:col>
      <xdr:colOff>209549</xdr:colOff>
      <xdr:row>212</xdr:row>
      <xdr:rowOff>139668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38" t="16000" r="15640" b="14229"/>
        <a:stretch/>
      </xdr:blipFill>
      <xdr:spPr>
        <a:xfrm flipH="1">
          <a:off x="6134100" y="38471475"/>
          <a:ext cx="1057274" cy="968343"/>
        </a:xfrm>
        <a:prstGeom prst="rect">
          <a:avLst/>
        </a:prstGeom>
      </xdr:spPr>
    </xdr:pic>
    <xdr:clientData/>
  </xdr:twoCellAnchor>
  <xdr:twoCellAnchor editAs="oneCell">
    <xdr:from>
      <xdr:col>18</xdr:col>
      <xdr:colOff>495300</xdr:colOff>
      <xdr:row>432</xdr:row>
      <xdr:rowOff>28575</xdr:rowOff>
    </xdr:from>
    <xdr:to>
      <xdr:col>20</xdr:col>
      <xdr:colOff>222538</xdr:colOff>
      <xdr:row>437</xdr:row>
      <xdr:rowOff>153809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69" t="3922" r="25490" b="9804"/>
        <a:stretch/>
      </xdr:blipFill>
      <xdr:spPr>
        <a:xfrm>
          <a:off x="6267450" y="82857975"/>
          <a:ext cx="632113" cy="1030109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164</xdr:row>
      <xdr:rowOff>47626</xdr:rowOff>
    </xdr:from>
    <xdr:to>
      <xdr:col>11</xdr:col>
      <xdr:colOff>139665</xdr:colOff>
      <xdr:row>169</xdr:row>
      <xdr:rowOff>152400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D63C345B-224C-457F-A66B-0BEA858200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83" b="12903"/>
        <a:stretch/>
      </xdr:blipFill>
      <xdr:spPr>
        <a:xfrm>
          <a:off x="2228850" y="30641926"/>
          <a:ext cx="1330290" cy="1019174"/>
        </a:xfrm>
        <a:prstGeom prst="rect">
          <a:avLst/>
        </a:prstGeom>
      </xdr:spPr>
    </xdr:pic>
    <xdr:clientData/>
  </xdr:twoCellAnchor>
  <xdr:twoCellAnchor editAs="oneCell">
    <xdr:from>
      <xdr:col>13</xdr:col>
      <xdr:colOff>73954</xdr:colOff>
      <xdr:row>164</xdr:row>
      <xdr:rowOff>76200</xdr:rowOff>
    </xdr:from>
    <xdr:to>
      <xdr:col>16</xdr:col>
      <xdr:colOff>95248</xdr:colOff>
      <xdr:row>169</xdr:row>
      <xdr:rowOff>142875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3C90625D-06EB-4391-B551-110F7BC85B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70" b="12030"/>
        <a:stretch/>
      </xdr:blipFill>
      <xdr:spPr>
        <a:xfrm>
          <a:off x="4083979" y="30670500"/>
          <a:ext cx="1230969" cy="981075"/>
        </a:xfrm>
        <a:prstGeom prst="rect">
          <a:avLst/>
        </a:prstGeom>
      </xdr:spPr>
    </xdr:pic>
    <xdr:clientData/>
  </xdr:twoCellAnchor>
  <xdr:twoCellAnchor editAs="oneCell">
    <xdr:from>
      <xdr:col>18</xdr:col>
      <xdr:colOff>188832</xdr:colOff>
      <xdr:row>308</xdr:row>
      <xdr:rowOff>12901</xdr:rowOff>
    </xdr:from>
    <xdr:to>
      <xdr:col>21</xdr:col>
      <xdr:colOff>3</xdr:colOff>
      <xdr:row>313</xdr:row>
      <xdr:rowOff>165062</xdr:rowOff>
    </xdr:to>
    <xdr:pic>
      <xdr:nvPicPr>
        <xdr:cNvPr id="136641" name="Image 136640">
          <a:extLst>
            <a:ext uri="{FF2B5EF4-FFF2-40B4-BE49-F238E27FC236}">
              <a16:creationId xmlns:a16="http://schemas.microsoft.com/office/drawing/2014/main" id="{35FE4A5B-5475-4713-ABC4-AEB65B5E5C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50" r="1" b="24119"/>
        <a:stretch/>
      </xdr:blipFill>
      <xdr:spPr>
        <a:xfrm rot="16200000">
          <a:off x="5952412" y="58257321"/>
          <a:ext cx="1037986" cy="1020846"/>
        </a:xfrm>
        <a:prstGeom prst="rect">
          <a:avLst/>
        </a:prstGeom>
      </xdr:spPr>
    </xdr:pic>
    <xdr:clientData/>
  </xdr:twoCellAnchor>
  <xdr:twoCellAnchor editAs="oneCell">
    <xdr:from>
      <xdr:col>23</xdr:col>
      <xdr:colOff>381000</xdr:colOff>
      <xdr:row>308</xdr:row>
      <xdr:rowOff>41959</xdr:rowOff>
    </xdr:from>
    <xdr:to>
      <xdr:col>26</xdr:col>
      <xdr:colOff>76200</xdr:colOff>
      <xdr:row>313</xdr:row>
      <xdr:rowOff>161925</xdr:rowOff>
    </xdr:to>
    <xdr:pic>
      <xdr:nvPicPr>
        <xdr:cNvPr id="136643" name="Image 136642">
          <a:extLst>
            <a:ext uri="{FF2B5EF4-FFF2-40B4-BE49-F238E27FC236}">
              <a16:creationId xmlns:a16="http://schemas.microsoft.com/office/drawing/2014/main" id="{9911C4A8-74AF-420F-BDB3-6348D92567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70" r="12299" b="15250"/>
        <a:stretch/>
      </xdr:blipFill>
      <xdr:spPr>
        <a:xfrm>
          <a:off x="7915275" y="58277809"/>
          <a:ext cx="904875" cy="1005791"/>
        </a:xfrm>
        <a:prstGeom prst="rect">
          <a:avLst/>
        </a:prstGeom>
      </xdr:spPr>
    </xdr:pic>
    <xdr:clientData/>
  </xdr:twoCellAnchor>
  <xdr:twoCellAnchor editAs="oneCell">
    <xdr:from>
      <xdr:col>18</xdr:col>
      <xdr:colOff>114300</xdr:colOff>
      <xdr:row>319</xdr:row>
      <xdr:rowOff>20956</xdr:rowOff>
    </xdr:from>
    <xdr:to>
      <xdr:col>21</xdr:col>
      <xdr:colOff>47624</xdr:colOff>
      <xdr:row>324</xdr:row>
      <xdr:rowOff>171450</xdr:rowOff>
    </xdr:to>
    <xdr:pic>
      <xdr:nvPicPr>
        <xdr:cNvPr id="136646" name="Image 136645">
          <a:extLst>
            <a:ext uri="{FF2B5EF4-FFF2-40B4-BE49-F238E27FC236}">
              <a16:creationId xmlns:a16="http://schemas.microsoft.com/office/drawing/2014/main" id="{99F0C94E-EAAE-4CD1-834E-A44D995B75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74" b="19642"/>
        <a:stretch/>
      </xdr:blipFill>
      <xdr:spPr>
        <a:xfrm>
          <a:off x="5886450" y="60380881"/>
          <a:ext cx="1142999" cy="1036319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363</xdr:row>
      <xdr:rowOff>76200</xdr:rowOff>
    </xdr:from>
    <xdr:to>
      <xdr:col>6</xdr:col>
      <xdr:colOff>326821</xdr:colOff>
      <xdr:row>368</xdr:row>
      <xdr:rowOff>57151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EFA8CC05-3FD5-499E-9118-934499B5DE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6" t="23018" r="6634" b="25384"/>
        <a:stretch/>
      </xdr:blipFill>
      <xdr:spPr>
        <a:xfrm>
          <a:off x="561975" y="68894325"/>
          <a:ext cx="1374571" cy="838201"/>
        </a:xfrm>
        <a:prstGeom prst="rect">
          <a:avLst/>
        </a:prstGeom>
      </xdr:spPr>
    </xdr:pic>
    <xdr:clientData/>
  </xdr:twoCellAnchor>
  <xdr:twoCellAnchor editAs="oneCell">
    <xdr:from>
      <xdr:col>8</xdr:col>
      <xdr:colOff>428625</xdr:colOff>
      <xdr:row>363</xdr:row>
      <xdr:rowOff>9525</xdr:rowOff>
    </xdr:from>
    <xdr:to>
      <xdr:col>11</xdr:col>
      <xdr:colOff>95250</xdr:colOff>
      <xdr:row>368</xdr:row>
      <xdr:rowOff>131269</xdr:rowOff>
    </xdr:to>
    <xdr:pic>
      <xdr:nvPicPr>
        <xdr:cNvPr id="315" name="Image 314">
          <a:extLst>
            <a:ext uri="{FF2B5EF4-FFF2-40B4-BE49-F238E27FC236}">
              <a16:creationId xmlns:a16="http://schemas.microsoft.com/office/drawing/2014/main" id="{1A5E5718-F8DC-44DC-91C5-555B7E7E4A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52" t="10153" r="15801" b="8629"/>
        <a:stretch/>
      </xdr:blipFill>
      <xdr:spPr>
        <a:xfrm>
          <a:off x="2590800" y="68827650"/>
          <a:ext cx="923925" cy="978994"/>
        </a:xfrm>
        <a:prstGeom prst="rect">
          <a:avLst/>
        </a:prstGeom>
      </xdr:spPr>
    </xdr:pic>
    <xdr:clientData/>
  </xdr:twoCellAnchor>
  <xdr:twoCellAnchor editAs="oneCell">
    <xdr:from>
      <xdr:col>18</xdr:col>
      <xdr:colOff>276225</xdr:colOff>
      <xdr:row>421</xdr:row>
      <xdr:rowOff>85725</xdr:rowOff>
    </xdr:from>
    <xdr:to>
      <xdr:col>21</xdr:col>
      <xdr:colOff>233172</xdr:colOff>
      <xdr:row>426</xdr:row>
      <xdr:rowOff>125910</xdr:rowOff>
    </xdr:to>
    <xdr:pic>
      <xdr:nvPicPr>
        <xdr:cNvPr id="343" name="Image 342">
          <a:extLst>
            <a:ext uri="{FF2B5EF4-FFF2-40B4-BE49-F238E27FC236}">
              <a16:creationId xmlns:a16="http://schemas.microsoft.com/office/drawing/2014/main" id="{9A67DE43-7103-432A-AC61-CE5D2676EE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15" b="9740"/>
        <a:stretch/>
      </xdr:blipFill>
      <xdr:spPr>
        <a:xfrm>
          <a:off x="6048375" y="81000600"/>
          <a:ext cx="1166622" cy="916485"/>
        </a:xfrm>
        <a:prstGeom prst="rect">
          <a:avLst/>
        </a:prstGeom>
      </xdr:spPr>
    </xdr:pic>
    <xdr:clientData/>
  </xdr:twoCellAnchor>
  <xdr:twoCellAnchor editAs="oneCell">
    <xdr:from>
      <xdr:col>23</xdr:col>
      <xdr:colOff>266700</xdr:colOff>
      <xdr:row>421</xdr:row>
      <xdr:rowOff>76200</xdr:rowOff>
    </xdr:from>
    <xdr:to>
      <xdr:col>26</xdr:col>
      <xdr:colOff>261746</xdr:colOff>
      <xdr:row>426</xdr:row>
      <xdr:rowOff>127456</xdr:rowOff>
    </xdr:to>
    <xdr:pic>
      <xdr:nvPicPr>
        <xdr:cNvPr id="344" name="Image 343">
          <a:extLst>
            <a:ext uri="{FF2B5EF4-FFF2-40B4-BE49-F238E27FC236}">
              <a16:creationId xmlns:a16="http://schemas.microsoft.com/office/drawing/2014/main" id="{F07CB371-6677-45B6-85AC-95C12B1974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63" b="9904"/>
        <a:stretch/>
      </xdr:blipFill>
      <xdr:spPr>
        <a:xfrm>
          <a:off x="7800975" y="80991075"/>
          <a:ext cx="1204721" cy="927556"/>
        </a:xfrm>
        <a:prstGeom prst="rect">
          <a:avLst/>
        </a:prstGeom>
      </xdr:spPr>
    </xdr:pic>
    <xdr:clientData/>
  </xdr:twoCellAnchor>
  <xdr:twoCellAnchor editAs="oneCell">
    <xdr:from>
      <xdr:col>18</xdr:col>
      <xdr:colOff>142875</xdr:colOff>
      <xdr:row>467</xdr:row>
      <xdr:rowOff>47625</xdr:rowOff>
    </xdr:from>
    <xdr:to>
      <xdr:col>21</xdr:col>
      <xdr:colOff>365759</xdr:colOff>
      <xdr:row>472</xdr:row>
      <xdr:rowOff>130985</xdr:rowOff>
    </xdr:to>
    <xdr:pic>
      <xdr:nvPicPr>
        <xdr:cNvPr id="345" name="Image 344">
          <a:extLst>
            <a:ext uri="{FF2B5EF4-FFF2-40B4-BE49-F238E27FC236}">
              <a16:creationId xmlns:a16="http://schemas.microsoft.com/office/drawing/2014/main" id="{5C3622F1-62F6-4AFE-96C3-CCDC2BDC92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5" b="7024"/>
        <a:stretch/>
      </xdr:blipFill>
      <xdr:spPr>
        <a:xfrm>
          <a:off x="5915025" y="90249375"/>
          <a:ext cx="1432559" cy="1188260"/>
        </a:xfrm>
        <a:prstGeom prst="rect">
          <a:avLst/>
        </a:prstGeom>
      </xdr:spPr>
    </xdr:pic>
    <xdr:clientData/>
  </xdr:twoCellAnchor>
  <xdr:twoCellAnchor editAs="oneCell">
    <xdr:from>
      <xdr:col>23</xdr:col>
      <xdr:colOff>257175</xdr:colOff>
      <xdr:row>467</xdr:row>
      <xdr:rowOff>19050</xdr:rowOff>
    </xdr:from>
    <xdr:to>
      <xdr:col>26</xdr:col>
      <xdr:colOff>361950</xdr:colOff>
      <xdr:row>472</xdr:row>
      <xdr:rowOff>85725</xdr:rowOff>
    </xdr:to>
    <xdr:pic>
      <xdr:nvPicPr>
        <xdr:cNvPr id="346" name="Image 345">
          <a:extLst>
            <a:ext uri="{FF2B5EF4-FFF2-40B4-BE49-F238E27FC236}">
              <a16:creationId xmlns:a16="http://schemas.microsoft.com/office/drawing/2014/main" id="{2B489203-F82E-41B5-9E96-5C7987D97C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02" t="18913" r="21218" b="15900"/>
        <a:stretch/>
      </xdr:blipFill>
      <xdr:spPr>
        <a:xfrm>
          <a:off x="7791450" y="90220800"/>
          <a:ext cx="1314450" cy="1171575"/>
        </a:xfrm>
        <a:prstGeom prst="rect">
          <a:avLst/>
        </a:prstGeom>
      </xdr:spPr>
    </xdr:pic>
    <xdr:clientData/>
  </xdr:twoCellAnchor>
  <xdr:twoCellAnchor editAs="oneCell">
    <xdr:from>
      <xdr:col>18</xdr:col>
      <xdr:colOff>171450</xdr:colOff>
      <xdr:row>478</xdr:row>
      <xdr:rowOff>76200</xdr:rowOff>
    </xdr:from>
    <xdr:to>
      <xdr:col>21</xdr:col>
      <xdr:colOff>295275</xdr:colOff>
      <xdr:row>483</xdr:row>
      <xdr:rowOff>244734</xdr:rowOff>
    </xdr:to>
    <xdr:pic>
      <xdr:nvPicPr>
        <xdr:cNvPr id="347" name="Image 346">
          <a:extLst>
            <a:ext uri="{FF2B5EF4-FFF2-40B4-BE49-F238E27FC236}">
              <a16:creationId xmlns:a16="http://schemas.microsoft.com/office/drawing/2014/main" id="{87782C88-59FF-4E3A-98E1-B2B76DE4E0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36" b="6273"/>
        <a:stretch/>
      </xdr:blipFill>
      <xdr:spPr>
        <a:xfrm>
          <a:off x="5943600" y="92649675"/>
          <a:ext cx="1333500" cy="1168659"/>
        </a:xfrm>
        <a:prstGeom prst="rect">
          <a:avLst/>
        </a:prstGeom>
      </xdr:spPr>
    </xdr:pic>
    <xdr:clientData/>
  </xdr:twoCellAnchor>
  <xdr:twoCellAnchor editAs="oneCell">
    <xdr:from>
      <xdr:col>23</xdr:col>
      <xdr:colOff>209550</xdr:colOff>
      <xdr:row>478</xdr:row>
      <xdr:rowOff>95250</xdr:rowOff>
    </xdr:from>
    <xdr:to>
      <xdr:col>26</xdr:col>
      <xdr:colOff>277739</xdr:colOff>
      <xdr:row>483</xdr:row>
      <xdr:rowOff>247650</xdr:rowOff>
    </xdr:to>
    <xdr:pic>
      <xdr:nvPicPr>
        <xdr:cNvPr id="348" name="Image 347">
          <a:extLst>
            <a:ext uri="{FF2B5EF4-FFF2-40B4-BE49-F238E27FC236}">
              <a16:creationId xmlns:a16="http://schemas.microsoft.com/office/drawing/2014/main" id="{A6C7A8BD-E003-4482-8BB4-85834E8C13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0" b="7960"/>
        <a:stretch/>
      </xdr:blipFill>
      <xdr:spPr>
        <a:xfrm>
          <a:off x="7743825" y="92668725"/>
          <a:ext cx="1277864" cy="1152525"/>
        </a:xfrm>
        <a:prstGeom prst="rect">
          <a:avLst/>
        </a:prstGeom>
      </xdr:spPr>
    </xdr:pic>
    <xdr:clientData/>
  </xdr:twoCellAnchor>
  <xdr:twoCellAnchor editAs="oneCell">
    <xdr:from>
      <xdr:col>10</xdr:col>
      <xdr:colOff>216743</xdr:colOff>
      <xdr:row>585</xdr:row>
      <xdr:rowOff>285750</xdr:rowOff>
    </xdr:from>
    <xdr:to>
      <xdr:col>17</xdr:col>
      <xdr:colOff>104776</xdr:colOff>
      <xdr:row>588</xdr:row>
      <xdr:rowOff>74981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3283793" y="118290975"/>
          <a:ext cx="2478833" cy="817931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275</xdr:row>
      <xdr:rowOff>40324</xdr:rowOff>
    </xdr:from>
    <xdr:to>
      <xdr:col>11</xdr:col>
      <xdr:colOff>381000</xdr:colOff>
      <xdr:row>280</xdr:row>
      <xdr:rowOff>152400</xdr:rowOff>
    </xdr:to>
    <xdr:pic>
      <xdr:nvPicPr>
        <xdr:cNvPr id="355" name="Image 354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5" y="54790024"/>
          <a:ext cx="1428750" cy="997901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286</xdr:row>
      <xdr:rowOff>28575</xdr:rowOff>
    </xdr:from>
    <xdr:to>
      <xdr:col>10</xdr:col>
      <xdr:colOff>161925</xdr:colOff>
      <xdr:row>291</xdr:row>
      <xdr:rowOff>151949</xdr:rowOff>
    </xdr:to>
    <xdr:pic>
      <xdr:nvPicPr>
        <xdr:cNvPr id="356" name="Image 355"/>
        <xdr:cNvPicPr>
          <a:picLocks noChangeAspect="1"/>
        </xdr:cNvPicPr>
      </xdr:nvPicPr>
      <xdr:blipFill rotWithShape="1"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38"/>
        <a:stretch/>
      </xdr:blipFill>
      <xdr:spPr>
        <a:xfrm>
          <a:off x="2838450" y="56902350"/>
          <a:ext cx="390525" cy="1009199"/>
        </a:xfrm>
        <a:prstGeom prst="rect">
          <a:avLst/>
        </a:prstGeom>
      </xdr:spPr>
    </xdr:pic>
    <xdr:clientData/>
  </xdr:twoCellAnchor>
  <xdr:twoCellAnchor editAs="oneCell">
    <xdr:from>
      <xdr:col>23</xdr:col>
      <xdr:colOff>38100</xdr:colOff>
      <xdr:row>342</xdr:row>
      <xdr:rowOff>66675</xdr:rowOff>
    </xdr:from>
    <xdr:to>
      <xdr:col>26</xdr:col>
      <xdr:colOff>440817</xdr:colOff>
      <xdr:row>346</xdr:row>
      <xdr:rowOff>0</xdr:rowOff>
    </xdr:to>
    <xdr:pic>
      <xdr:nvPicPr>
        <xdr:cNvPr id="357" name="Image 356"/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0" y="68818125"/>
          <a:ext cx="1612392" cy="657225"/>
        </a:xfrm>
        <a:prstGeom prst="rect">
          <a:avLst/>
        </a:prstGeom>
      </xdr:spPr>
    </xdr:pic>
    <xdr:clientData/>
  </xdr:twoCellAnchor>
  <xdr:twoCellAnchor editAs="oneCell">
    <xdr:from>
      <xdr:col>18</xdr:col>
      <xdr:colOff>66675</xdr:colOff>
      <xdr:row>341</xdr:row>
      <xdr:rowOff>47625</xdr:rowOff>
    </xdr:from>
    <xdr:to>
      <xdr:col>21</xdr:col>
      <xdr:colOff>361950</xdr:colOff>
      <xdr:row>346</xdr:row>
      <xdr:rowOff>131001</xdr:rowOff>
    </xdr:to>
    <xdr:pic>
      <xdr:nvPicPr>
        <xdr:cNvPr id="358" name="Image 357"/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0" y="68618100"/>
          <a:ext cx="1504950" cy="988251"/>
        </a:xfrm>
        <a:prstGeom prst="rect">
          <a:avLst/>
        </a:prstGeom>
      </xdr:spPr>
    </xdr:pic>
    <xdr:clientData/>
  </xdr:twoCellAnchor>
  <xdr:twoCellAnchor editAs="oneCell">
    <xdr:from>
      <xdr:col>18</xdr:col>
      <xdr:colOff>542924</xdr:colOff>
      <xdr:row>363</xdr:row>
      <xdr:rowOff>47624</xdr:rowOff>
    </xdr:from>
    <xdr:to>
      <xdr:col>20</xdr:col>
      <xdr:colOff>16129</xdr:colOff>
      <xdr:row>368</xdr:row>
      <xdr:rowOff>133349</xdr:rowOff>
    </xdr:to>
    <xdr:pic>
      <xdr:nvPicPr>
        <xdr:cNvPr id="359" name="Image 358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199" y="72809099"/>
          <a:ext cx="378080" cy="942975"/>
        </a:xfrm>
        <a:prstGeom prst="rect">
          <a:avLst/>
        </a:prstGeom>
      </xdr:spPr>
    </xdr:pic>
    <xdr:clientData/>
  </xdr:twoCellAnchor>
  <xdr:twoCellAnchor editAs="oneCell">
    <xdr:from>
      <xdr:col>13</xdr:col>
      <xdr:colOff>304799</xdr:colOff>
      <xdr:row>363</xdr:row>
      <xdr:rowOff>152399</xdr:rowOff>
    </xdr:from>
    <xdr:to>
      <xdr:col>16</xdr:col>
      <xdr:colOff>110657</xdr:colOff>
      <xdr:row>368</xdr:row>
      <xdr:rowOff>9524</xdr:rowOff>
    </xdr:to>
    <xdr:pic>
      <xdr:nvPicPr>
        <xdr:cNvPr id="360" name="Image 359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2949" y="72913874"/>
          <a:ext cx="1015533" cy="714375"/>
        </a:xfrm>
        <a:prstGeom prst="rect">
          <a:avLst/>
        </a:prstGeom>
      </xdr:spPr>
    </xdr:pic>
    <xdr:clientData/>
  </xdr:twoCellAnchor>
  <xdr:oneCellAnchor>
    <xdr:from>
      <xdr:col>18</xdr:col>
      <xdr:colOff>542924</xdr:colOff>
      <xdr:row>363</xdr:row>
      <xdr:rowOff>47624</xdr:rowOff>
    </xdr:from>
    <xdr:ext cx="378080" cy="942975"/>
    <xdr:pic>
      <xdr:nvPicPr>
        <xdr:cNvPr id="361" name="Image 360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199" y="72809099"/>
          <a:ext cx="378080" cy="942975"/>
        </a:xfrm>
        <a:prstGeom prst="rect">
          <a:avLst/>
        </a:prstGeom>
      </xdr:spPr>
    </xdr:pic>
    <xdr:clientData/>
  </xdr:oneCellAnchor>
  <xdr:oneCellAnchor>
    <xdr:from>
      <xdr:col>13</xdr:col>
      <xdr:colOff>304799</xdr:colOff>
      <xdr:row>363</xdr:row>
      <xdr:rowOff>152399</xdr:rowOff>
    </xdr:from>
    <xdr:ext cx="1015533" cy="714375"/>
    <xdr:pic>
      <xdr:nvPicPr>
        <xdr:cNvPr id="362" name="Image 361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2949" y="72913874"/>
          <a:ext cx="1015533" cy="714375"/>
        </a:xfrm>
        <a:prstGeom prst="rect">
          <a:avLst/>
        </a:prstGeom>
      </xdr:spPr>
    </xdr:pic>
    <xdr:clientData/>
  </xdr:oneCellAnchor>
  <xdr:twoCellAnchor editAs="oneCell">
    <xdr:from>
      <xdr:col>26</xdr:col>
      <xdr:colOff>133350</xdr:colOff>
      <xdr:row>500</xdr:row>
      <xdr:rowOff>161925</xdr:rowOff>
    </xdr:from>
    <xdr:to>
      <xdr:col>27</xdr:col>
      <xdr:colOff>15192</xdr:colOff>
      <xdr:row>503</xdr:row>
      <xdr:rowOff>3314</xdr:rowOff>
    </xdr:to>
    <xdr:pic>
      <xdr:nvPicPr>
        <xdr:cNvPr id="363" name="Picture 290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5425" y="101717475"/>
          <a:ext cx="386667" cy="384314"/>
        </a:xfrm>
        <a:prstGeom prst="rect">
          <a:avLst/>
        </a:prstGeom>
      </xdr:spPr>
    </xdr:pic>
    <xdr:clientData/>
  </xdr:twoCellAnchor>
  <xdr:oneCellAnchor>
    <xdr:from>
      <xdr:col>23</xdr:col>
      <xdr:colOff>289560</xdr:colOff>
      <xdr:row>501</xdr:row>
      <xdr:rowOff>30480</xdr:rowOff>
    </xdr:from>
    <xdr:ext cx="902424" cy="924194"/>
    <xdr:pic>
      <xdr:nvPicPr>
        <xdr:cNvPr id="364" name="Picture 131" descr="bulk-cart.jpg">
          <a:extLst>
            <a:ext uri="{FF2B5EF4-FFF2-40B4-BE49-F238E27FC236}">
              <a16:creationId xmlns:a16="http://schemas.microsoft.com/office/drawing/2014/main" id="{00000000-0008-0000-0000-00007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061960" y="101767005"/>
          <a:ext cx="902424" cy="9241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18</xdr:col>
      <xdr:colOff>47625</xdr:colOff>
      <xdr:row>543</xdr:row>
      <xdr:rowOff>66675</xdr:rowOff>
    </xdr:from>
    <xdr:to>
      <xdr:col>21</xdr:col>
      <xdr:colOff>374650</xdr:colOff>
      <xdr:row>548</xdr:row>
      <xdr:rowOff>104775</xdr:rowOff>
    </xdr:to>
    <xdr:pic>
      <xdr:nvPicPr>
        <xdr:cNvPr id="231" name="Image 230"/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9775" y="109842300"/>
          <a:ext cx="1536700" cy="89535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67</xdr:row>
      <xdr:rowOff>57150</xdr:rowOff>
    </xdr:from>
    <xdr:to>
      <xdr:col>6</xdr:col>
      <xdr:colOff>314325</xdr:colOff>
      <xdr:row>71</xdr:row>
      <xdr:rowOff>188201</xdr:rowOff>
    </xdr:to>
    <xdr:pic>
      <xdr:nvPicPr>
        <xdr:cNvPr id="253" name="Image 252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14897100"/>
          <a:ext cx="1285875" cy="931151"/>
        </a:xfrm>
        <a:prstGeom prst="rect">
          <a:avLst/>
        </a:prstGeom>
      </xdr:spPr>
    </xdr:pic>
    <xdr:clientData/>
  </xdr:twoCellAnchor>
  <xdr:twoCellAnchor editAs="oneCell">
    <xdr:from>
      <xdr:col>8</xdr:col>
      <xdr:colOff>400050</xdr:colOff>
      <xdr:row>67</xdr:row>
      <xdr:rowOff>28575</xdr:rowOff>
    </xdr:from>
    <xdr:to>
      <xdr:col>11</xdr:col>
      <xdr:colOff>257175</xdr:colOff>
      <xdr:row>71</xdr:row>
      <xdr:rowOff>165923</xdr:rowOff>
    </xdr:to>
    <xdr:pic>
      <xdr:nvPicPr>
        <xdr:cNvPr id="254" name="Image 253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14868525"/>
          <a:ext cx="1114425" cy="937448"/>
        </a:xfrm>
        <a:prstGeom prst="rect">
          <a:avLst/>
        </a:prstGeom>
      </xdr:spPr>
    </xdr:pic>
    <xdr:clientData/>
  </xdr:twoCellAnchor>
  <xdr:twoCellAnchor editAs="oneCell">
    <xdr:from>
      <xdr:col>13</xdr:col>
      <xdr:colOff>180975</xdr:colOff>
      <xdr:row>67</xdr:row>
      <xdr:rowOff>19050</xdr:rowOff>
    </xdr:from>
    <xdr:to>
      <xdr:col>16</xdr:col>
      <xdr:colOff>266700</xdr:colOff>
      <xdr:row>71</xdr:row>
      <xdr:rowOff>178754</xdr:rowOff>
    </xdr:to>
    <xdr:pic>
      <xdr:nvPicPr>
        <xdr:cNvPr id="255" name="Image 254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14859000"/>
          <a:ext cx="1295400" cy="959804"/>
        </a:xfrm>
        <a:prstGeom prst="rect">
          <a:avLst/>
        </a:prstGeom>
      </xdr:spPr>
    </xdr:pic>
    <xdr:clientData/>
  </xdr:twoCellAnchor>
  <xdr:twoCellAnchor editAs="oneCell">
    <xdr:from>
      <xdr:col>18</xdr:col>
      <xdr:colOff>133350</xdr:colOff>
      <xdr:row>67</xdr:row>
      <xdr:rowOff>57150</xdr:rowOff>
    </xdr:from>
    <xdr:to>
      <xdr:col>21</xdr:col>
      <xdr:colOff>333375</xdr:colOff>
      <xdr:row>72</xdr:row>
      <xdr:rowOff>14159</xdr:rowOff>
    </xdr:to>
    <xdr:pic>
      <xdr:nvPicPr>
        <xdr:cNvPr id="258" name="Image 257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0" y="14897100"/>
          <a:ext cx="1409700" cy="9571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45719</xdr:colOff>
      <xdr:row>0</xdr:row>
      <xdr:rowOff>1</xdr:rowOff>
    </xdr:from>
    <xdr:to>
      <xdr:col>2</xdr:col>
      <xdr:colOff>632460</xdr:colOff>
      <xdr:row>2</xdr:row>
      <xdr:rowOff>155553</xdr:rowOff>
    </xdr:to>
    <xdr:pic>
      <xdr:nvPicPr>
        <xdr:cNvPr id="4" name="Picture 3" descr="Logo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19" y="1"/>
          <a:ext cx="1396366" cy="4794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</xdr:colOff>
      <xdr:row>71</xdr:row>
      <xdr:rowOff>22860</xdr:rowOff>
    </xdr:from>
    <xdr:to>
      <xdr:col>6</xdr:col>
      <xdr:colOff>1638300</xdr:colOff>
      <xdr:row>72</xdr:row>
      <xdr:rowOff>106680</xdr:rowOff>
    </xdr:to>
    <xdr:pic>
      <xdr:nvPicPr>
        <xdr:cNvPr id="131571" name="Image 1" descr="Signature Marie-Soleil.jpeg">
          <a:extLst>
            <a:ext uri="{FF2B5EF4-FFF2-40B4-BE49-F238E27FC236}">
              <a16:creationId xmlns:a16="http://schemas.microsoft.com/office/drawing/2014/main" id="{00000000-0008-0000-0300-0000F30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50920" y="10172700"/>
          <a:ext cx="160782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198120</xdr:colOff>
      <xdr:row>57</xdr:row>
      <xdr:rowOff>22860</xdr:rowOff>
    </xdr:from>
    <xdr:to>
      <xdr:col>5</xdr:col>
      <xdr:colOff>464820</xdr:colOff>
      <xdr:row>58</xdr:row>
      <xdr:rowOff>121920</xdr:rowOff>
    </xdr:to>
    <xdr:pic>
      <xdr:nvPicPr>
        <xdr:cNvPr id="135177" name="Image 1" descr="Signature Marie-Soleil.jpeg">
          <a:extLst>
            <a:ext uri="{FF2B5EF4-FFF2-40B4-BE49-F238E27FC236}">
              <a16:creationId xmlns:a16="http://schemas.microsoft.com/office/drawing/2014/main" id="{00000000-0008-0000-0400-0000091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54580" y="9471660"/>
          <a:ext cx="1897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lexpipe\Documents\Price%20list%202014-2015\Flexpipe%20Prices%20-%20EN%202014-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eventbrite.ca/o/flexpipe-training-8304988806" TargetMode="External"/><Relationship Id="rId1" Type="http://schemas.openxmlformats.org/officeDocument/2006/relationships/hyperlink" Target="https://www.eventbrite.ca/o/flexpipe-training-8304988806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dcloutier@flexpipeinc.com" TargetMode="External"/><Relationship Id="rId13" Type="http://schemas.openxmlformats.org/officeDocument/2006/relationships/hyperlink" Target="mailto:djacob@flexpipeinc.com" TargetMode="External"/><Relationship Id="rId3" Type="http://schemas.openxmlformats.org/officeDocument/2006/relationships/hyperlink" Target="mailto:slejour@flexpipeinc.com" TargetMode="External"/><Relationship Id="rId7" Type="http://schemas.openxmlformats.org/officeDocument/2006/relationships/hyperlink" Target="mailto:rfedun@flexpipeinc.com" TargetMode="External"/><Relationship Id="rId12" Type="http://schemas.openxmlformats.org/officeDocument/2006/relationships/hyperlink" Target="mailto:jdespars@flexpipeinc.com" TargetMode="External"/><Relationship Id="rId17" Type="http://schemas.openxmlformats.org/officeDocument/2006/relationships/drawing" Target="../drawings/drawing2.xml"/><Relationship Id="rId2" Type="http://schemas.openxmlformats.org/officeDocument/2006/relationships/hyperlink" Target="mailto:rboquien@flexpipeinc.com" TargetMode="External"/><Relationship Id="rId16" Type="http://schemas.openxmlformats.org/officeDocument/2006/relationships/printerSettings" Target="../printerSettings/printerSettings2.bin"/><Relationship Id="rId1" Type="http://schemas.openxmlformats.org/officeDocument/2006/relationships/hyperlink" Target="mailto:jdepelteau@flexpipeinc.com" TargetMode="External"/><Relationship Id="rId6" Type="http://schemas.openxmlformats.org/officeDocument/2006/relationships/hyperlink" Target="http://www.flexpipeinc.com/" TargetMode="External"/><Relationship Id="rId11" Type="http://schemas.openxmlformats.org/officeDocument/2006/relationships/hyperlink" Target="mailto:dbeaudry@flexpipeinc.com" TargetMode="External"/><Relationship Id="rId5" Type="http://schemas.openxmlformats.org/officeDocument/2006/relationships/hyperlink" Target="mailto:tfessa@flexpipeinc.com" TargetMode="External"/><Relationship Id="rId15" Type="http://schemas.openxmlformats.org/officeDocument/2006/relationships/hyperlink" Target="mailto:jcouvieau@flexpipeinc.com" TargetMode="External"/><Relationship Id="rId10" Type="http://schemas.openxmlformats.org/officeDocument/2006/relationships/hyperlink" Target="mailto:ydepelteau@flexpipeinc.com" TargetMode="External"/><Relationship Id="rId4" Type="http://schemas.openxmlformats.org/officeDocument/2006/relationships/hyperlink" Target="mailto:msmilton@flexpipeinc.com" TargetMode="External"/><Relationship Id="rId9" Type="http://schemas.openxmlformats.org/officeDocument/2006/relationships/hyperlink" Target="mailto:srodeck@flexpipeinc.com" TargetMode="External"/><Relationship Id="rId14" Type="http://schemas.openxmlformats.org/officeDocument/2006/relationships/hyperlink" Target="mailto:slabrosse@flexpipeinc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hyperlink" Target="mailto:tewelde@flexpipeinc.com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mailto:msmilton@flexpipeinc.com" TargetMode="External"/><Relationship Id="rId1" Type="http://schemas.openxmlformats.org/officeDocument/2006/relationships/hyperlink" Target="mailto:kpletourneau@flexpipeinc.com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mailto:plord@flexpipeinc.com" TargetMode="External"/><Relationship Id="rId4" Type="http://schemas.openxmlformats.org/officeDocument/2006/relationships/hyperlink" Target="mailto:slejour@flexpipeinc.com" TargetMode="External"/><Relationship Id="rId9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AG595"/>
  <sheetViews>
    <sheetView showGridLines="0" tabSelected="1" zoomScaleNormal="100" zoomScaleSheetLayoutView="100" workbookViewId="0">
      <pane ySplit="1" topLeftCell="A14" activePane="bottomLeft" state="frozen"/>
      <selection pane="bottomLeft" activeCell="D1" sqref="D1"/>
    </sheetView>
  </sheetViews>
  <sheetFormatPr baseColWidth="10" defaultColWidth="9.140625" defaultRowHeight="12.75" x14ac:dyDescent="0.2"/>
  <cols>
    <col min="1" max="1" width="0.5703125" style="166" customWidth="1"/>
    <col min="2" max="2" width="3.7109375" style="166" customWidth="1"/>
    <col min="3" max="3" width="1.7109375" style="166" customWidth="1"/>
    <col min="4" max="4" width="9" style="166" customWidth="1"/>
    <col min="5" max="6" width="4.5703125" style="166" customWidth="1"/>
    <col min="7" max="7" width="6.5703125" style="166" customWidth="1"/>
    <col min="8" max="8" width="1.7109375" style="166" customWidth="1"/>
    <col min="9" max="9" width="9" style="166" customWidth="1"/>
    <col min="10" max="10" width="4.5703125" style="166" customWidth="1"/>
    <col min="11" max="11" width="5.28515625" style="166" customWidth="1"/>
    <col min="12" max="12" width="7.140625" style="166" customWidth="1"/>
    <col min="13" max="13" width="1.7109375" style="166" customWidth="1"/>
    <col min="14" max="14" width="9" style="166" customWidth="1"/>
    <col min="15" max="16" width="4.5703125" style="166" customWidth="1"/>
    <col min="17" max="17" width="6.5703125" style="166" customWidth="1"/>
    <col min="18" max="18" width="1.7109375" style="166" customWidth="1"/>
    <col min="19" max="19" width="9" style="166" customWidth="1"/>
    <col min="20" max="21" width="4.5703125" style="166" customWidth="1"/>
    <col min="22" max="22" width="6.5703125" style="166" customWidth="1"/>
    <col min="23" max="23" width="1.7109375" style="166" customWidth="1"/>
    <col min="24" max="24" width="9" style="166" customWidth="1"/>
    <col min="25" max="26" width="4.5703125" style="166" customWidth="1"/>
    <col min="27" max="27" width="7.5703125" style="166" customWidth="1"/>
    <col min="28" max="28" width="4.7109375" style="166" customWidth="1"/>
    <col min="29" max="30" width="9.140625" style="166"/>
    <col min="31" max="31" width="0" style="166" hidden="1" customWidth="1"/>
    <col min="32" max="16384" width="9.140625" style="166"/>
  </cols>
  <sheetData>
    <row r="1" spans="1:28" s="165" customFormat="1" ht="27" customHeight="1" x14ac:dyDescent="0.25">
      <c r="A1" s="445"/>
      <c r="B1" s="335"/>
      <c r="C1" s="504" t="s">
        <v>962</v>
      </c>
      <c r="D1" s="364"/>
      <c r="E1" s="364"/>
      <c r="F1" s="364"/>
      <c r="G1" s="364"/>
      <c r="H1" s="364"/>
      <c r="I1" s="364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929" t="s">
        <v>488</v>
      </c>
      <c r="V1" s="929"/>
      <c r="W1" s="929"/>
      <c r="X1" s="929"/>
      <c r="Y1" s="649">
        <f>Y588</f>
        <v>25</v>
      </c>
      <c r="Z1" s="649"/>
      <c r="AA1" s="649"/>
      <c r="AB1" s="366"/>
    </row>
    <row r="2" spans="1:28" x14ac:dyDescent="0.2"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</row>
    <row r="3" spans="1:28" ht="27" customHeight="1" x14ac:dyDescent="0.25"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338" t="s">
        <v>489</v>
      </c>
      <c r="W3" s="234"/>
      <c r="X3" s="234"/>
      <c r="Y3" s="234"/>
      <c r="Z3" s="234"/>
      <c r="AA3" s="234"/>
      <c r="AB3" s="234"/>
    </row>
    <row r="4" spans="1:28" ht="15" x14ac:dyDescent="0.2"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336" t="s">
        <v>490</v>
      </c>
      <c r="V4" s="337"/>
      <c r="W4" s="336"/>
      <c r="X4" s="336"/>
      <c r="Y4" s="336"/>
      <c r="Z4" s="336"/>
      <c r="AA4" s="336"/>
      <c r="AB4" s="234"/>
    </row>
    <row r="5" spans="1:28" ht="15" x14ac:dyDescent="0.2"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336" t="s">
        <v>491</v>
      </c>
      <c r="V5" s="337"/>
      <c r="W5" s="336"/>
      <c r="X5" s="336"/>
      <c r="Y5" s="336"/>
      <c r="Z5" s="336"/>
      <c r="AA5" s="234"/>
      <c r="AB5" s="234"/>
    </row>
    <row r="6" spans="1:28" ht="15.75" x14ac:dyDescent="0.25"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234"/>
      <c r="T6" s="234"/>
      <c r="U6" s="549" t="s">
        <v>963</v>
      </c>
      <c r="V6" s="337"/>
      <c r="W6" s="336"/>
      <c r="X6" s="336"/>
      <c r="Y6" s="336"/>
      <c r="Z6" s="336"/>
      <c r="AA6" s="336"/>
      <c r="AB6" s="234"/>
    </row>
    <row r="7" spans="1:28" ht="27" customHeight="1" x14ac:dyDescent="0.2"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234"/>
      <c r="P7" s="234"/>
      <c r="Q7" s="234"/>
      <c r="R7" s="234"/>
      <c r="S7" s="234"/>
      <c r="T7" s="234"/>
      <c r="U7" s="234"/>
      <c r="V7" s="234"/>
      <c r="W7" s="234"/>
      <c r="X7" s="234"/>
      <c r="Y7" s="234"/>
      <c r="Z7" s="234"/>
      <c r="AA7" s="234"/>
      <c r="AB7" s="234"/>
    </row>
    <row r="8" spans="1:28" ht="34.9" customHeight="1" x14ac:dyDescent="0.2">
      <c r="A8" s="219"/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</row>
    <row r="9" spans="1:28" ht="4.1500000000000004" customHeight="1" x14ac:dyDescent="0.2">
      <c r="A9" s="219"/>
      <c r="B9" s="219"/>
      <c r="C9" s="219"/>
      <c r="D9" s="219"/>
      <c r="E9" s="219"/>
      <c r="F9" s="219"/>
      <c r="G9" s="219"/>
      <c r="H9" s="219"/>
      <c r="I9" s="219"/>
      <c r="J9" s="219"/>
      <c r="K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19"/>
    </row>
    <row r="10" spans="1:28" x14ac:dyDescent="0.2">
      <c r="A10" s="219"/>
      <c r="B10" s="219"/>
      <c r="C10" s="219"/>
      <c r="D10" s="219"/>
      <c r="E10" s="219"/>
      <c r="F10" s="219"/>
      <c r="G10" s="219"/>
      <c r="H10" s="219"/>
      <c r="I10" s="219"/>
      <c r="J10" s="219"/>
      <c r="K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  <c r="AA10" s="219"/>
      <c r="AB10" s="219"/>
    </row>
    <row r="11" spans="1:28" x14ac:dyDescent="0.2">
      <c r="A11" s="219"/>
      <c r="B11" s="219"/>
      <c r="C11" s="219"/>
      <c r="D11" s="724"/>
      <c r="E11" s="725"/>
      <c r="F11" s="725"/>
      <c r="G11" s="725"/>
      <c r="H11" s="725"/>
      <c r="I11" s="219"/>
      <c r="J11" s="723"/>
      <c r="K11" s="722"/>
      <c r="L11" s="722"/>
      <c r="M11" s="722"/>
      <c r="N11" s="722"/>
      <c r="O11" s="219"/>
      <c r="P11" s="219"/>
      <c r="Q11" s="726"/>
      <c r="R11" s="727"/>
      <c r="S11" s="727"/>
      <c r="T11" s="727"/>
      <c r="U11" s="727"/>
      <c r="V11" s="219"/>
      <c r="W11" s="721"/>
      <c r="X11" s="722"/>
      <c r="Y11" s="722"/>
      <c r="Z11" s="722"/>
      <c r="AA11" s="722"/>
      <c r="AB11" s="219"/>
    </row>
    <row r="12" spans="1:28" x14ac:dyDescent="0.2">
      <c r="A12" s="219"/>
      <c r="B12" s="219"/>
      <c r="C12" s="219"/>
      <c r="D12" s="725"/>
      <c r="E12" s="725"/>
      <c r="F12" s="725"/>
      <c r="G12" s="725"/>
      <c r="H12" s="725"/>
      <c r="I12" s="219"/>
      <c r="J12" s="722"/>
      <c r="K12" s="722"/>
      <c r="L12" s="722"/>
      <c r="M12" s="722"/>
      <c r="N12" s="722"/>
      <c r="O12" s="219"/>
      <c r="P12" s="219"/>
      <c r="Q12" s="727"/>
      <c r="R12" s="727"/>
      <c r="S12" s="727"/>
      <c r="T12" s="727"/>
      <c r="U12" s="727"/>
      <c r="V12" s="219"/>
      <c r="W12" s="722"/>
      <c r="X12" s="722"/>
      <c r="Y12" s="722"/>
      <c r="Z12" s="722"/>
      <c r="AA12" s="722"/>
      <c r="AB12" s="219"/>
    </row>
    <row r="13" spans="1:28" x14ac:dyDescent="0.2">
      <c r="A13" s="219"/>
      <c r="B13" s="219"/>
      <c r="C13" s="219"/>
      <c r="D13" s="725"/>
      <c r="E13" s="725"/>
      <c r="F13" s="725"/>
      <c r="G13" s="725"/>
      <c r="H13" s="725"/>
      <c r="I13" s="219"/>
      <c r="J13" s="722"/>
      <c r="K13" s="722"/>
      <c r="L13" s="722"/>
      <c r="M13" s="722"/>
      <c r="N13" s="722"/>
      <c r="O13" s="219"/>
      <c r="P13" s="219"/>
      <c r="Q13" s="727"/>
      <c r="R13" s="727"/>
      <c r="S13" s="727"/>
      <c r="T13" s="727"/>
      <c r="U13" s="727"/>
      <c r="V13" s="219"/>
      <c r="W13" s="722"/>
      <c r="X13" s="722"/>
      <c r="Y13" s="722"/>
      <c r="Z13" s="722"/>
      <c r="AA13" s="722"/>
      <c r="AB13" s="219"/>
    </row>
    <row r="14" spans="1:28" x14ac:dyDescent="0.2">
      <c r="A14" s="219"/>
      <c r="B14" s="219"/>
      <c r="C14" s="219"/>
      <c r="D14" s="725"/>
      <c r="E14" s="725"/>
      <c r="F14" s="725"/>
      <c r="G14" s="725"/>
      <c r="H14" s="725"/>
      <c r="I14" s="219"/>
      <c r="J14" s="722"/>
      <c r="K14" s="722"/>
      <c r="L14" s="722"/>
      <c r="M14" s="722"/>
      <c r="N14" s="722"/>
      <c r="O14" s="219"/>
      <c r="P14" s="219"/>
      <c r="Q14" s="727"/>
      <c r="R14" s="727"/>
      <c r="S14" s="727"/>
      <c r="T14" s="727"/>
      <c r="U14" s="727"/>
      <c r="V14" s="219"/>
      <c r="W14" s="219"/>
      <c r="X14" s="219"/>
      <c r="Y14" s="219"/>
      <c r="Z14" s="219"/>
      <c r="AA14" s="219"/>
      <c r="AB14" s="219"/>
    </row>
    <row r="15" spans="1:28" s="167" customFormat="1" ht="5.65" customHeight="1" x14ac:dyDescent="0.3">
      <c r="A15" s="374"/>
      <c r="B15" s="232"/>
      <c r="C15" s="232"/>
      <c r="D15" s="232"/>
      <c r="E15" s="232"/>
      <c r="F15" s="232"/>
      <c r="G15" s="232"/>
      <c r="H15" s="232"/>
      <c r="I15" s="232"/>
      <c r="J15" s="722"/>
      <c r="K15" s="722"/>
      <c r="L15" s="722"/>
      <c r="M15" s="722"/>
      <c r="N15" s="722"/>
      <c r="O15" s="232"/>
      <c r="P15" s="232"/>
      <c r="Q15" s="727"/>
      <c r="R15" s="727"/>
      <c r="S15" s="727"/>
      <c r="T15" s="727"/>
      <c r="U15" s="727"/>
      <c r="V15" s="232"/>
      <c r="W15" s="232"/>
      <c r="X15" s="232"/>
      <c r="Y15" s="232"/>
      <c r="Z15" s="232"/>
      <c r="AA15" s="232"/>
      <c r="AB15" s="232"/>
    </row>
    <row r="16" spans="1:28" ht="18.75" x14ac:dyDescent="0.2">
      <c r="A16" s="219"/>
      <c r="B16" s="333"/>
      <c r="C16" s="333"/>
      <c r="D16" s="995"/>
      <c r="E16" s="996"/>
      <c r="F16" s="996"/>
      <c r="G16" s="996"/>
      <c r="H16" s="996"/>
      <c r="I16" s="334"/>
      <c r="J16" s="995"/>
      <c r="K16" s="996"/>
      <c r="L16" s="996"/>
      <c r="M16" s="996"/>
      <c r="N16" s="996"/>
      <c r="O16" s="334"/>
      <c r="P16" s="334"/>
      <c r="Q16" s="995"/>
      <c r="R16" s="996"/>
      <c r="S16" s="996"/>
      <c r="T16" s="996"/>
      <c r="U16" s="996"/>
      <c r="V16" s="334"/>
      <c r="W16" s="995"/>
      <c r="X16" s="996"/>
      <c r="Y16" s="996"/>
      <c r="Z16" s="996"/>
      <c r="AA16" s="996"/>
      <c r="AB16" s="334"/>
    </row>
    <row r="17" spans="1:28" ht="5.0999999999999996" customHeight="1" x14ac:dyDescent="0.3">
      <c r="A17" s="219"/>
      <c r="B17" s="339"/>
      <c r="C17" s="339"/>
      <c r="D17" s="996"/>
      <c r="E17" s="996"/>
      <c r="F17" s="996"/>
      <c r="G17" s="996"/>
      <c r="H17" s="996"/>
      <c r="I17" s="367"/>
      <c r="J17" s="996"/>
      <c r="K17" s="996"/>
      <c r="L17" s="996"/>
      <c r="M17" s="996"/>
      <c r="N17" s="996"/>
      <c r="O17" s="367"/>
      <c r="P17" s="367"/>
      <c r="Q17" s="996"/>
      <c r="R17" s="996"/>
      <c r="S17" s="996"/>
      <c r="T17" s="996"/>
      <c r="U17" s="996"/>
      <c r="V17" s="367"/>
      <c r="W17" s="996"/>
      <c r="X17" s="996"/>
      <c r="Y17" s="996"/>
      <c r="Z17" s="996"/>
      <c r="AA17" s="996"/>
      <c r="AB17" s="339"/>
    </row>
    <row r="18" spans="1:28" ht="34.9" customHeight="1" x14ac:dyDescent="0.2">
      <c r="A18" s="219"/>
      <c r="B18" s="219"/>
      <c r="C18" s="219"/>
      <c r="D18" s="231"/>
      <c r="E18" s="231"/>
      <c r="F18" s="231"/>
      <c r="G18" s="231"/>
      <c r="H18" s="231"/>
      <c r="I18" s="231"/>
      <c r="J18" s="231"/>
      <c r="K18" s="231"/>
      <c r="L18" s="231"/>
      <c r="M18" s="219"/>
      <c r="N18" s="219"/>
      <c r="O18" s="219"/>
      <c r="P18" s="219"/>
      <c r="Q18" s="219"/>
      <c r="R18" s="231"/>
      <c r="S18" s="231"/>
      <c r="T18" s="231"/>
      <c r="U18" s="231"/>
      <c r="V18" s="219"/>
      <c r="W18" s="231"/>
      <c r="X18" s="231"/>
      <c r="Y18" s="231"/>
      <c r="Z18" s="231"/>
      <c r="AA18" s="219"/>
      <c r="AB18" s="219"/>
    </row>
    <row r="19" spans="1:28" s="167" customFormat="1" ht="27" customHeight="1" x14ac:dyDescent="0.3">
      <c r="A19" s="374"/>
      <c r="B19" s="232"/>
      <c r="C19" s="232"/>
      <c r="D19" s="663" t="s">
        <v>16</v>
      </c>
      <c r="E19" s="663"/>
      <c r="F19" s="663"/>
      <c r="G19" s="663"/>
      <c r="H19" s="663"/>
      <c r="I19" s="663"/>
      <c r="J19" s="663"/>
      <c r="K19" s="663"/>
      <c r="L19" s="663"/>
      <c r="M19" s="663"/>
      <c r="N19" s="663"/>
      <c r="O19" s="663"/>
      <c r="P19" s="663"/>
      <c r="Q19" s="663"/>
      <c r="R19" s="663"/>
      <c r="S19" s="663"/>
      <c r="T19" s="663"/>
      <c r="U19" s="663"/>
      <c r="V19" s="663"/>
      <c r="W19" s="663"/>
      <c r="X19" s="663"/>
      <c r="Y19" s="663"/>
      <c r="Z19" s="663"/>
      <c r="AA19" s="663"/>
      <c r="AB19" s="232"/>
    </row>
    <row r="20" spans="1:28" ht="27" customHeight="1" x14ac:dyDescent="0.2">
      <c r="A20" s="219"/>
      <c r="B20" s="922" t="s">
        <v>230</v>
      </c>
      <c r="C20" s="922"/>
      <c r="D20" s="922"/>
      <c r="E20" s="922"/>
      <c r="F20" s="922"/>
      <c r="G20" s="922"/>
      <c r="H20" s="922"/>
      <c r="I20" s="922"/>
      <c r="J20" s="922"/>
      <c r="K20" s="922"/>
      <c r="L20" s="922"/>
      <c r="M20" s="922"/>
      <c r="N20" s="922"/>
      <c r="O20" s="922"/>
      <c r="P20" s="922"/>
      <c r="Q20" s="922"/>
      <c r="R20" s="922"/>
      <c r="S20" s="922"/>
      <c r="T20" s="922"/>
      <c r="U20" s="922"/>
      <c r="V20" s="922"/>
      <c r="W20" s="922"/>
      <c r="X20" s="922"/>
      <c r="Y20" s="922"/>
      <c r="Z20" s="922"/>
      <c r="AA20" s="922"/>
      <c r="AB20" s="922"/>
    </row>
    <row r="21" spans="1:28" ht="27" customHeight="1" x14ac:dyDescent="0.2">
      <c r="A21" s="219"/>
      <c r="B21" s="219"/>
      <c r="C21" s="219"/>
      <c r="D21" s="998" t="s">
        <v>375</v>
      </c>
      <c r="E21" s="999"/>
      <c r="F21" s="999"/>
      <c r="G21" s="999"/>
      <c r="H21" s="999"/>
      <c r="I21" s="999"/>
      <c r="J21" s="999"/>
      <c r="K21" s="999"/>
      <c r="L21" s="999"/>
      <c r="M21" s="999"/>
      <c r="N21" s="999"/>
      <c r="O21" s="1000"/>
      <c r="P21" s="234"/>
      <c r="Q21" s="234"/>
      <c r="R21" s="235"/>
      <c r="S21" s="235"/>
      <c r="T21" s="932"/>
      <c r="U21" s="932"/>
      <c r="V21" s="932"/>
      <c r="W21" s="932"/>
      <c r="X21" s="932"/>
      <c r="Y21" s="932"/>
      <c r="Z21" s="932"/>
      <c r="AA21" s="932"/>
      <c r="AB21" s="219"/>
    </row>
    <row r="22" spans="1:28" s="386" customFormat="1" ht="16.899999999999999" customHeight="1" x14ac:dyDescent="0.2">
      <c r="A22" s="384"/>
      <c r="B22" s="384"/>
      <c r="C22" s="384"/>
      <c r="D22" s="1012" t="s">
        <v>221</v>
      </c>
      <c r="E22" s="1013"/>
      <c r="F22" s="1014"/>
      <c r="G22" s="938"/>
      <c r="H22" s="938"/>
      <c r="I22" s="907" t="s">
        <v>625</v>
      </c>
      <c r="J22" s="907"/>
      <c r="K22" s="908"/>
      <c r="L22" s="960">
        <v>8.9499999999999993</v>
      </c>
      <c r="M22" s="961"/>
      <c r="N22" s="1003">
        <v>0</v>
      </c>
      <c r="O22" s="1004"/>
      <c r="P22" s="385"/>
      <c r="Q22" s="385"/>
      <c r="R22" s="931"/>
      <c r="S22" s="931"/>
      <c r="T22" s="912"/>
      <c r="U22" s="912"/>
      <c r="V22" s="912"/>
      <c r="W22" s="912"/>
      <c r="X22" s="933"/>
      <c r="Y22" s="933"/>
      <c r="Z22" s="933"/>
      <c r="AA22" s="933"/>
      <c r="AB22" s="384"/>
    </row>
    <row r="23" spans="1:28" s="386" customFormat="1" ht="16.899999999999999" customHeight="1" x14ac:dyDescent="0.2">
      <c r="A23" s="384"/>
      <c r="B23" s="384"/>
      <c r="C23" s="384"/>
      <c r="D23" s="934" t="s">
        <v>437</v>
      </c>
      <c r="E23" s="935"/>
      <c r="F23" s="936"/>
      <c r="G23" s="940"/>
      <c r="H23" s="941"/>
      <c r="I23" s="907" t="s">
        <v>626</v>
      </c>
      <c r="J23" s="907"/>
      <c r="K23" s="908"/>
      <c r="L23" s="960">
        <v>8.9499999999999993</v>
      </c>
      <c r="M23" s="961"/>
      <c r="N23" s="1005">
        <v>0</v>
      </c>
      <c r="O23" s="1006"/>
      <c r="P23" s="385"/>
      <c r="Q23" s="385"/>
      <c r="R23" s="387"/>
      <c r="S23" s="387"/>
      <c r="T23" s="388"/>
      <c r="U23" s="388"/>
      <c r="V23" s="388"/>
      <c r="W23" s="388"/>
      <c r="X23" s="389"/>
      <c r="Y23" s="389"/>
      <c r="Z23" s="389"/>
      <c r="AA23" s="389"/>
      <c r="AB23" s="384"/>
    </row>
    <row r="24" spans="1:28" s="386" customFormat="1" ht="16.899999999999999" customHeight="1" x14ac:dyDescent="0.2">
      <c r="A24" s="384"/>
      <c r="B24" s="390"/>
      <c r="C24" s="390"/>
      <c r="D24" s="934" t="s">
        <v>222</v>
      </c>
      <c r="E24" s="937"/>
      <c r="F24" s="936"/>
      <c r="G24" s="939"/>
      <c r="H24" s="939"/>
      <c r="I24" s="907" t="s">
        <v>627</v>
      </c>
      <c r="J24" s="907"/>
      <c r="K24" s="908"/>
      <c r="L24" s="960">
        <v>8.9499999999999993</v>
      </c>
      <c r="M24" s="961"/>
      <c r="N24" s="1007">
        <v>0</v>
      </c>
      <c r="O24" s="1008"/>
      <c r="P24" s="385"/>
      <c r="Q24" s="385"/>
      <c r="R24" s="931"/>
      <c r="S24" s="931"/>
      <c r="T24" s="926"/>
      <c r="U24" s="926"/>
      <c r="V24" s="926"/>
      <c r="W24" s="926"/>
      <c r="X24" s="911"/>
      <c r="Y24" s="911"/>
      <c r="Z24" s="911"/>
      <c r="AA24" s="911"/>
      <c r="AB24" s="384"/>
    </row>
    <row r="25" spans="1:28" s="386" customFormat="1" ht="16.899999999999999" customHeight="1" x14ac:dyDescent="0.2">
      <c r="A25" s="384"/>
      <c r="B25" s="384"/>
      <c r="C25" s="384"/>
      <c r="D25" s="934" t="s">
        <v>223</v>
      </c>
      <c r="E25" s="937"/>
      <c r="F25" s="936"/>
      <c r="G25" s="942"/>
      <c r="H25" s="942"/>
      <c r="I25" s="907" t="s">
        <v>628</v>
      </c>
      <c r="J25" s="907"/>
      <c r="K25" s="908"/>
      <c r="L25" s="960">
        <v>8.9499999999999993</v>
      </c>
      <c r="M25" s="961"/>
      <c r="N25" s="1007">
        <v>0</v>
      </c>
      <c r="O25" s="1008"/>
      <c r="P25" s="385"/>
      <c r="Q25" s="385"/>
      <c r="R25" s="931"/>
      <c r="S25" s="931"/>
      <c r="T25" s="926"/>
      <c r="U25" s="926"/>
      <c r="V25" s="926"/>
      <c r="W25" s="926"/>
      <c r="X25" s="911"/>
      <c r="Y25" s="911"/>
      <c r="Z25" s="911"/>
      <c r="AA25" s="911"/>
      <c r="AB25" s="384"/>
    </row>
    <row r="26" spans="1:28" s="386" customFormat="1" ht="16.899999999999999" customHeight="1" x14ac:dyDescent="0.2">
      <c r="A26" s="384"/>
      <c r="B26" s="384"/>
      <c r="C26" s="384"/>
      <c r="D26" s="934" t="s">
        <v>225</v>
      </c>
      <c r="E26" s="937"/>
      <c r="F26" s="936"/>
      <c r="G26" s="958"/>
      <c r="H26" s="958"/>
      <c r="I26" s="907" t="s">
        <v>629</v>
      </c>
      <c r="J26" s="907"/>
      <c r="K26" s="908"/>
      <c r="L26" s="960">
        <v>8.9499999999999993</v>
      </c>
      <c r="M26" s="961"/>
      <c r="N26" s="1007">
        <v>0</v>
      </c>
      <c r="O26" s="1008"/>
      <c r="P26" s="385"/>
      <c r="Q26" s="385"/>
      <c r="R26" s="931"/>
      <c r="S26" s="931"/>
      <c r="T26" s="926"/>
      <c r="U26" s="926"/>
      <c r="V26" s="926"/>
      <c r="W26" s="926"/>
      <c r="X26" s="911"/>
      <c r="Y26" s="911"/>
      <c r="Z26" s="911"/>
      <c r="AA26" s="911"/>
      <c r="AB26" s="384"/>
    </row>
    <row r="27" spans="1:28" s="386" customFormat="1" ht="16.899999999999999" customHeight="1" x14ac:dyDescent="0.2">
      <c r="A27" s="384"/>
      <c r="B27" s="384"/>
      <c r="C27" s="384"/>
      <c r="D27" s="934" t="s">
        <v>241</v>
      </c>
      <c r="E27" s="937"/>
      <c r="F27" s="936"/>
      <c r="G27" s="959"/>
      <c r="H27" s="941"/>
      <c r="I27" s="907" t="s">
        <v>630</v>
      </c>
      <c r="J27" s="907"/>
      <c r="K27" s="908"/>
      <c r="L27" s="960">
        <v>8.9499999999999993</v>
      </c>
      <c r="M27" s="961"/>
      <c r="N27" s="1009">
        <v>0</v>
      </c>
      <c r="O27" s="1010"/>
      <c r="P27" s="385"/>
      <c r="Q27" s="385"/>
      <c r="R27" s="387"/>
      <c r="S27" s="387"/>
      <c r="T27" s="926"/>
      <c r="U27" s="926"/>
      <c r="V27" s="926"/>
      <c r="W27" s="926"/>
      <c r="X27" s="911"/>
      <c r="Y27" s="911"/>
      <c r="Z27" s="911"/>
      <c r="AA27" s="911"/>
      <c r="AB27" s="384"/>
    </row>
    <row r="28" spans="1:28" s="386" customFormat="1" ht="16.899999999999999" customHeight="1" x14ac:dyDescent="0.2">
      <c r="A28" s="384"/>
      <c r="B28" s="384"/>
      <c r="C28" s="384"/>
      <c r="D28" s="934" t="s">
        <v>224</v>
      </c>
      <c r="E28" s="937"/>
      <c r="F28" s="936"/>
      <c r="G28" s="950"/>
      <c r="H28" s="950"/>
      <c r="I28" s="907" t="s">
        <v>885</v>
      </c>
      <c r="J28" s="907"/>
      <c r="K28" s="908"/>
      <c r="L28" s="960">
        <v>8.9499999999999993</v>
      </c>
      <c r="M28" s="961"/>
      <c r="N28" s="1007">
        <v>0</v>
      </c>
      <c r="O28" s="1008"/>
      <c r="P28" s="385"/>
      <c r="Q28" s="385"/>
      <c r="R28" s="962"/>
      <c r="S28" s="962"/>
      <c r="T28" s="926"/>
      <c r="U28" s="926"/>
      <c r="V28" s="926"/>
      <c r="W28" s="926"/>
      <c r="X28" s="926"/>
      <c r="Y28" s="926"/>
      <c r="Z28" s="926"/>
      <c r="AA28" s="926"/>
      <c r="AB28" s="384"/>
    </row>
    <row r="29" spans="1:28" s="386" customFormat="1" ht="16.899999999999999" customHeight="1" x14ac:dyDescent="0.2">
      <c r="A29" s="384"/>
      <c r="B29" s="384"/>
      <c r="C29" s="384"/>
      <c r="D29" s="934" t="s">
        <v>412</v>
      </c>
      <c r="E29" s="937"/>
      <c r="F29" s="936"/>
      <c r="G29" s="951"/>
      <c r="H29" s="951"/>
      <c r="I29" s="956" t="s">
        <v>886</v>
      </c>
      <c r="J29" s="956"/>
      <c r="K29" s="957"/>
      <c r="L29" s="960">
        <v>9.25</v>
      </c>
      <c r="M29" s="961"/>
      <c r="N29" s="1007">
        <v>0</v>
      </c>
      <c r="O29" s="1008"/>
      <c r="P29" s="385"/>
      <c r="Q29" s="385"/>
      <c r="R29" s="391"/>
      <c r="S29" s="391"/>
      <c r="T29" s="870"/>
      <c r="U29" s="870"/>
      <c r="V29" s="870"/>
      <c r="W29" s="870"/>
      <c r="X29" s="870"/>
      <c r="Y29" s="870"/>
      <c r="Z29" s="870"/>
      <c r="AA29" s="870"/>
      <c r="AB29" s="384"/>
    </row>
    <row r="30" spans="1:28" s="386" customFormat="1" ht="16.899999999999999" customHeight="1" thickBot="1" x14ac:dyDescent="0.25">
      <c r="A30" s="384"/>
      <c r="B30" s="384"/>
      <c r="C30" s="384"/>
      <c r="D30" s="953" t="s">
        <v>429</v>
      </c>
      <c r="E30" s="954"/>
      <c r="F30" s="955"/>
      <c r="G30" s="952"/>
      <c r="H30" s="941"/>
      <c r="I30" s="907" t="s">
        <v>887</v>
      </c>
      <c r="J30" s="907"/>
      <c r="K30" s="908"/>
      <c r="L30" s="1001">
        <v>14.5</v>
      </c>
      <c r="M30" s="1002"/>
      <c r="N30" s="1007">
        <v>0</v>
      </c>
      <c r="O30" s="1008"/>
      <c r="P30" s="385"/>
      <c r="Q30" s="385"/>
      <c r="R30" s="391"/>
      <c r="S30" s="391"/>
      <c r="T30" s="392"/>
      <c r="U30" s="392"/>
      <c r="V30" s="392"/>
      <c r="W30" s="392"/>
      <c r="X30" s="392"/>
      <c r="Y30" s="392"/>
      <c r="Z30" s="392"/>
      <c r="AA30" s="392"/>
      <c r="AB30" s="384"/>
    </row>
    <row r="31" spans="1:28" ht="16.899999999999999" customHeight="1" x14ac:dyDescent="0.25">
      <c r="A31" s="219"/>
      <c r="B31" s="219"/>
      <c r="C31" s="219"/>
      <c r="D31" s="879"/>
      <c r="E31" s="880"/>
      <c r="F31" s="993">
        <f>K31*L22</f>
        <v>89.5</v>
      </c>
      <c r="G31" s="994"/>
      <c r="H31" s="994"/>
      <c r="I31" s="949" t="s">
        <v>507</v>
      </c>
      <c r="J31" s="949"/>
      <c r="K31" s="519">
        <v>10</v>
      </c>
      <c r="L31" s="946" t="s">
        <v>506</v>
      </c>
      <c r="M31" s="947"/>
      <c r="N31" s="947"/>
      <c r="O31" s="948"/>
      <c r="P31" s="234"/>
      <c r="Q31" s="234"/>
      <c r="R31" s="236"/>
      <c r="S31" s="236"/>
      <c r="T31" s="930"/>
      <c r="U31" s="930"/>
      <c r="V31" s="930"/>
      <c r="W31" s="930"/>
      <c r="X31" s="930"/>
      <c r="Y31" s="930"/>
      <c r="Z31" s="930"/>
      <c r="AA31" s="930"/>
      <c r="AB31" s="219"/>
    </row>
    <row r="32" spans="1:28" ht="27" customHeight="1" x14ac:dyDescent="0.2">
      <c r="A32" s="219"/>
      <c r="B32" s="219"/>
      <c r="C32" s="219"/>
      <c r="D32" s="237"/>
      <c r="E32" s="219"/>
      <c r="F32" s="219"/>
      <c r="G32" s="219"/>
      <c r="H32" s="219"/>
      <c r="I32" s="219"/>
      <c r="J32" s="219"/>
      <c r="K32" s="219"/>
      <c r="L32" s="219"/>
      <c r="M32" s="219"/>
      <c r="N32" s="219"/>
      <c r="O32" s="219"/>
      <c r="P32" s="219"/>
      <c r="Q32" s="219"/>
      <c r="R32" s="219"/>
      <c r="S32" s="219"/>
      <c r="T32" s="219"/>
      <c r="U32" s="219"/>
      <c r="V32" s="219"/>
      <c r="W32" s="219"/>
      <c r="X32" s="219"/>
      <c r="Y32" s="219"/>
      <c r="Z32" s="219"/>
      <c r="AA32" s="219"/>
      <c r="AB32" s="219"/>
    </row>
    <row r="33" spans="1:28" s="168" customFormat="1" ht="27" customHeight="1" x14ac:dyDescent="0.3">
      <c r="A33" s="375"/>
      <c r="B33" s="232"/>
      <c r="C33" s="232"/>
      <c r="D33" s="663" t="s">
        <v>295</v>
      </c>
      <c r="E33" s="663"/>
      <c r="F33" s="663"/>
      <c r="G33" s="663"/>
      <c r="H33" s="663"/>
      <c r="I33" s="663"/>
      <c r="J33" s="663"/>
      <c r="K33" s="663"/>
      <c r="L33" s="663"/>
      <c r="M33" s="663"/>
      <c r="N33" s="663"/>
      <c r="O33" s="663"/>
      <c r="P33" s="663"/>
      <c r="Q33" s="663"/>
      <c r="R33" s="663"/>
      <c r="S33" s="663"/>
      <c r="T33" s="663"/>
      <c r="U33" s="663"/>
      <c r="V33" s="663"/>
      <c r="W33" s="663"/>
      <c r="X33" s="663"/>
      <c r="Y33" s="663"/>
      <c r="Z33" s="663"/>
      <c r="AA33" s="663"/>
      <c r="AB33" s="232"/>
    </row>
    <row r="34" spans="1:28" ht="27" customHeight="1" x14ac:dyDescent="0.2">
      <c r="A34" s="219"/>
      <c r="B34" s="238"/>
      <c r="C34" s="238"/>
      <c r="D34" s="250"/>
      <c r="E34" s="250"/>
      <c r="F34" s="250"/>
      <c r="G34" s="250"/>
      <c r="H34" s="250"/>
      <c r="I34" s="250"/>
      <c r="J34" s="251"/>
      <c r="K34" s="252"/>
      <c r="L34" s="250"/>
      <c r="M34" s="250"/>
      <c r="N34" s="250"/>
      <c r="O34" s="250"/>
      <c r="P34" s="250"/>
      <c r="Q34" s="250"/>
      <c r="R34" s="250"/>
      <c r="S34" s="250"/>
      <c r="T34" s="250"/>
      <c r="U34" s="250"/>
      <c r="V34" s="250"/>
      <c r="W34" s="250"/>
      <c r="X34" s="250"/>
      <c r="Y34" s="250"/>
      <c r="Z34" s="250"/>
      <c r="AA34" s="250"/>
      <c r="AB34" s="219"/>
    </row>
    <row r="35" spans="1:28" ht="14.25" x14ac:dyDescent="0.2">
      <c r="A35" s="219"/>
      <c r="B35" s="219"/>
      <c r="C35" s="219"/>
      <c r="D35" s="308"/>
      <c r="E35" s="309"/>
      <c r="F35" s="309"/>
      <c r="G35" s="310"/>
      <c r="H35" s="253"/>
      <c r="I35" s="308"/>
      <c r="J35" s="309"/>
      <c r="K35" s="309"/>
      <c r="L35" s="310"/>
      <c r="M35" s="253"/>
      <c r="N35" s="308"/>
      <c r="O35" s="309"/>
      <c r="P35" s="309"/>
      <c r="Q35" s="310"/>
      <c r="R35" s="253"/>
      <c r="S35" s="308"/>
      <c r="T35" s="309"/>
      <c r="U35" s="309"/>
      <c r="V35" s="310"/>
      <c r="W35" s="253"/>
      <c r="X35" s="308"/>
      <c r="Y35" s="309"/>
      <c r="Z35" s="309"/>
      <c r="AA35" s="310"/>
      <c r="AB35" s="219"/>
    </row>
    <row r="36" spans="1:28" ht="14.25" x14ac:dyDescent="0.2">
      <c r="A36" s="219"/>
      <c r="B36" s="219"/>
      <c r="C36" s="219"/>
      <c r="D36" s="311"/>
      <c r="E36" s="312"/>
      <c r="F36" s="312"/>
      <c r="G36" s="313"/>
      <c r="H36" s="253"/>
      <c r="I36" s="311"/>
      <c r="J36" s="312"/>
      <c r="K36" s="312"/>
      <c r="L36" s="313"/>
      <c r="M36" s="253"/>
      <c r="N36" s="311"/>
      <c r="O36" s="312"/>
      <c r="P36" s="312"/>
      <c r="Q36" s="313"/>
      <c r="R36" s="253"/>
      <c r="S36" s="311"/>
      <c r="T36" s="312"/>
      <c r="U36" s="312"/>
      <c r="V36" s="313"/>
      <c r="W36" s="253"/>
      <c r="X36" s="311"/>
      <c r="Y36" s="312"/>
      <c r="Z36" s="312"/>
      <c r="AA36" s="313"/>
      <c r="AB36" s="219"/>
    </row>
    <row r="37" spans="1:28" ht="14.25" x14ac:dyDescent="0.2">
      <c r="A37" s="219"/>
      <c r="B37" s="219"/>
      <c r="C37" s="219"/>
      <c r="D37" s="311"/>
      <c r="E37" s="312"/>
      <c r="F37" s="312"/>
      <c r="G37" s="313"/>
      <c r="H37" s="253"/>
      <c r="I37" s="311"/>
      <c r="J37" s="312"/>
      <c r="K37" s="312"/>
      <c r="L37" s="313"/>
      <c r="M37" s="253"/>
      <c r="N37" s="311"/>
      <c r="O37" s="312"/>
      <c r="P37" s="312"/>
      <c r="Q37" s="313"/>
      <c r="R37" s="253"/>
      <c r="S37" s="311"/>
      <c r="T37" s="312"/>
      <c r="U37" s="312"/>
      <c r="V37" s="313"/>
      <c r="W37" s="253"/>
      <c r="X37" s="311"/>
      <c r="Y37" s="312"/>
      <c r="Z37" s="312"/>
      <c r="AA37" s="313"/>
      <c r="AB37" s="219"/>
    </row>
    <row r="38" spans="1:28" ht="14.25" x14ac:dyDescent="0.2">
      <c r="A38" s="219"/>
      <c r="B38" s="219"/>
      <c r="C38" s="219"/>
      <c r="D38" s="311"/>
      <c r="E38" s="312"/>
      <c r="F38" s="312"/>
      <c r="G38" s="313"/>
      <c r="H38" s="253"/>
      <c r="I38" s="311"/>
      <c r="J38" s="312"/>
      <c r="K38" s="312"/>
      <c r="L38" s="313"/>
      <c r="M38" s="253"/>
      <c r="N38" s="311"/>
      <c r="O38" s="312"/>
      <c r="P38" s="312"/>
      <c r="Q38" s="313"/>
      <c r="R38" s="253"/>
      <c r="S38" s="311"/>
      <c r="T38" s="312"/>
      <c r="U38" s="312"/>
      <c r="V38" s="313"/>
      <c r="W38" s="253"/>
      <c r="X38" s="311"/>
      <c r="Y38" s="312"/>
      <c r="Z38" s="312"/>
      <c r="AA38" s="313"/>
      <c r="AB38" s="219"/>
    </row>
    <row r="39" spans="1:28" ht="14.25" x14ac:dyDescent="0.2">
      <c r="A39" s="219"/>
      <c r="B39" s="219"/>
      <c r="C39" s="219"/>
      <c r="D39" s="311"/>
      <c r="E39" s="312"/>
      <c r="F39" s="312"/>
      <c r="G39" s="313"/>
      <c r="H39" s="253"/>
      <c r="I39" s="311"/>
      <c r="J39" s="312"/>
      <c r="K39" s="312"/>
      <c r="L39" s="313"/>
      <c r="M39" s="253"/>
      <c r="N39" s="311"/>
      <c r="O39" s="312"/>
      <c r="P39" s="312"/>
      <c r="Q39" s="313"/>
      <c r="R39" s="253"/>
      <c r="S39" s="311"/>
      <c r="T39" s="312"/>
      <c r="U39" s="312"/>
      <c r="V39" s="313"/>
      <c r="W39" s="253"/>
      <c r="X39" s="311"/>
      <c r="Y39" s="312"/>
      <c r="Z39" s="312"/>
      <c r="AA39" s="313"/>
      <c r="AB39" s="219"/>
    </row>
    <row r="40" spans="1:28" ht="12.75" customHeight="1" x14ac:dyDescent="0.25">
      <c r="A40" s="219"/>
      <c r="B40" s="219"/>
      <c r="C40" s="219"/>
      <c r="D40" s="923" t="s">
        <v>172</v>
      </c>
      <c r="E40" s="924"/>
      <c r="F40" s="924"/>
      <c r="G40" s="925"/>
      <c r="H40" s="253"/>
      <c r="I40" s="923" t="s">
        <v>173</v>
      </c>
      <c r="J40" s="924"/>
      <c r="K40" s="924"/>
      <c r="L40" s="925"/>
      <c r="M40" s="253"/>
      <c r="N40" s="923" t="s">
        <v>174</v>
      </c>
      <c r="O40" s="924"/>
      <c r="P40" s="924"/>
      <c r="Q40" s="925"/>
      <c r="R40" s="253"/>
      <c r="S40" s="923" t="s">
        <v>175</v>
      </c>
      <c r="T40" s="924"/>
      <c r="U40" s="924"/>
      <c r="V40" s="925"/>
      <c r="W40" s="253"/>
      <c r="X40" s="923" t="s">
        <v>176</v>
      </c>
      <c r="Y40" s="924"/>
      <c r="Z40" s="924"/>
      <c r="AA40" s="925"/>
      <c r="AB40" s="340"/>
    </row>
    <row r="41" spans="1:28" s="169" customFormat="1" ht="27" customHeight="1" x14ac:dyDescent="0.2">
      <c r="A41" s="226"/>
      <c r="B41" s="226"/>
      <c r="C41" s="226"/>
      <c r="D41" s="601" t="s">
        <v>294</v>
      </c>
      <c r="E41" s="602"/>
      <c r="F41" s="602"/>
      <c r="G41" s="605"/>
      <c r="H41" s="266"/>
      <c r="I41" s="601" t="s">
        <v>164</v>
      </c>
      <c r="J41" s="602"/>
      <c r="K41" s="602"/>
      <c r="L41" s="605"/>
      <c r="M41" s="266"/>
      <c r="N41" s="601" t="s">
        <v>170</v>
      </c>
      <c r="O41" s="602"/>
      <c r="P41" s="602"/>
      <c r="Q41" s="605"/>
      <c r="R41" s="266"/>
      <c r="S41" s="601" t="s">
        <v>169</v>
      </c>
      <c r="T41" s="602"/>
      <c r="U41" s="602"/>
      <c r="V41" s="605"/>
      <c r="W41" s="266"/>
      <c r="X41" s="601" t="s">
        <v>17</v>
      </c>
      <c r="Y41" s="602"/>
      <c r="Z41" s="602"/>
      <c r="AA41" s="605"/>
      <c r="AB41" s="341"/>
    </row>
    <row r="42" spans="1:28" ht="16.149999999999999" customHeight="1" x14ac:dyDescent="0.2">
      <c r="A42" s="219"/>
      <c r="B42" s="219"/>
      <c r="C42" s="219"/>
      <c r="D42" s="927">
        <v>24</v>
      </c>
      <c r="E42" s="928"/>
      <c r="F42" s="771">
        <v>0</v>
      </c>
      <c r="G42" s="772"/>
      <c r="H42" s="253"/>
      <c r="I42" s="927">
        <v>1.55</v>
      </c>
      <c r="J42" s="928"/>
      <c r="K42" s="909">
        <v>0</v>
      </c>
      <c r="L42" s="910"/>
      <c r="M42" s="253"/>
      <c r="N42" s="927">
        <v>1.9</v>
      </c>
      <c r="O42" s="928"/>
      <c r="P42" s="909">
        <v>0</v>
      </c>
      <c r="Q42" s="910"/>
      <c r="R42" s="253"/>
      <c r="S42" s="943">
        <v>1.7</v>
      </c>
      <c r="T42" s="944"/>
      <c r="U42" s="771">
        <v>0</v>
      </c>
      <c r="V42" s="772"/>
      <c r="W42" s="253"/>
      <c r="X42" s="943">
        <v>3</v>
      </c>
      <c r="Y42" s="944"/>
      <c r="Z42" s="771">
        <v>0</v>
      </c>
      <c r="AA42" s="772"/>
      <c r="AB42" s="342"/>
    </row>
    <row r="43" spans="1:28" s="386" customFormat="1" ht="16.149999999999999" customHeight="1" x14ac:dyDescent="0.2">
      <c r="A43" s="384"/>
      <c r="B43" s="384"/>
      <c r="C43" s="384"/>
      <c r="D43" s="486">
        <f>G43*D42</f>
        <v>144</v>
      </c>
      <c r="E43" s="450"/>
      <c r="F43" s="457" t="s">
        <v>293</v>
      </c>
      <c r="G43" s="458">
        <v>6</v>
      </c>
      <c r="H43" s="449"/>
      <c r="I43" s="486">
        <f>I42*L43</f>
        <v>46.5</v>
      </c>
      <c r="J43" s="450"/>
      <c r="K43" s="457" t="s">
        <v>293</v>
      </c>
      <c r="L43" s="458">
        <v>30</v>
      </c>
      <c r="M43" s="449"/>
      <c r="N43" s="487">
        <f>Q43*N42</f>
        <v>57</v>
      </c>
      <c r="O43" s="473"/>
      <c r="P43" s="474" t="s">
        <v>293</v>
      </c>
      <c r="Q43" s="475">
        <v>30</v>
      </c>
      <c r="R43" s="449"/>
      <c r="S43" s="486">
        <f>V43*S42</f>
        <v>42.5</v>
      </c>
      <c r="T43" s="450"/>
      <c r="U43" s="457" t="s">
        <v>293</v>
      </c>
      <c r="V43" s="470">
        <v>25</v>
      </c>
      <c r="W43" s="449"/>
      <c r="X43" s="486">
        <f>AA43*X42</f>
        <v>120</v>
      </c>
      <c r="Y43" s="450"/>
      <c r="Z43" s="457" t="s">
        <v>293</v>
      </c>
      <c r="AA43" s="458">
        <v>40</v>
      </c>
      <c r="AB43" s="476"/>
    </row>
    <row r="44" spans="1:28" ht="10.15" customHeight="1" x14ac:dyDescent="0.2">
      <c r="A44" s="219"/>
      <c r="B44" s="219"/>
      <c r="C44" s="219"/>
      <c r="D44" s="611"/>
      <c r="E44" s="611"/>
      <c r="F44" s="611"/>
      <c r="G44" s="611"/>
      <c r="H44" s="253"/>
      <c r="I44" s="287"/>
      <c r="J44" s="287"/>
      <c r="K44" s="314"/>
      <c r="L44" s="314"/>
      <c r="M44" s="253"/>
      <c r="N44" s="287"/>
      <c r="O44" s="287"/>
      <c r="P44" s="314"/>
      <c r="Q44" s="314"/>
      <c r="R44" s="253"/>
      <c r="S44" s="287"/>
      <c r="T44" s="287"/>
      <c r="U44" s="314"/>
      <c r="V44" s="314"/>
      <c r="W44" s="253"/>
      <c r="X44" s="287"/>
      <c r="Y44" s="287"/>
      <c r="Z44" s="314"/>
      <c r="AA44" s="314"/>
      <c r="AB44" s="342"/>
    </row>
    <row r="45" spans="1:28" ht="13.5" customHeight="1" x14ac:dyDescent="0.2">
      <c r="A45" s="219"/>
      <c r="B45" s="219"/>
      <c r="C45" s="219"/>
      <c r="D45" s="308"/>
      <c r="E45" s="309"/>
      <c r="F45" s="309"/>
      <c r="G45" s="310"/>
      <c r="H45" s="253"/>
      <c r="I45" s="616"/>
      <c r="J45" s="617"/>
      <c r="K45" s="617"/>
      <c r="L45" s="618"/>
      <c r="M45" s="253"/>
      <c r="N45" s="616"/>
      <c r="O45" s="617"/>
      <c r="P45" s="617"/>
      <c r="Q45" s="618"/>
      <c r="R45" s="253"/>
      <c r="S45" s="913"/>
      <c r="T45" s="914"/>
      <c r="U45" s="914"/>
      <c r="V45" s="915"/>
      <c r="W45" s="253"/>
      <c r="X45" s="308"/>
      <c r="Y45" s="309"/>
      <c r="Z45" s="309"/>
      <c r="AA45" s="310"/>
      <c r="AB45" s="219"/>
    </row>
    <row r="46" spans="1:28" ht="14.25" x14ac:dyDescent="0.2">
      <c r="A46" s="219"/>
      <c r="B46" s="219"/>
      <c r="C46" s="219"/>
      <c r="D46" s="311"/>
      <c r="E46" s="312"/>
      <c r="F46" s="312"/>
      <c r="G46" s="313"/>
      <c r="H46" s="253"/>
      <c r="I46" s="631"/>
      <c r="J46" s="632"/>
      <c r="K46" s="632"/>
      <c r="L46" s="633"/>
      <c r="M46" s="253"/>
      <c r="N46" s="631"/>
      <c r="O46" s="632"/>
      <c r="P46" s="632"/>
      <c r="Q46" s="633"/>
      <c r="R46" s="253"/>
      <c r="S46" s="916"/>
      <c r="T46" s="917"/>
      <c r="U46" s="917"/>
      <c r="V46" s="918"/>
      <c r="W46" s="253"/>
      <c r="X46" s="311"/>
      <c r="Y46" s="312"/>
      <c r="Z46" s="312"/>
      <c r="AA46" s="313"/>
      <c r="AB46" s="219"/>
    </row>
    <row r="47" spans="1:28" ht="14.25" x14ac:dyDescent="0.2">
      <c r="A47" s="219"/>
      <c r="B47" s="219"/>
      <c r="C47" s="219"/>
      <c r="D47" s="311"/>
      <c r="E47" s="312"/>
      <c r="F47" s="312"/>
      <c r="G47" s="313"/>
      <c r="H47" s="253"/>
      <c r="I47" s="631"/>
      <c r="J47" s="632"/>
      <c r="K47" s="632"/>
      <c r="L47" s="633"/>
      <c r="M47" s="253"/>
      <c r="N47" s="631"/>
      <c r="O47" s="632"/>
      <c r="P47" s="632"/>
      <c r="Q47" s="633"/>
      <c r="R47" s="253"/>
      <c r="S47" s="916"/>
      <c r="T47" s="917"/>
      <c r="U47" s="917"/>
      <c r="V47" s="918"/>
      <c r="W47" s="253"/>
      <c r="X47" s="311"/>
      <c r="Y47" s="312"/>
      <c r="Z47" s="312"/>
      <c r="AA47" s="313"/>
      <c r="AB47" s="219"/>
    </row>
    <row r="48" spans="1:28" ht="14.25" x14ac:dyDescent="0.2">
      <c r="A48" s="219"/>
      <c r="B48" s="219"/>
      <c r="C48" s="219"/>
      <c r="D48" s="311"/>
      <c r="E48" s="312"/>
      <c r="F48" s="312"/>
      <c r="G48" s="313"/>
      <c r="H48" s="253"/>
      <c r="I48" s="631"/>
      <c r="J48" s="632"/>
      <c r="K48" s="632"/>
      <c r="L48" s="633"/>
      <c r="M48" s="253"/>
      <c r="N48" s="631"/>
      <c r="O48" s="632"/>
      <c r="P48" s="632"/>
      <c r="Q48" s="633"/>
      <c r="R48" s="253"/>
      <c r="S48" s="916"/>
      <c r="T48" s="917"/>
      <c r="U48" s="917"/>
      <c r="V48" s="918"/>
      <c r="W48" s="253"/>
      <c r="X48" s="311"/>
      <c r="Y48" s="312"/>
      <c r="Z48" s="312"/>
      <c r="AA48" s="313"/>
      <c r="AB48" s="219"/>
    </row>
    <row r="49" spans="1:28" ht="14.25" x14ac:dyDescent="0.2">
      <c r="A49" s="219"/>
      <c r="B49" s="219"/>
      <c r="C49" s="219"/>
      <c r="D49" s="315"/>
      <c r="E49" s="316"/>
      <c r="F49" s="316"/>
      <c r="G49" s="317"/>
      <c r="H49" s="253"/>
      <c r="I49" s="595"/>
      <c r="J49" s="596"/>
      <c r="K49" s="596"/>
      <c r="L49" s="597"/>
      <c r="M49" s="253"/>
      <c r="N49" s="595"/>
      <c r="O49" s="596"/>
      <c r="P49" s="596"/>
      <c r="Q49" s="597"/>
      <c r="R49" s="253"/>
      <c r="S49" s="919"/>
      <c r="T49" s="920"/>
      <c r="U49" s="920"/>
      <c r="V49" s="921"/>
      <c r="W49" s="253"/>
      <c r="X49" s="315"/>
      <c r="Y49" s="316"/>
      <c r="Z49" s="316"/>
      <c r="AA49" s="317"/>
      <c r="AB49" s="219"/>
    </row>
    <row r="50" spans="1:28" ht="12.75" customHeight="1" x14ac:dyDescent="0.25">
      <c r="A50" s="219"/>
      <c r="B50" s="219"/>
      <c r="C50" s="219"/>
      <c r="D50" s="923" t="s">
        <v>177</v>
      </c>
      <c r="E50" s="924"/>
      <c r="F50" s="924"/>
      <c r="G50" s="925"/>
      <c r="H50" s="253"/>
      <c r="I50" s="923" t="s">
        <v>440</v>
      </c>
      <c r="J50" s="924"/>
      <c r="K50" s="924"/>
      <c r="L50" s="925"/>
      <c r="M50" s="253"/>
      <c r="N50" s="923" t="s">
        <v>178</v>
      </c>
      <c r="O50" s="924"/>
      <c r="P50" s="924"/>
      <c r="Q50" s="925"/>
      <c r="R50" s="253"/>
      <c r="S50" s="923" t="s">
        <v>441</v>
      </c>
      <c r="T50" s="924"/>
      <c r="U50" s="924"/>
      <c r="V50" s="925"/>
      <c r="W50" s="253"/>
      <c r="X50" s="923" t="s">
        <v>179</v>
      </c>
      <c r="Y50" s="924"/>
      <c r="Z50" s="924"/>
      <c r="AA50" s="925"/>
      <c r="AB50" s="340"/>
    </row>
    <row r="51" spans="1:28" s="169" customFormat="1" ht="27" customHeight="1" x14ac:dyDescent="0.2">
      <c r="A51" s="226"/>
      <c r="B51" s="226"/>
      <c r="C51" s="226"/>
      <c r="D51" s="601" t="s">
        <v>283</v>
      </c>
      <c r="E51" s="602"/>
      <c r="F51" s="602"/>
      <c r="G51" s="605"/>
      <c r="H51" s="266"/>
      <c r="I51" s="901" t="s">
        <v>631</v>
      </c>
      <c r="J51" s="902"/>
      <c r="K51" s="902"/>
      <c r="L51" s="903"/>
      <c r="M51" s="266"/>
      <c r="N51" s="901" t="s">
        <v>632</v>
      </c>
      <c r="O51" s="902"/>
      <c r="P51" s="902"/>
      <c r="Q51" s="903"/>
      <c r="R51" s="266"/>
      <c r="S51" s="901" t="s">
        <v>608</v>
      </c>
      <c r="T51" s="902"/>
      <c r="U51" s="902"/>
      <c r="V51" s="903"/>
      <c r="W51" s="266"/>
      <c r="X51" s="601" t="s">
        <v>609</v>
      </c>
      <c r="Y51" s="602"/>
      <c r="Z51" s="602"/>
      <c r="AA51" s="605"/>
      <c r="AB51" s="341"/>
    </row>
    <row r="52" spans="1:28" ht="16.149999999999999" customHeight="1" x14ac:dyDescent="0.2">
      <c r="A52" s="219"/>
      <c r="B52" s="219"/>
      <c r="C52" s="219"/>
      <c r="D52" s="927">
        <v>3</v>
      </c>
      <c r="E52" s="928"/>
      <c r="F52" s="909">
        <v>0</v>
      </c>
      <c r="G52" s="910"/>
      <c r="H52" s="253"/>
      <c r="I52" s="927">
        <v>3.5</v>
      </c>
      <c r="J52" s="928"/>
      <c r="K52" s="909">
        <v>0</v>
      </c>
      <c r="L52" s="910"/>
      <c r="M52" s="253"/>
      <c r="N52" s="927">
        <v>1.3</v>
      </c>
      <c r="O52" s="928"/>
      <c r="P52" s="909">
        <v>0</v>
      </c>
      <c r="Q52" s="910"/>
      <c r="R52" s="253"/>
      <c r="S52" s="927">
        <v>22</v>
      </c>
      <c r="T52" s="928"/>
      <c r="U52" s="909">
        <v>0</v>
      </c>
      <c r="V52" s="910"/>
      <c r="W52" s="253"/>
      <c r="X52" s="927">
        <v>22.5</v>
      </c>
      <c r="Y52" s="928"/>
      <c r="Z52" s="909">
        <v>0</v>
      </c>
      <c r="AA52" s="910"/>
      <c r="AB52" s="342"/>
    </row>
    <row r="53" spans="1:28" s="386" customFormat="1" ht="16.149999999999999" customHeight="1" x14ac:dyDescent="0.2">
      <c r="A53" s="384"/>
      <c r="B53" s="384"/>
      <c r="C53" s="384"/>
      <c r="D53" s="486">
        <f>G53*D52</f>
        <v>60</v>
      </c>
      <c r="E53" s="450"/>
      <c r="F53" s="457" t="s">
        <v>293</v>
      </c>
      <c r="G53" s="458">
        <v>20</v>
      </c>
      <c r="H53" s="449"/>
      <c r="I53" s="486">
        <f>L53*I52</f>
        <v>70</v>
      </c>
      <c r="J53" s="450"/>
      <c r="K53" s="457" t="s">
        <v>293</v>
      </c>
      <c r="L53" s="458">
        <v>20</v>
      </c>
      <c r="M53" s="449"/>
      <c r="N53" s="486">
        <f>Q53*N52</f>
        <v>195</v>
      </c>
      <c r="O53" s="450"/>
      <c r="P53" s="457" t="s">
        <v>293</v>
      </c>
      <c r="Q53" s="458">
        <v>150</v>
      </c>
      <c r="R53" s="449"/>
      <c r="S53" s="486">
        <f>V53*S52</f>
        <v>132</v>
      </c>
      <c r="T53" s="450"/>
      <c r="U53" s="457" t="s">
        <v>293</v>
      </c>
      <c r="V53" s="458">
        <v>6</v>
      </c>
      <c r="W53" s="449"/>
      <c r="X53" s="486">
        <f>AA53*X52</f>
        <v>135</v>
      </c>
      <c r="Y53" s="450"/>
      <c r="Z53" s="457" t="s">
        <v>293</v>
      </c>
      <c r="AA53" s="458">
        <v>6</v>
      </c>
      <c r="AB53" s="384"/>
    </row>
    <row r="54" spans="1:28" s="386" customFormat="1" ht="16.149999999999999" customHeight="1" x14ac:dyDescent="0.2">
      <c r="A54" s="384"/>
      <c r="B54" s="384"/>
      <c r="C54" s="384"/>
      <c r="D54" s="520"/>
      <c r="E54" s="521"/>
      <c r="F54" s="522"/>
      <c r="G54" s="523"/>
      <c r="H54" s="449"/>
      <c r="I54" s="520"/>
      <c r="J54" s="521"/>
      <c r="K54" s="522"/>
      <c r="L54" s="523"/>
      <c r="M54" s="449"/>
      <c r="N54" s="520"/>
      <c r="O54" s="521"/>
      <c r="P54" s="522"/>
      <c r="Q54" s="523"/>
      <c r="R54" s="449"/>
      <c r="S54" s="520"/>
      <c r="T54" s="521"/>
      <c r="U54" s="522"/>
      <c r="V54" s="523"/>
      <c r="W54" s="449"/>
      <c r="X54" s="520"/>
      <c r="Y54" s="521"/>
      <c r="Z54" s="522"/>
      <c r="AA54" s="523"/>
      <c r="AB54" s="384"/>
    </row>
    <row r="55" spans="1:28" s="386" customFormat="1" ht="16.149999999999999" customHeight="1" x14ac:dyDescent="0.2">
      <c r="A55" s="384"/>
      <c r="B55" s="384"/>
      <c r="C55" s="384"/>
      <c r="D55" s="913"/>
      <c r="E55" s="914"/>
      <c r="F55" s="914"/>
      <c r="G55" s="915"/>
      <c r="H55" s="449"/>
      <c r="I55" s="520"/>
      <c r="J55" s="521"/>
      <c r="K55" s="522"/>
      <c r="L55" s="523"/>
      <c r="M55" s="449"/>
      <c r="N55" s="520"/>
      <c r="O55" s="521"/>
      <c r="P55" s="522"/>
      <c r="Q55" s="523"/>
      <c r="R55" s="449"/>
      <c r="S55" s="520"/>
      <c r="T55" s="521"/>
      <c r="U55" s="522"/>
      <c r="V55" s="523"/>
      <c r="W55" s="449"/>
      <c r="X55" s="520"/>
      <c r="Y55" s="521"/>
      <c r="Z55" s="522"/>
      <c r="AA55" s="523"/>
      <c r="AB55" s="384"/>
    </row>
    <row r="56" spans="1:28" s="386" customFormat="1" ht="16.149999999999999" customHeight="1" x14ac:dyDescent="0.2">
      <c r="A56" s="384"/>
      <c r="B56" s="384"/>
      <c r="C56" s="384"/>
      <c r="D56" s="916"/>
      <c r="E56" s="917"/>
      <c r="F56" s="917"/>
      <c r="G56" s="918"/>
      <c r="H56" s="449"/>
      <c r="I56" s="520"/>
      <c r="J56" s="521"/>
      <c r="K56" s="522"/>
      <c r="L56" s="523"/>
      <c r="M56" s="449"/>
      <c r="N56" s="520"/>
      <c r="O56" s="521"/>
      <c r="P56" s="522"/>
      <c r="Q56" s="523"/>
      <c r="R56" s="449"/>
      <c r="S56" s="520"/>
      <c r="T56" s="521"/>
      <c r="U56" s="522"/>
      <c r="V56" s="523"/>
      <c r="W56" s="449"/>
      <c r="X56" s="520"/>
      <c r="Y56" s="521"/>
      <c r="Z56" s="522"/>
      <c r="AA56" s="523"/>
      <c r="AB56" s="384"/>
    </row>
    <row r="57" spans="1:28" s="386" customFormat="1" ht="16.149999999999999" customHeight="1" x14ac:dyDescent="0.2">
      <c r="A57" s="384"/>
      <c r="B57" s="384"/>
      <c r="C57" s="384"/>
      <c r="D57" s="916"/>
      <c r="E57" s="917"/>
      <c r="F57" s="917"/>
      <c r="G57" s="918"/>
      <c r="H57" s="449"/>
      <c r="I57" s="520"/>
      <c r="J57" s="521"/>
      <c r="K57" s="522"/>
      <c r="L57" s="523"/>
      <c r="M57" s="449"/>
      <c r="N57" s="520"/>
      <c r="O57" s="521"/>
      <c r="P57" s="522"/>
      <c r="Q57" s="523"/>
      <c r="R57" s="449"/>
      <c r="S57" s="520"/>
      <c r="T57" s="521"/>
      <c r="U57" s="522"/>
      <c r="V57" s="523"/>
      <c r="W57" s="449"/>
      <c r="X57" s="520"/>
      <c r="Y57" s="521"/>
      <c r="Z57" s="522"/>
      <c r="AA57" s="523"/>
      <c r="AB57" s="384"/>
    </row>
    <row r="58" spans="1:28" s="386" customFormat="1" ht="16.149999999999999" customHeight="1" x14ac:dyDescent="0.2">
      <c r="A58" s="384"/>
      <c r="B58" s="384"/>
      <c r="C58" s="384"/>
      <c r="D58" s="916"/>
      <c r="E58" s="917"/>
      <c r="F58" s="917"/>
      <c r="G58" s="918"/>
      <c r="H58" s="449"/>
      <c r="I58" s="520"/>
      <c r="J58" s="521"/>
      <c r="K58" s="522"/>
      <c r="L58" s="523"/>
      <c r="M58" s="449"/>
      <c r="N58" s="520"/>
      <c r="O58" s="521"/>
      <c r="P58" s="522"/>
      <c r="Q58" s="523"/>
      <c r="R58" s="449"/>
      <c r="S58" s="520"/>
      <c r="T58" s="521"/>
      <c r="U58" s="522"/>
      <c r="V58" s="523"/>
      <c r="W58" s="449"/>
      <c r="X58" s="520"/>
      <c r="Y58" s="521"/>
      <c r="Z58" s="522"/>
      <c r="AA58" s="523"/>
      <c r="AB58" s="384"/>
    </row>
    <row r="59" spans="1:28" s="386" customFormat="1" ht="16.149999999999999" customHeight="1" x14ac:dyDescent="0.2">
      <c r="A59" s="384"/>
      <c r="B59" s="384"/>
      <c r="C59" s="384"/>
      <c r="D59" s="919"/>
      <c r="E59" s="920"/>
      <c r="F59" s="920"/>
      <c r="G59" s="921"/>
      <c r="H59" s="449"/>
      <c r="I59" s="520"/>
      <c r="J59" s="521"/>
      <c r="K59" s="522"/>
      <c r="L59" s="523"/>
      <c r="M59" s="449"/>
      <c r="N59" s="520"/>
      <c r="O59" s="521"/>
      <c r="P59" s="522"/>
      <c r="Q59" s="523"/>
      <c r="R59" s="449"/>
      <c r="S59" s="520"/>
      <c r="T59" s="521"/>
      <c r="U59" s="522"/>
      <c r="V59" s="523"/>
      <c r="W59" s="449"/>
      <c r="X59" s="520"/>
      <c r="Y59" s="521"/>
      <c r="Z59" s="522"/>
      <c r="AA59" s="523"/>
      <c r="AB59" s="384"/>
    </row>
    <row r="60" spans="1:28" s="386" customFormat="1" ht="16.149999999999999" customHeight="1" x14ac:dyDescent="0.25">
      <c r="A60" s="384"/>
      <c r="B60" s="384"/>
      <c r="C60" s="384"/>
      <c r="D60" s="923" t="s">
        <v>893</v>
      </c>
      <c r="E60" s="924"/>
      <c r="F60" s="924"/>
      <c r="G60" s="925"/>
      <c r="H60" s="449"/>
      <c r="I60" s="520"/>
      <c r="J60" s="521"/>
      <c r="K60" s="522"/>
      <c r="L60" s="523"/>
      <c r="M60" s="449"/>
      <c r="N60" s="520"/>
      <c r="O60" s="521"/>
      <c r="P60" s="522"/>
      <c r="Q60" s="523"/>
      <c r="R60" s="449"/>
      <c r="S60" s="520"/>
      <c r="T60" s="521"/>
      <c r="U60" s="522"/>
      <c r="V60" s="523"/>
      <c r="W60" s="449"/>
      <c r="X60" s="520"/>
      <c r="Y60" s="521"/>
      <c r="Z60" s="522"/>
      <c r="AA60" s="523"/>
      <c r="AB60" s="384"/>
    </row>
    <row r="61" spans="1:28" s="386" customFormat="1" ht="16.149999999999999" customHeight="1" x14ac:dyDescent="0.2">
      <c r="A61" s="384"/>
      <c r="B61" s="384"/>
      <c r="C61" s="384"/>
      <c r="D61" s="601" t="s">
        <v>902</v>
      </c>
      <c r="E61" s="602"/>
      <c r="F61" s="602"/>
      <c r="G61" s="605"/>
      <c r="H61" s="449"/>
      <c r="I61" s="520"/>
      <c r="J61" s="521"/>
      <c r="K61" s="522"/>
      <c r="L61" s="523"/>
      <c r="M61" s="449"/>
      <c r="N61" s="520"/>
      <c r="O61" s="521"/>
      <c r="P61" s="522"/>
      <c r="Q61" s="523"/>
      <c r="R61" s="449"/>
      <c r="S61" s="520"/>
      <c r="T61" s="521"/>
      <c r="U61" s="522"/>
      <c r="V61" s="523"/>
      <c r="W61" s="449"/>
      <c r="X61" s="520"/>
      <c r="Y61" s="521"/>
      <c r="Z61" s="522"/>
      <c r="AA61" s="523"/>
      <c r="AB61" s="384"/>
    </row>
    <row r="62" spans="1:28" s="386" customFormat="1" ht="16.149999999999999" customHeight="1" x14ac:dyDescent="0.2">
      <c r="A62" s="384"/>
      <c r="B62" s="384"/>
      <c r="C62" s="384"/>
      <c r="D62" s="927">
        <v>23</v>
      </c>
      <c r="E62" s="928"/>
      <c r="F62" s="909">
        <v>0</v>
      </c>
      <c r="G62" s="910"/>
      <c r="H62" s="449"/>
      <c r="I62" s="520"/>
      <c r="J62" s="521"/>
      <c r="K62" s="522"/>
      <c r="L62" s="523"/>
      <c r="M62" s="449"/>
      <c r="N62" s="520"/>
      <c r="O62" s="521"/>
      <c r="P62" s="522"/>
      <c r="Q62" s="523"/>
      <c r="R62" s="449"/>
      <c r="S62" s="520"/>
      <c r="T62" s="521"/>
      <c r="U62" s="522"/>
      <c r="V62" s="523"/>
      <c r="W62" s="449"/>
      <c r="X62" s="520"/>
      <c r="Y62" s="521"/>
      <c r="Z62" s="522"/>
      <c r="AA62" s="523"/>
      <c r="AB62" s="384"/>
    </row>
    <row r="63" spans="1:28" s="386" customFormat="1" ht="16.149999999999999" customHeight="1" x14ac:dyDescent="0.2">
      <c r="A63" s="384"/>
      <c r="B63" s="384"/>
      <c r="C63" s="384"/>
      <c r="D63" s="486">
        <f>G63*D62</f>
        <v>138</v>
      </c>
      <c r="E63" s="450"/>
      <c r="F63" s="457" t="s">
        <v>293</v>
      </c>
      <c r="G63" s="458">
        <v>6</v>
      </c>
      <c r="H63" s="449"/>
      <c r="I63" s="520"/>
      <c r="J63" s="521"/>
      <c r="K63" s="522"/>
      <c r="L63" s="523"/>
      <c r="M63" s="449"/>
      <c r="N63" s="520"/>
      <c r="O63" s="521"/>
      <c r="P63" s="522"/>
      <c r="Q63" s="523"/>
      <c r="R63" s="449"/>
      <c r="S63" s="520"/>
      <c r="T63" s="521"/>
      <c r="U63" s="522"/>
      <c r="V63" s="523"/>
      <c r="W63" s="449"/>
      <c r="X63" s="520"/>
      <c r="Y63" s="521"/>
      <c r="Z63" s="522"/>
      <c r="AA63" s="523"/>
      <c r="AB63" s="384"/>
    </row>
    <row r="64" spans="1:28" s="386" customFormat="1" ht="16.149999999999999" customHeight="1" x14ac:dyDescent="0.2">
      <c r="A64" s="384"/>
      <c r="B64" s="384"/>
      <c r="C64" s="384"/>
      <c r="D64" s="550"/>
      <c r="E64" s="551"/>
      <c r="F64" s="552"/>
      <c r="G64" s="553"/>
      <c r="H64" s="449"/>
      <c r="I64" s="520"/>
      <c r="J64" s="521"/>
      <c r="K64" s="522"/>
      <c r="L64" s="523"/>
      <c r="M64" s="449"/>
      <c r="N64" s="520"/>
      <c r="O64" s="521"/>
      <c r="P64" s="522"/>
      <c r="Q64" s="523"/>
      <c r="R64" s="449"/>
      <c r="S64" s="520"/>
      <c r="T64" s="521"/>
      <c r="U64" s="522"/>
      <c r="V64" s="523"/>
      <c r="W64" s="449"/>
      <c r="X64" s="520"/>
      <c r="Y64" s="521"/>
      <c r="Z64" s="522"/>
      <c r="AA64" s="523"/>
      <c r="AB64" s="384"/>
    </row>
    <row r="65" spans="1:28" s="386" customFormat="1" ht="16.149999999999999" customHeight="1" x14ac:dyDescent="0.2">
      <c r="A65" s="384"/>
      <c r="B65" s="384"/>
      <c r="C65" s="384"/>
      <c r="D65" s="550"/>
      <c r="E65" s="551"/>
      <c r="F65" s="552"/>
      <c r="G65" s="553"/>
      <c r="H65" s="449"/>
      <c r="I65" s="520"/>
      <c r="J65" s="521"/>
      <c r="K65" s="522"/>
      <c r="L65" s="523"/>
      <c r="M65" s="449"/>
      <c r="N65" s="520"/>
      <c r="O65" s="521"/>
      <c r="P65" s="522"/>
      <c r="Q65" s="523"/>
      <c r="R65" s="449"/>
      <c r="S65" s="520"/>
      <c r="T65" s="521"/>
      <c r="U65" s="522"/>
      <c r="V65" s="523"/>
      <c r="W65" s="449"/>
      <c r="X65" s="520"/>
      <c r="Y65" s="521"/>
      <c r="Z65" s="522"/>
      <c r="AA65" s="523"/>
      <c r="AB65" s="384"/>
    </row>
    <row r="66" spans="1:28" s="386" customFormat="1" ht="27" customHeight="1" x14ac:dyDescent="0.2">
      <c r="A66" s="384"/>
      <c r="B66" s="384"/>
      <c r="C66" s="384"/>
      <c r="D66" s="663" t="s">
        <v>964</v>
      </c>
      <c r="E66" s="663"/>
      <c r="F66" s="663"/>
      <c r="G66" s="663"/>
      <c r="H66" s="663"/>
      <c r="I66" s="663"/>
      <c r="J66" s="663"/>
      <c r="K66" s="663"/>
      <c r="L66" s="663"/>
      <c r="M66" s="663"/>
      <c r="N66" s="663"/>
      <c r="O66" s="663"/>
      <c r="P66" s="663"/>
      <c r="Q66" s="663"/>
      <c r="R66" s="663"/>
      <c r="S66" s="663"/>
      <c r="T66" s="663"/>
      <c r="U66" s="663"/>
      <c r="V66" s="663"/>
      <c r="W66" s="663"/>
      <c r="X66" s="663"/>
      <c r="Y66" s="663"/>
      <c r="Z66" s="663"/>
      <c r="AA66" s="663"/>
      <c r="AB66" s="384"/>
    </row>
    <row r="67" spans="1:28" s="386" customFormat="1" ht="27" customHeight="1" x14ac:dyDescent="0.2">
      <c r="A67" s="384"/>
      <c r="B67" s="384"/>
      <c r="C67" s="384"/>
      <c r="D67" s="250"/>
      <c r="E67" s="250"/>
      <c r="F67" s="250"/>
      <c r="G67" s="250"/>
      <c r="H67" s="250"/>
      <c r="I67" s="250"/>
      <c r="J67" s="251"/>
      <c r="K67" s="252"/>
      <c r="L67" s="250"/>
      <c r="M67" s="250"/>
      <c r="N67" s="250"/>
      <c r="O67" s="250"/>
      <c r="P67" s="250"/>
      <c r="Q67" s="250"/>
      <c r="R67" s="250"/>
      <c r="S67" s="250"/>
      <c r="T67" s="250"/>
      <c r="U67" s="250"/>
      <c r="V67" s="250"/>
      <c r="W67" s="250"/>
      <c r="X67" s="250"/>
      <c r="Y67" s="250"/>
      <c r="Z67" s="250"/>
      <c r="AA67" s="250"/>
      <c r="AB67" s="384"/>
    </row>
    <row r="68" spans="1:28" s="386" customFormat="1" ht="16.149999999999999" customHeight="1" x14ac:dyDescent="0.2">
      <c r="A68" s="384"/>
      <c r="B68" s="384"/>
      <c r="C68" s="384"/>
      <c r="D68" s="544"/>
      <c r="E68" s="545"/>
      <c r="F68" s="545"/>
      <c r="G68" s="546"/>
      <c r="H68" s="253"/>
      <c r="I68" s="544"/>
      <c r="J68" s="545"/>
      <c r="K68" s="545"/>
      <c r="L68" s="546"/>
      <c r="M68" s="253"/>
      <c r="N68" s="544"/>
      <c r="O68" s="545"/>
      <c r="P68" s="545"/>
      <c r="Q68" s="546"/>
      <c r="R68" s="253"/>
      <c r="S68" s="544"/>
      <c r="T68" s="545"/>
      <c r="U68" s="545"/>
      <c r="V68" s="546"/>
      <c r="W68" s="253"/>
      <c r="X68" s="554"/>
      <c r="Y68" s="554"/>
      <c r="Z68" s="554"/>
      <c r="AA68" s="554"/>
      <c r="AB68" s="384"/>
    </row>
    <row r="69" spans="1:28" s="386" customFormat="1" ht="16.149999999999999" customHeight="1" x14ac:dyDescent="0.2">
      <c r="A69" s="384"/>
      <c r="B69" s="384"/>
      <c r="C69" s="384"/>
      <c r="D69" s="547"/>
      <c r="E69" s="543"/>
      <c r="F69" s="543"/>
      <c r="G69" s="548"/>
      <c r="H69" s="253"/>
      <c r="I69" s="547"/>
      <c r="J69" s="543"/>
      <c r="K69" s="543"/>
      <c r="L69" s="548"/>
      <c r="M69" s="253"/>
      <c r="N69" s="547"/>
      <c r="O69" s="543"/>
      <c r="P69" s="543"/>
      <c r="Q69" s="548"/>
      <c r="R69" s="253"/>
      <c r="S69" s="547"/>
      <c r="T69" s="543"/>
      <c r="U69" s="543"/>
      <c r="V69" s="548"/>
      <c r="W69" s="253"/>
      <c r="X69" s="554"/>
      <c r="Y69" s="554"/>
      <c r="Z69" s="554"/>
      <c r="AA69" s="554"/>
      <c r="AB69" s="384"/>
    </row>
    <row r="70" spans="1:28" s="386" customFormat="1" ht="16.149999999999999" customHeight="1" x14ac:dyDescent="0.2">
      <c r="A70" s="384"/>
      <c r="B70" s="384"/>
      <c r="C70" s="384"/>
      <c r="D70" s="547"/>
      <c r="E70" s="543"/>
      <c r="F70" s="543"/>
      <c r="G70" s="548"/>
      <c r="H70" s="253"/>
      <c r="I70" s="547"/>
      <c r="J70" s="543"/>
      <c r="K70" s="543"/>
      <c r="L70" s="548"/>
      <c r="M70" s="253"/>
      <c r="N70" s="547"/>
      <c r="O70" s="543"/>
      <c r="P70" s="543"/>
      <c r="Q70" s="548"/>
      <c r="R70" s="253"/>
      <c r="S70" s="547"/>
      <c r="T70" s="543"/>
      <c r="U70" s="543"/>
      <c r="V70" s="548"/>
      <c r="W70" s="253"/>
      <c r="X70" s="554"/>
      <c r="Y70" s="554"/>
      <c r="Z70" s="554"/>
      <c r="AA70" s="554"/>
      <c r="AB70" s="384"/>
    </row>
    <row r="71" spans="1:28" s="386" customFormat="1" ht="16.149999999999999" customHeight="1" x14ac:dyDescent="0.2">
      <c r="A71" s="384"/>
      <c r="B71" s="384"/>
      <c r="C71" s="384"/>
      <c r="D71" s="547"/>
      <c r="E71" s="543"/>
      <c r="F71" s="543"/>
      <c r="G71" s="548"/>
      <c r="H71" s="253"/>
      <c r="I71" s="547"/>
      <c r="J71" s="543"/>
      <c r="K71" s="543"/>
      <c r="L71" s="548"/>
      <c r="M71" s="253"/>
      <c r="N71" s="547"/>
      <c r="O71" s="543"/>
      <c r="P71" s="543"/>
      <c r="Q71" s="548"/>
      <c r="R71" s="253"/>
      <c r="S71" s="547"/>
      <c r="T71" s="543"/>
      <c r="U71" s="543"/>
      <c r="V71" s="548"/>
      <c r="W71" s="253"/>
      <c r="X71" s="554"/>
      <c r="Y71" s="554"/>
      <c r="Z71" s="554"/>
      <c r="AA71" s="554"/>
      <c r="AB71" s="384"/>
    </row>
    <row r="72" spans="1:28" s="386" customFormat="1" ht="16.149999999999999" customHeight="1" x14ac:dyDescent="0.2">
      <c r="A72" s="384"/>
      <c r="B72" s="384"/>
      <c r="C72" s="384"/>
      <c r="D72" s="547"/>
      <c r="E72" s="543"/>
      <c r="F72" s="543"/>
      <c r="G72" s="548"/>
      <c r="H72" s="253"/>
      <c r="I72" s="547"/>
      <c r="J72" s="543"/>
      <c r="K72" s="543"/>
      <c r="L72" s="548"/>
      <c r="M72" s="253"/>
      <c r="N72" s="547"/>
      <c r="O72" s="543"/>
      <c r="P72" s="543"/>
      <c r="Q72" s="548"/>
      <c r="R72" s="253"/>
      <c r="S72" s="547"/>
      <c r="T72" s="543"/>
      <c r="U72" s="543"/>
      <c r="V72" s="548"/>
      <c r="W72" s="253"/>
      <c r="X72" s="554"/>
      <c r="Y72" s="554"/>
      <c r="Z72" s="554"/>
      <c r="AA72" s="554"/>
      <c r="AB72" s="384"/>
    </row>
    <row r="73" spans="1:28" s="386" customFormat="1" ht="16.149999999999999" customHeight="1" x14ac:dyDescent="0.25">
      <c r="A73" s="384"/>
      <c r="B73" s="384"/>
      <c r="C73" s="384"/>
      <c r="D73" s="923" t="s">
        <v>965</v>
      </c>
      <c r="E73" s="924"/>
      <c r="F73" s="924"/>
      <c r="G73" s="925"/>
      <c r="H73" s="253"/>
      <c r="I73" s="923" t="s">
        <v>966</v>
      </c>
      <c r="J73" s="924"/>
      <c r="K73" s="924"/>
      <c r="L73" s="925"/>
      <c r="M73" s="253"/>
      <c r="N73" s="923" t="s">
        <v>967</v>
      </c>
      <c r="O73" s="924"/>
      <c r="P73" s="924"/>
      <c r="Q73" s="925"/>
      <c r="R73" s="253"/>
      <c r="S73" s="923" t="s">
        <v>968</v>
      </c>
      <c r="T73" s="924"/>
      <c r="U73" s="924"/>
      <c r="V73" s="925"/>
      <c r="W73" s="253"/>
      <c r="X73" s="945"/>
      <c r="Y73" s="945"/>
      <c r="Z73" s="945"/>
      <c r="AA73" s="945"/>
      <c r="AB73" s="384"/>
    </row>
    <row r="74" spans="1:28" s="386" customFormat="1" ht="16.149999999999999" customHeight="1" x14ac:dyDescent="0.2">
      <c r="A74" s="384"/>
      <c r="B74" s="384"/>
      <c r="C74" s="384"/>
      <c r="D74" s="601" t="s">
        <v>294</v>
      </c>
      <c r="E74" s="602"/>
      <c r="F74" s="602"/>
      <c r="G74" s="605"/>
      <c r="H74" s="266"/>
      <c r="I74" s="601" t="s">
        <v>164</v>
      </c>
      <c r="J74" s="602"/>
      <c r="K74" s="602"/>
      <c r="L74" s="605"/>
      <c r="M74" s="266"/>
      <c r="N74" s="601" t="s">
        <v>170</v>
      </c>
      <c r="O74" s="602"/>
      <c r="P74" s="602"/>
      <c r="Q74" s="605"/>
      <c r="R74" s="266"/>
      <c r="S74" s="601" t="s">
        <v>169</v>
      </c>
      <c r="T74" s="602"/>
      <c r="U74" s="602"/>
      <c r="V74" s="605"/>
      <c r="W74" s="266"/>
      <c r="X74" s="1030"/>
      <c r="Y74" s="1030"/>
      <c r="Z74" s="1030"/>
      <c r="AA74" s="1030"/>
      <c r="AB74" s="384"/>
    </row>
    <row r="75" spans="1:28" s="386" customFormat="1" ht="16.149999999999999" customHeight="1" x14ac:dyDescent="0.2">
      <c r="A75" s="384"/>
      <c r="B75" s="384"/>
      <c r="C75" s="384"/>
      <c r="D75" s="927">
        <v>45</v>
      </c>
      <c r="E75" s="928"/>
      <c r="F75" s="771">
        <v>0</v>
      </c>
      <c r="G75" s="772"/>
      <c r="H75" s="253"/>
      <c r="I75" s="927">
        <v>4</v>
      </c>
      <c r="J75" s="928"/>
      <c r="K75" s="909">
        <v>0</v>
      </c>
      <c r="L75" s="910"/>
      <c r="M75" s="253"/>
      <c r="N75" s="927">
        <v>4.2</v>
      </c>
      <c r="O75" s="928"/>
      <c r="P75" s="909">
        <v>0</v>
      </c>
      <c r="Q75" s="910"/>
      <c r="R75" s="253"/>
      <c r="S75" s="943">
        <v>3.5</v>
      </c>
      <c r="T75" s="944"/>
      <c r="U75" s="771">
        <v>0</v>
      </c>
      <c r="V75" s="772"/>
      <c r="W75" s="253"/>
      <c r="X75" s="1031"/>
      <c r="Y75" s="1031"/>
      <c r="Z75" s="1032"/>
      <c r="AA75" s="1032"/>
      <c r="AB75" s="384"/>
    </row>
    <row r="76" spans="1:28" s="386" customFormat="1" ht="16.149999999999999" customHeight="1" x14ac:dyDescent="0.2">
      <c r="A76" s="384"/>
      <c r="B76" s="384"/>
      <c r="C76" s="384"/>
      <c r="D76" s="486">
        <f>G76*D75</f>
        <v>180</v>
      </c>
      <c r="E76" s="450"/>
      <c r="F76" s="457" t="s">
        <v>293</v>
      </c>
      <c r="G76" s="458">
        <v>4</v>
      </c>
      <c r="H76" s="449"/>
      <c r="I76" s="486">
        <f>I75*L76</f>
        <v>60</v>
      </c>
      <c r="J76" s="450"/>
      <c r="K76" s="457" t="s">
        <v>293</v>
      </c>
      <c r="L76" s="458">
        <v>15</v>
      </c>
      <c r="M76" s="449"/>
      <c r="N76" s="487">
        <f>Q76*N75</f>
        <v>63</v>
      </c>
      <c r="O76" s="473"/>
      <c r="P76" s="474" t="s">
        <v>293</v>
      </c>
      <c r="Q76" s="475">
        <v>15</v>
      </c>
      <c r="R76" s="449"/>
      <c r="S76" s="486">
        <f>V76*S75</f>
        <v>98</v>
      </c>
      <c r="T76" s="450"/>
      <c r="U76" s="457" t="s">
        <v>293</v>
      </c>
      <c r="V76" s="470">
        <v>28</v>
      </c>
      <c r="W76" s="449"/>
      <c r="X76" s="550"/>
      <c r="Y76" s="551"/>
      <c r="Z76" s="552"/>
      <c r="AA76" s="553"/>
      <c r="AB76" s="384"/>
    </row>
    <row r="77" spans="1:28" ht="27" customHeight="1" x14ac:dyDescent="0.2">
      <c r="A77" s="219"/>
      <c r="B77" s="219"/>
      <c r="C77" s="219"/>
      <c r="D77" s="368"/>
      <c r="E77" s="368"/>
      <c r="F77" s="369"/>
      <c r="G77" s="370"/>
      <c r="H77" s="219"/>
      <c r="I77" s="231"/>
      <c r="J77" s="231"/>
      <c r="K77" s="369"/>
      <c r="L77" s="371"/>
      <c r="M77" s="219"/>
      <c r="N77" s="231"/>
      <c r="O77" s="231"/>
      <c r="P77" s="369"/>
      <c r="Q77" s="371"/>
      <c r="R77" s="219"/>
      <c r="S77" s="231"/>
      <c r="T77" s="231"/>
      <c r="U77" s="369"/>
      <c r="V77" s="371"/>
      <c r="W77" s="219"/>
      <c r="X77" s="231"/>
      <c r="Y77" s="231"/>
      <c r="Z77" s="369"/>
      <c r="AA77" s="371"/>
      <c r="AB77" s="219"/>
    </row>
    <row r="78" spans="1:28" s="170" customFormat="1" ht="27" customHeight="1" x14ac:dyDescent="0.3">
      <c r="A78" s="339"/>
      <c r="B78" s="232"/>
      <c r="C78" s="232"/>
      <c r="D78" s="663" t="s">
        <v>591</v>
      </c>
      <c r="E78" s="663"/>
      <c r="F78" s="663"/>
      <c r="G78" s="663"/>
      <c r="H78" s="663"/>
      <c r="I78" s="663"/>
      <c r="J78" s="663"/>
      <c r="K78" s="663"/>
      <c r="L78" s="663"/>
      <c r="M78" s="663"/>
      <c r="N78" s="663"/>
      <c r="O78" s="663"/>
      <c r="P78" s="663"/>
      <c r="Q78" s="663"/>
      <c r="R78" s="663"/>
      <c r="S78" s="663"/>
      <c r="T78" s="663"/>
      <c r="U78" s="663"/>
      <c r="V78" s="663"/>
      <c r="W78" s="663"/>
      <c r="X78" s="663"/>
      <c r="Y78" s="663"/>
      <c r="Z78" s="663"/>
      <c r="AA78" s="663"/>
      <c r="AB78" s="232"/>
    </row>
    <row r="79" spans="1:28" s="170" customFormat="1" ht="27" customHeight="1" x14ac:dyDescent="0.3">
      <c r="A79" s="339"/>
      <c r="B79" s="219"/>
      <c r="C79" s="219"/>
      <c r="D79" s="253"/>
      <c r="E79" s="253"/>
      <c r="F79" s="253"/>
      <c r="G79" s="253"/>
      <c r="H79" s="253"/>
      <c r="I79" s="253"/>
      <c r="J79" s="253"/>
      <c r="K79" s="253"/>
      <c r="L79" s="253"/>
      <c r="M79" s="253"/>
      <c r="N79" s="253"/>
      <c r="O79" s="253"/>
      <c r="P79" s="253"/>
      <c r="Q79" s="253"/>
      <c r="R79" s="253"/>
      <c r="S79" s="253"/>
      <c r="T79" s="253"/>
      <c r="U79" s="253"/>
      <c r="V79" s="253"/>
      <c r="W79" s="253"/>
      <c r="X79" s="253"/>
      <c r="Y79" s="253"/>
      <c r="Z79" s="253"/>
      <c r="AA79" s="253"/>
      <c r="AB79" s="219"/>
    </row>
    <row r="80" spans="1:28" ht="14.25" x14ac:dyDescent="0.2">
      <c r="A80" s="219"/>
      <c r="B80" s="219"/>
      <c r="C80" s="219"/>
      <c r="D80" s="616"/>
      <c r="E80" s="617"/>
      <c r="F80" s="617"/>
      <c r="G80" s="618"/>
      <c r="H80" s="253"/>
      <c r="I80" s="616"/>
      <c r="J80" s="617"/>
      <c r="K80" s="617"/>
      <c r="L80" s="618"/>
      <c r="M80" s="253"/>
      <c r="N80" s="616"/>
      <c r="O80" s="617"/>
      <c r="P80" s="617"/>
      <c r="Q80" s="618"/>
      <c r="R80" s="253"/>
      <c r="S80" s="616"/>
      <c r="T80" s="617"/>
      <c r="U80" s="617"/>
      <c r="V80" s="618"/>
      <c r="W80" s="253"/>
      <c r="X80" s="616"/>
      <c r="Y80" s="617"/>
      <c r="Z80" s="617"/>
      <c r="AA80" s="618"/>
      <c r="AB80" s="219"/>
    </row>
    <row r="81" spans="1:28" ht="12" customHeight="1" x14ac:dyDescent="0.2">
      <c r="A81" s="219"/>
      <c r="B81" s="219"/>
      <c r="C81" s="219"/>
      <c r="D81" s="631"/>
      <c r="E81" s="632"/>
      <c r="F81" s="632"/>
      <c r="G81" s="633"/>
      <c r="H81" s="253"/>
      <c r="I81" s="631"/>
      <c r="J81" s="632"/>
      <c r="K81" s="632"/>
      <c r="L81" s="633"/>
      <c r="M81" s="253"/>
      <c r="N81" s="631"/>
      <c r="O81" s="632"/>
      <c r="P81" s="632"/>
      <c r="Q81" s="633"/>
      <c r="R81" s="253"/>
      <c r="S81" s="631"/>
      <c r="T81" s="632"/>
      <c r="U81" s="632"/>
      <c r="V81" s="633"/>
      <c r="W81" s="253"/>
      <c r="X81" s="631"/>
      <c r="Y81" s="632"/>
      <c r="Z81" s="632"/>
      <c r="AA81" s="633"/>
      <c r="AB81" s="219"/>
    </row>
    <row r="82" spans="1:28" ht="13.5" customHeight="1" x14ac:dyDescent="0.2">
      <c r="A82" s="219"/>
      <c r="B82" s="219"/>
      <c r="C82" s="219"/>
      <c r="D82" s="272"/>
      <c r="E82" s="273"/>
      <c r="F82" s="273"/>
      <c r="G82" s="274"/>
      <c r="H82" s="253"/>
      <c r="I82" s="272"/>
      <c r="J82" s="273"/>
      <c r="K82" s="273"/>
      <c r="L82" s="274"/>
      <c r="M82" s="253"/>
      <c r="N82" s="272"/>
      <c r="O82" s="273"/>
      <c r="P82" s="273"/>
      <c r="Q82" s="274"/>
      <c r="R82" s="253"/>
      <c r="S82" s="272"/>
      <c r="T82" s="273"/>
      <c r="U82" s="273"/>
      <c r="V82" s="274"/>
      <c r="W82" s="253"/>
      <c r="X82" s="272"/>
      <c r="Y82" s="273"/>
      <c r="Z82" s="273"/>
      <c r="AA82" s="274"/>
      <c r="AB82" s="219"/>
    </row>
    <row r="83" spans="1:28" ht="13.5" customHeight="1" x14ac:dyDescent="0.2">
      <c r="A83" s="219"/>
      <c r="B83" s="219"/>
      <c r="C83" s="219"/>
      <c r="D83" s="631"/>
      <c r="E83" s="632"/>
      <c r="F83" s="632"/>
      <c r="G83" s="633"/>
      <c r="H83" s="253"/>
      <c r="I83" s="631"/>
      <c r="J83" s="632"/>
      <c r="K83" s="632"/>
      <c r="L83" s="633"/>
      <c r="M83" s="253"/>
      <c r="N83" s="631"/>
      <c r="O83" s="632"/>
      <c r="P83" s="632"/>
      <c r="Q83" s="633"/>
      <c r="R83" s="253"/>
      <c r="S83" s="631"/>
      <c r="T83" s="632"/>
      <c r="U83" s="632"/>
      <c r="V83" s="633"/>
      <c r="W83" s="253"/>
      <c r="X83" s="631"/>
      <c r="Y83" s="632"/>
      <c r="Z83" s="632"/>
      <c r="AA83" s="633"/>
      <c r="AB83" s="219"/>
    </row>
    <row r="84" spans="1:28" ht="13.5" customHeight="1" x14ac:dyDescent="0.2">
      <c r="A84" s="219"/>
      <c r="B84" s="219"/>
      <c r="C84" s="219"/>
      <c r="D84" s="631"/>
      <c r="E84" s="632"/>
      <c r="F84" s="632"/>
      <c r="G84" s="633"/>
      <c r="H84" s="253"/>
      <c r="I84" s="631"/>
      <c r="J84" s="632"/>
      <c r="K84" s="632"/>
      <c r="L84" s="633"/>
      <c r="M84" s="253"/>
      <c r="N84" s="631"/>
      <c r="O84" s="632"/>
      <c r="P84" s="632"/>
      <c r="Q84" s="633"/>
      <c r="R84" s="253"/>
      <c r="S84" s="631"/>
      <c r="T84" s="632"/>
      <c r="U84" s="632"/>
      <c r="V84" s="633"/>
      <c r="W84" s="253"/>
      <c r="X84" s="631"/>
      <c r="Y84" s="632"/>
      <c r="Z84" s="632"/>
      <c r="AA84" s="633"/>
      <c r="AB84" s="219"/>
    </row>
    <row r="85" spans="1:28" ht="13.5" customHeight="1" x14ac:dyDescent="0.2">
      <c r="A85" s="219"/>
      <c r="B85" s="219"/>
      <c r="C85" s="219"/>
      <c r="D85" s="766"/>
      <c r="E85" s="767"/>
      <c r="F85" s="767"/>
      <c r="G85" s="768"/>
      <c r="H85" s="253"/>
      <c r="I85" s="766"/>
      <c r="J85" s="767"/>
      <c r="K85" s="767"/>
      <c r="L85" s="768"/>
      <c r="M85" s="253"/>
      <c r="N85" s="766"/>
      <c r="O85" s="767"/>
      <c r="P85" s="767"/>
      <c r="Q85" s="768"/>
      <c r="R85" s="253"/>
      <c r="S85" s="631"/>
      <c r="T85" s="632"/>
      <c r="U85" s="632"/>
      <c r="V85" s="633"/>
      <c r="W85" s="253"/>
      <c r="X85" s="631"/>
      <c r="Y85" s="632"/>
      <c r="Z85" s="632"/>
      <c r="AA85" s="633"/>
      <c r="AB85" s="219"/>
    </row>
    <row r="86" spans="1:28" ht="13.5" customHeight="1" x14ac:dyDescent="0.25">
      <c r="A86" s="219"/>
      <c r="B86" s="219"/>
      <c r="C86" s="219"/>
      <c r="D86" s="818" t="s">
        <v>260</v>
      </c>
      <c r="E86" s="819"/>
      <c r="F86" s="820"/>
      <c r="G86" s="821"/>
      <c r="H86" s="253"/>
      <c r="I86" s="818" t="s">
        <v>261</v>
      </c>
      <c r="J86" s="819"/>
      <c r="K86" s="820"/>
      <c r="L86" s="821"/>
      <c r="M86" s="253"/>
      <c r="N86" s="818" t="s">
        <v>262</v>
      </c>
      <c r="O86" s="819"/>
      <c r="P86" s="820"/>
      <c r="Q86" s="821"/>
      <c r="R86" s="253"/>
      <c r="S86" s="818" t="s">
        <v>263</v>
      </c>
      <c r="T86" s="819"/>
      <c r="U86" s="820"/>
      <c r="V86" s="821"/>
      <c r="W86" s="253"/>
      <c r="X86" s="818" t="s">
        <v>264</v>
      </c>
      <c r="Y86" s="819"/>
      <c r="Z86" s="820"/>
      <c r="AA86" s="821"/>
      <c r="AB86" s="219"/>
    </row>
    <row r="87" spans="1:28" ht="16.149999999999999" customHeight="1" thickBot="1" x14ac:dyDescent="0.3">
      <c r="A87" s="219"/>
      <c r="B87" s="221"/>
      <c r="C87" s="221"/>
      <c r="D87" s="752">
        <v>0.55000000000000004</v>
      </c>
      <c r="E87" s="753"/>
      <c r="F87" s="636">
        <v>0</v>
      </c>
      <c r="G87" s="637"/>
      <c r="H87" s="253"/>
      <c r="I87" s="752">
        <v>0.9</v>
      </c>
      <c r="J87" s="753"/>
      <c r="K87" s="636">
        <v>0</v>
      </c>
      <c r="L87" s="637"/>
      <c r="M87" s="253"/>
      <c r="N87" s="752">
        <v>0.95</v>
      </c>
      <c r="O87" s="753"/>
      <c r="P87" s="636">
        <v>0</v>
      </c>
      <c r="Q87" s="637"/>
      <c r="R87" s="253"/>
      <c r="S87" s="752">
        <v>0.85</v>
      </c>
      <c r="T87" s="753"/>
      <c r="U87" s="636">
        <v>0</v>
      </c>
      <c r="V87" s="637"/>
      <c r="W87" s="253"/>
      <c r="X87" s="752">
        <v>0.55000000000000004</v>
      </c>
      <c r="Y87" s="753"/>
      <c r="Z87" s="636">
        <v>0</v>
      </c>
      <c r="AA87" s="637"/>
      <c r="AB87" s="221"/>
    </row>
    <row r="88" spans="1:28" s="386" customFormat="1" ht="16.149999999999999" customHeight="1" x14ac:dyDescent="0.2">
      <c r="A88" s="384"/>
      <c r="B88" s="456"/>
      <c r="C88" s="456"/>
      <c r="D88" s="488">
        <f>D87*G88</f>
        <v>123.75000000000001</v>
      </c>
      <c r="E88" s="446"/>
      <c r="F88" s="447" t="s">
        <v>293</v>
      </c>
      <c r="G88" s="448">
        <v>225</v>
      </c>
      <c r="H88" s="449"/>
      <c r="I88" s="488">
        <f>I87*L88</f>
        <v>135</v>
      </c>
      <c r="J88" s="446"/>
      <c r="K88" s="447" t="s">
        <v>293</v>
      </c>
      <c r="L88" s="448">
        <v>150</v>
      </c>
      <c r="M88" s="449"/>
      <c r="N88" s="488">
        <f>N87*Q88</f>
        <v>57</v>
      </c>
      <c r="O88" s="446"/>
      <c r="P88" s="447" t="s">
        <v>293</v>
      </c>
      <c r="Q88" s="448">
        <v>60</v>
      </c>
      <c r="R88" s="449"/>
      <c r="S88" s="488">
        <f>S87*V88</f>
        <v>127.5</v>
      </c>
      <c r="T88" s="446"/>
      <c r="U88" s="447" t="s">
        <v>293</v>
      </c>
      <c r="V88" s="448">
        <v>150</v>
      </c>
      <c r="W88" s="449"/>
      <c r="X88" s="488">
        <f>X87*AA88</f>
        <v>123.75000000000001</v>
      </c>
      <c r="Y88" s="446"/>
      <c r="Z88" s="447" t="s">
        <v>293</v>
      </c>
      <c r="AA88" s="448">
        <v>225</v>
      </c>
      <c r="AB88" s="456"/>
    </row>
    <row r="89" spans="1:28" s="169" customFormat="1" ht="10.15" customHeight="1" x14ac:dyDescent="0.2">
      <c r="A89" s="226"/>
      <c r="B89" s="219"/>
      <c r="C89" s="219"/>
      <c r="D89" s="253"/>
      <c r="E89" s="253"/>
      <c r="F89" s="253"/>
      <c r="G89" s="253"/>
      <c r="H89" s="253"/>
      <c r="I89" s="253"/>
      <c r="J89" s="253"/>
      <c r="K89" s="253"/>
      <c r="L89" s="253"/>
      <c r="M89" s="253"/>
      <c r="N89" s="253"/>
      <c r="O89" s="253"/>
      <c r="P89" s="253"/>
      <c r="Q89" s="253"/>
      <c r="R89" s="253"/>
      <c r="S89" s="253"/>
      <c r="T89" s="253"/>
      <c r="U89" s="253"/>
      <c r="V89" s="253"/>
      <c r="W89" s="253"/>
      <c r="X89" s="253"/>
      <c r="Y89" s="253"/>
      <c r="Z89" s="253"/>
      <c r="AA89" s="253"/>
      <c r="AB89" s="219"/>
    </row>
    <row r="90" spans="1:28" s="171" customFormat="1" ht="15" x14ac:dyDescent="0.2">
      <c r="A90" s="376"/>
      <c r="B90" s="219"/>
      <c r="C90" s="219"/>
      <c r="D90" s="616"/>
      <c r="E90" s="617"/>
      <c r="F90" s="617"/>
      <c r="G90" s="618"/>
      <c r="H90" s="253"/>
      <c r="I90" s="616"/>
      <c r="J90" s="617"/>
      <c r="K90" s="617"/>
      <c r="L90" s="618"/>
      <c r="M90" s="253"/>
      <c r="N90" s="616"/>
      <c r="O90" s="617"/>
      <c r="P90" s="617"/>
      <c r="Q90" s="618"/>
      <c r="R90" s="253"/>
      <c r="S90" s="616"/>
      <c r="T90" s="617"/>
      <c r="U90" s="617"/>
      <c r="V90" s="618"/>
      <c r="W90" s="253"/>
      <c r="X90" s="616"/>
      <c r="Y90" s="617"/>
      <c r="Z90" s="617"/>
      <c r="AA90" s="618"/>
      <c r="AB90" s="219"/>
    </row>
    <row r="91" spans="1:28" ht="13.5" customHeight="1" x14ac:dyDescent="0.2">
      <c r="A91" s="219"/>
      <c r="B91" s="219"/>
      <c r="C91" s="219"/>
      <c r="D91" s="631"/>
      <c r="E91" s="632"/>
      <c r="F91" s="632"/>
      <c r="G91" s="633"/>
      <c r="H91" s="253"/>
      <c r="I91" s="631"/>
      <c r="J91" s="632"/>
      <c r="K91" s="632"/>
      <c r="L91" s="633"/>
      <c r="M91" s="253"/>
      <c r="N91" s="631"/>
      <c r="O91" s="632"/>
      <c r="P91" s="632"/>
      <c r="Q91" s="633"/>
      <c r="R91" s="253"/>
      <c r="S91" s="631"/>
      <c r="T91" s="632"/>
      <c r="U91" s="632"/>
      <c r="V91" s="633"/>
      <c r="W91" s="253"/>
      <c r="X91" s="631"/>
      <c r="Y91" s="632"/>
      <c r="Z91" s="632"/>
      <c r="AA91" s="633"/>
      <c r="AB91" s="219"/>
    </row>
    <row r="92" spans="1:28" ht="14.25" x14ac:dyDescent="0.2">
      <c r="A92" s="219"/>
      <c r="B92" s="219"/>
      <c r="C92" s="219"/>
      <c r="D92" s="272"/>
      <c r="E92" s="273"/>
      <c r="F92" s="273"/>
      <c r="G92" s="274"/>
      <c r="H92" s="253"/>
      <c r="I92" s="272"/>
      <c r="J92" s="273"/>
      <c r="K92" s="273"/>
      <c r="L92" s="274"/>
      <c r="M92" s="253"/>
      <c r="N92" s="272"/>
      <c r="O92" s="273"/>
      <c r="P92" s="273"/>
      <c r="Q92" s="274"/>
      <c r="R92" s="253"/>
      <c r="S92" s="272"/>
      <c r="T92" s="273"/>
      <c r="U92" s="273"/>
      <c r="V92" s="274"/>
      <c r="W92" s="253"/>
      <c r="X92" s="272"/>
      <c r="Y92" s="273"/>
      <c r="Z92" s="273"/>
      <c r="AA92" s="274"/>
      <c r="AB92" s="219"/>
    </row>
    <row r="93" spans="1:28" ht="14.25" x14ac:dyDescent="0.2">
      <c r="A93" s="219"/>
      <c r="B93" s="219"/>
      <c r="C93" s="219"/>
      <c r="D93" s="631"/>
      <c r="E93" s="632"/>
      <c r="F93" s="632"/>
      <c r="G93" s="633"/>
      <c r="H93" s="253"/>
      <c r="I93" s="631"/>
      <c r="J93" s="632"/>
      <c r="K93" s="632"/>
      <c r="L93" s="633"/>
      <c r="M93" s="253"/>
      <c r="N93" s="631"/>
      <c r="O93" s="632"/>
      <c r="P93" s="632"/>
      <c r="Q93" s="633"/>
      <c r="R93" s="253"/>
      <c r="S93" s="631"/>
      <c r="T93" s="632"/>
      <c r="U93" s="632"/>
      <c r="V93" s="633"/>
      <c r="W93" s="253"/>
      <c r="X93" s="631"/>
      <c r="Y93" s="632"/>
      <c r="Z93" s="632"/>
      <c r="AA93" s="633"/>
      <c r="AB93" s="219"/>
    </row>
    <row r="94" spans="1:28" ht="14.25" x14ac:dyDescent="0.2">
      <c r="A94" s="219"/>
      <c r="B94" s="219"/>
      <c r="C94" s="219"/>
      <c r="D94" s="631"/>
      <c r="E94" s="632"/>
      <c r="F94" s="632"/>
      <c r="G94" s="633"/>
      <c r="H94" s="253"/>
      <c r="I94" s="631"/>
      <c r="J94" s="632"/>
      <c r="K94" s="632"/>
      <c r="L94" s="633"/>
      <c r="M94" s="253"/>
      <c r="N94" s="631"/>
      <c r="O94" s="632"/>
      <c r="P94" s="632"/>
      <c r="Q94" s="633"/>
      <c r="R94" s="253"/>
      <c r="S94" s="631"/>
      <c r="T94" s="632"/>
      <c r="U94" s="632"/>
      <c r="V94" s="633"/>
      <c r="W94" s="253"/>
      <c r="X94" s="631"/>
      <c r="Y94" s="632"/>
      <c r="Z94" s="632"/>
      <c r="AA94" s="633"/>
      <c r="AB94" s="219"/>
    </row>
    <row r="95" spans="1:28" ht="14.25" x14ac:dyDescent="0.2">
      <c r="A95" s="219"/>
      <c r="B95" s="219"/>
      <c r="C95" s="219"/>
      <c r="D95" s="631"/>
      <c r="E95" s="632"/>
      <c r="F95" s="632"/>
      <c r="G95" s="633"/>
      <c r="H95" s="253"/>
      <c r="I95" s="631"/>
      <c r="J95" s="632"/>
      <c r="K95" s="632"/>
      <c r="L95" s="633"/>
      <c r="M95" s="253"/>
      <c r="N95" s="631"/>
      <c r="O95" s="632"/>
      <c r="P95" s="632"/>
      <c r="Q95" s="633"/>
      <c r="R95" s="253"/>
      <c r="S95" s="631"/>
      <c r="T95" s="632"/>
      <c r="U95" s="632"/>
      <c r="V95" s="633"/>
      <c r="W95" s="253"/>
      <c r="X95" s="631"/>
      <c r="Y95" s="632"/>
      <c r="Z95" s="632"/>
      <c r="AA95" s="633"/>
      <c r="AB95" s="219"/>
    </row>
    <row r="96" spans="1:28" ht="15" x14ac:dyDescent="0.25">
      <c r="A96" s="219"/>
      <c r="B96" s="219"/>
      <c r="C96" s="219"/>
      <c r="D96" s="818" t="s">
        <v>265</v>
      </c>
      <c r="E96" s="819"/>
      <c r="F96" s="820"/>
      <c r="G96" s="821"/>
      <c r="H96" s="253"/>
      <c r="I96" s="745" t="s">
        <v>266</v>
      </c>
      <c r="J96" s="746"/>
      <c r="K96" s="747"/>
      <c r="L96" s="748"/>
      <c r="M96" s="253"/>
      <c r="N96" s="871" t="s">
        <v>267</v>
      </c>
      <c r="O96" s="872"/>
      <c r="P96" s="873"/>
      <c r="Q96" s="874"/>
      <c r="R96" s="253"/>
      <c r="S96" s="871" t="s">
        <v>268</v>
      </c>
      <c r="T96" s="872"/>
      <c r="U96" s="873"/>
      <c r="V96" s="874"/>
      <c r="W96" s="253"/>
      <c r="X96" s="818" t="s">
        <v>269</v>
      </c>
      <c r="Y96" s="819"/>
      <c r="Z96" s="820"/>
      <c r="AA96" s="821"/>
      <c r="AB96" s="219"/>
    </row>
    <row r="97" spans="1:28" ht="16.149999999999999" customHeight="1" thickBot="1" x14ac:dyDescent="0.25">
      <c r="A97" s="219"/>
      <c r="B97" s="219"/>
      <c r="C97" s="219"/>
      <c r="D97" s="752">
        <v>0.55000000000000004</v>
      </c>
      <c r="E97" s="753"/>
      <c r="F97" s="636">
        <v>0</v>
      </c>
      <c r="G97" s="637"/>
      <c r="H97" s="253"/>
      <c r="I97" s="752">
        <v>1.25</v>
      </c>
      <c r="J97" s="753"/>
      <c r="K97" s="636">
        <v>0</v>
      </c>
      <c r="L97" s="637"/>
      <c r="M97" s="253"/>
      <c r="N97" s="752">
        <v>0.55000000000000004</v>
      </c>
      <c r="O97" s="753"/>
      <c r="P97" s="636">
        <v>0</v>
      </c>
      <c r="Q97" s="637"/>
      <c r="R97" s="253"/>
      <c r="S97" s="752">
        <v>0.7</v>
      </c>
      <c r="T97" s="753"/>
      <c r="U97" s="636">
        <v>0</v>
      </c>
      <c r="V97" s="637"/>
      <c r="W97" s="253"/>
      <c r="X97" s="752">
        <v>0.95</v>
      </c>
      <c r="Y97" s="753"/>
      <c r="Z97" s="636">
        <v>0</v>
      </c>
      <c r="AA97" s="637"/>
      <c r="AB97" s="219"/>
    </row>
    <row r="98" spans="1:28" s="386" customFormat="1" ht="16.149999999999999" customHeight="1" x14ac:dyDescent="0.2">
      <c r="A98" s="384"/>
      <c r="B98" s="456"/>
      <c r="C98" s="456"/>
      <c r="D98" s="488">
        <f>D97*G98</f>
        <v>123.75000000000001</v>
      </c>
      <c r="E98" s="906" t="s">
        <v>293</v>
      </c>
      <c r="F98" s="906"/>
      <c r="G98" s="448">
        <v>225</v>
      </c>
      <c r="H98" s="449"/>
      <c r="I98" s="488">
        <f>I97*L98</f>
        <v>225</v>
      </c>
      <c r="J98" s="906" t="s">
        <v>293</v>
      </c>
      <c r="K98" s="906"/>
      <c r="L98" s="448">
        <v>180</v>
      </c>
      <c r="M98" s="449"/>
      <c r="N98" s="488">
        <f>N97*Q98</f>
        <v>82.5</v>
      </c>
      <c r="O98" s="446"/>
      <c r="P98" s="447" t="s">
        <v>293</v>
      </c>
      <c r="Q98" s="448">
        <v>150</v>
      </c>
      <c r="R98" s="449"/>
      <c r="S98" s="488">
        <f>S97*V98</f>
        <v>157.5</v>
      </c>
      <c r="T98" s="446"/>
      <c r="U98" s="447" t="s">
        <v>293</v>
      </c>
      <c r="V98" s="448">
        <v>225</v>
      </c>
      <c r="W98" s="449"/>
      <c r="X98" s="488">
        <f>X97*AA98</f>
        <v>171</v>
      </c>
      <c r="Y98" s="446"/>
      <c r="Z98" s="447" t="s">
        <v>293</v>
      </c>
      <c r="AA98" s="448">
        <v>180</v>
      </c>
      <c r="AB98" s="456"/>
    </row>
    <row r="99" spans="1:28" ht="10.15" customHeight="1" x14ac:dyDescent="0.2">
      <c r="A99" s="219"/>
      <c r="B99" s="219"/>
      <c r="C99" s="219"/>
      <c r="D99" s="253"/>
      <c r="E99" s="253"/>
      <c r="F99" s="253"/>
      <c r="G99" s="253"/>
      <c r="H99" s="253"/>
      <c r="I99" s="253"/>
      <c r="J99" s="253"/>
      <c r="K99" s="253"/>
      <c r="L99" s="253"/>
      <c r="M99" s="253"/>
      <c r="N99" s="253"/>
      <c r="O99" s="253"/>
      <c r="P99" s="253"/>
      <c r="Q99" s="253"/>
      <c r="R99" s="253"/>
      <c r="S99" s="253"/>
      <c r="T99" s="253"/>
      <c r="U99" s="253"/>
      <c r="V99" s="253"/>
      <c r="W99" s="253"/>
      <c r="X99" s="253"/>
      <c r="Y99" s="253"/>
      <c r="Z99" s="253"/>
      <c r="AA99" s="253"/>
      <c r="AB99" s="219"/>
    </row>
    <row r="100" spans="1:28" s="172" customFormat="1" ht="14.25" x14ac:dyDescent="0.2">
      <c r="A100" s="246"/>
      <c r="B100" s="219"/>
      <c r="C100" s="219"/>
      <c r="D100" s="616"/>
      <c r="E100" s="617"/>
      <c r="F100" s="617"/>
      <c r="G100" s="618"/>
      <c r="H100" s="307"/>
      <c r="I100" s="616"/>
      <c r="J100" s="617"/>
      <c r="K100" s="617"/>
      <c r="L100" s="618"/>
      <c r="M100" s="253"/>
      <c r="N100" s="616"/>
      <c r="O100" s="617"/>
      <c r="P100" s="617"/>
      <c r="Q100" s="618"/>
      <c r="R100" s="307"/>
      <c r="S100" s="616"/>
      <c r="T100" s="617"/>
      <c r="U100" s="617"/>
      <c r="V100" s="618"/>
      <c r="W100" s="253"/>
      <c r="X100" s="616"/>
      <c r="Y100" s="617"/>
      <c r="Z100" s="617"/>
      <c r="AA100" s="618"/>
      <c r="AB100" s="219"/>
    </row>
    <row r="101" spans="1:28" s="171" customFormat="1" ht="15" x14ac:dyDescent="0.2">
      <c r="A101" s="376"/>
      <c r="B101" s="219"/>
      <c r="C101" s="219"/>
      <c r="D101" s="631"/>
      <c r="E101" s="632"/>
      <c r="F101" s="632"/>
      <c r="G101" s="633"/>
      <c r="H101" s="307"/>
      <c r="I101" s="631"/>
      <c r="J101" s="632"/>
      <c r="K101" s="632"/>
      <c r="L101" s="633"/>
      <c r="M101" s="253"/>
      <c r="N101" s="631"/>
      <c r="O101" s="632"/>
      <c r="P101" s="632"/>
      <c r="Q101" s="633"/>
      <c r="R101" s="307"/>
      <c r="S101" s="631"/>
      <c r="T101" s="632"/>
      <c r="U101" s="632"/>
      <c r="V101" s="633"/>
      <c r="W101" s="253"/>
      <c r="X101" s="631"/>
      <c r="Y101" s="632"/>
      <c r="Z101" s="632"/>
      <c r="AA101" s="633"/>
      <c r="AB101" s="219"/>
    </row>
    <row r="102" spans="1:28" ht="13.5" customHeight="1" x14ac:dyDescent="0.2">
      <c r="A102" s="219"/>
      <c r="B102" s="219"/>
      <c r="C102" s="219"/>
      <c r="D102" s="272"/>
      <c r="E102" s="273"/>
      <c r="F102" s="273"/>
      <c r="G102" s="274"/>
      <c r="H102" s="307"/>
      <c r="I102" s="272"/>
      <c r="J102" s="273"/>
      <c r="K102" s="273"/>
      <c r="L102" s="274"/>
      <c r="M102" s="253"/>
      <c r="N102" s="272"/>
      <c r="O102" s="273"/>
      <c r="P102" s="273"/>
      <c r="Q102" s="274"/>
      <c r="R102" s="307"/>
      <c r="S102" s="272"/>
      <c r="T102" s="273"/>
      <c r="U102" s="273"/>
      <c r="V102" s="274"/>
      <c r="W102" s="253"/>
      <c r="X102" s="272"/>
      <c r="Y102" s="273"/>
      <c r="Z102" s="273"/>
      <c r="AA102" s="274"/>
      <c r="AB102" s="219"/>
    </row>
    <row r="103" spans="1:28" ht="14.25" x14ac:dyDescent="0.2">
      <c r="A103" s="219"/>
      <c r="B103" s="219"/>
      <c r="C103" s="219"/>
      <c r="D103" s="272"/>
      <c r="E103" s="273"/>
      <c r="F103" s="273"/>
      <c r="G103" s="274"/>
      <c r="H103" s="307"/>
      <c r="I103" s="272"/>
      <c r="J103" s="273"/>
      <c r="K103" s="273"/>
      <c r="L103" s="274"/>
      <c r="M103" s="253"/>
      <c r="N103" s="272"/>
      <c r="O103" s="273"/>
      <c r="P103" s="273"/>
      <c r="Q103" s="274"/>
      <c r="R103" s="307"/>
      <c r="S103" s="272"/>
      <c r="T103" s="273"/>
      <c r="U103" s="273"/>
      <c r="V103" s="274"/>
      <c r="W103" s="253"/>
      <c r="X103" s="272"/>
      <c r="Y103" s="273"/>
      <c r="Z103" s="273"/>
      <c r="AA103" s="274"/>
      <c r="AB103" s="219"/>
    </row>
    <row r="104" spans="1:28" ht="14.25" x14ac:dyDescent="0.2">
      <c r="A104" s="219"/>
      <c r="B104" s="219"/>
      <c r="C104" s="219"/>
      <c r="D104" s="631"/>
      <c r="E104" s="632"/>
      <c r="F104" s="632"/>
      <c r="G104" s="633"/>
      <c r="H104" s="307"/>
      <c r="I104" s="631"/>
      <c r="J104" s="632"/>
      <c r="K104" s="632"/>
      <c r="L104" s="633"/>
      <c r="M104" s="253"/>
      <c r="N104" s="631"/>
      <c r="O104" s="632"/>
      <c r="P104" s="632"/>
      <c r="Q104" s="633"/>
      <c r="R104" s="307"/>
      <c r="S104" s="631"/>
      <c r="T104" s="632"/>
      <c r="U104" s="632"/>
      <c r="V104" s="633"/>
      <c r="W104" s="253"/>
      <c r="X104" s="631"/>
      <c r="Y104" s="632"/>
      <c r="Z104" s="632"/>
      <c r="AA104" s="633"/>
      <c r="AB104" s="219"/>
    </row>
    <row r="105" spans="1:28" ht="14.25" x14ac:dyDescent="0.2">
      <c r="A105" s="219"/>
      <c r="B105" s="219"/>
      <c r="C105" s="219"/>
      <c r="D105" s="766"/>
      <c r="E105" s="767"/>
      <c r="F105" s="767"/>
      <c r="G105" s="768"/>
      <c r="H105" s="307"/>
      <c r="I105" s="631"/>
      <c r="J105" s="632"/>
      <c r="K105" s="632"/>
      <c r="L105" s="633"/>
      <c r="M105" s="253"/>
      <c r="N105" s="766"/>
      <c r="O105" s="767"/>
      <c r="P105" s="767"/>
      <c r="Q105" s="768"/>
      <c r="R105" s="307"/>
      <c r="S105" s="631"/>
      <c r="T105" s="632"/>
      <c r="U105" s="632"/>
      <c r="V105" s="633"/>
      <c r="W105" s="253"/>
      <c r="X105" s="631"/>
      <c r="Y105" s="632"/>
      <c r="Z105" s="632"/>
      <c r="AA105" s="633"/>
      <c r="AB105" s="219"/>
    </row>
    <row r="106" spans="1:28" ht="15" x14ac:dyDescent="0.25">
      <c r="A106" s="219"/>
      <c r="B106" s="227"/>
      <c r="C106" s="227"/>
      <c r="D106" s="875" t="s">
        <v>270</v>
      </c>
      <c r="E106" s="876"/>
      <c r="F106" s="877"/>
      <c r="G106" s="878"/>
      <c r="H106" s="253"/>
      <c r="I106" s="745" t="s">
        <v>271</v>
      </c>
      <c r="J106" s="773"/>
      <c r="K106" s="774"/>
      <c r="L106" s="775"/>
      <c r="M106" s="253"/>
      <c r="N106" s="818" t="s">
        <v>272</v>
      </c>
      <c r="O106" s="819"/>
      <c r="P106" s="820"/>
      <c r="Q106" s="821"/>
      <c r="R106" s="253"/>
      <c r="S106" s="818" t="s">
        <v>273</v>
      </c>
      <c r="T106" s="819"/>
      <c r="U106" s="820"/>
      <c r="V106" s="821"/>
      <c r="W106" s="253"/>
      <c r="X106" s="818" t="s">
        <v>274</v>
      </c>
      <c r="Y106" s="819"/>
      <c r="Z106" s="820"/>
      <c r="AA106" s="821"/>
      <c r="AB106" s="219"/>
    </row>
    <row r="107" spans="1:28" ht="16.149999999999999" customHeight="1" thickBot="1" x14ac:dyDescent="0.25">
      <c r="A107" s="219"/>
      <c r="B107" s="219"/>
      <c r="C107" s="219"/>
      <c r="D107" s="752">
        <v>0.95</v>
      </c>
      <c r="E107" s="753"/>
      <c r="F107" s="636">
        <v>0</v>
      </c>
      <c r="G107" s="637"/>
      <c r="H107" s="253"/>
      <c r="I107" s="752">
        <v>0.85</v>
      </c>
      <c r="J107" s="753"/>
      <c r="K107" s="636">
        <v>0</v>
      </c>
      <c r="L107" s="637"/>
      <c r="M107" s="253"/>
      <c r="N107" s="752">
        <v>0.59</v>
      </c>
      <c r="O107" s="753"/>
      <c r="P107" s="636">
        <v>0</v>
      </c>
      <c r="Q107" s="637"/>
      <c r="R107" s="253"/>
      <c r="S107" s="752">
        <v>0.8</v>
      </c>
      <c r="T107" s="753"/>
      <c r="U107" s="636">
        <v>0</v>
      </c>
      <c r="V107" s="637"/>
      <c r="W107" s="253"/>
      <c r="X107" s="752">
        <v>0.8</v>
      </c>
      <c r="Y107" s="753"/>
      <c r="Z107" s="636">
        <v>0</v>
      </c>
      <c r="AA107" s="637"/>
      <c r="AB107" s="219"/>
    </row>
    <row r="108" spans="1:28" s="386" customFormat="1" ht="16.149999999999999" customHeight="1" x14ac:dyDescent="0.2">
      <c r="A108" s="384"/>
      <c r="B108" s="456"/>
      <c r="C108" s="456"/>
      <c r="D108" s="488">
        <f>D107*G108</f>
        <v>232.75</v>
      </c>
      <c r="E108" s="446"/>
      <c r="F108" s="447" t="s">
        <v>293</v>
      </c>
      <c r="G108" s="448">
        <v>245</v>
      </c>
      <c r="H108" s="449"/>
      <c r="I108" s="488">
        <f>I107*L108</f>
        <v>153</v>
      </c>
      <c r="J108" s="446"/>
      <c r="K108" s="447" t="s">
        <v>293</v>
      </c>
      <c r="L108" s="448">
        <v>180</v>
      </c>
      <c r="M108" s="449"/>
      <c r="N108" s="488">
        <f>N107*Q108</f>
        <v>132.75</v>
      </c>
      <c r="O108" s="446"/>
      <c r="P108" s="447" t="s">
        <v>293</v>
      </c>
      <c r="Q108" s="448">
        <v>225</v>
      </c>
      <c r="R108" s="449"/>
      <c r="S108" s="488">
        <f>S107*V108</f>
        <v>192</v>
      </c>
      <c r="T108" s="446"/>
      <c r="U108" s="447" t="s">
        <v>293</v>
      </c>
      <c r="V108" s="448">
        <v>240</v>
      </c>
      <c r="W108" s="449"/>
      <c r="X108" s="488">
        <f>X107*AA108</f>
        <v>240</v>
      </c>
      <c r="Y108" s="446"/>
      <c r="Z108" s="447" t="s">
        <v>293</v>
      </c>
      <c r="AA108" s="448">
        <v>300</v>
      </c>
      <c r="AB108" s="456"/>
    </row>
    <row r="109" spans="1:28" ht="10.15" customHeight="1" x14ac:dyDescent="0.2">
      <c r="A109" s="219"/>
      <c r="B109" s="219"/>
      <c r="C109" s="219"/>
      <c r="D109" s="253"/>
      <c r="E109" s="253"/>
      <c r="F109" s="253"/>
      <c r="G109" s="253"/>
      <c r="H109" s="253"/>
      <c r="I109" s="253"/>
      <c r="J109" s="253"/>
      <c r="K109" s="253"/>
      <c r="L109" s="253"/>
      <c r="M109" s="253"/>
      <c r="N109" s="253"/>
      <c r="O109" s="253"/>
      <c r="P109" s="253"/>
      <c r="Q109" s="253"/>
      <c r="R109" s="253"/>
      <c r="S109" s="253"/>
      <c r="T109" s="253"/>
      <c r="U109" s="253"/>
      <c r="V109" s="253"/>
      <c r="W109" s="253"/>
      <c r="X109" s="253"/>
      <c r="Y109" s="253"/>
      <c r="Z109" s="253"/>
      <c r="AA109" s="253"/>
      <c r="AB109" s="219"/>
    </row>
    <row r="110" spans="1:28" s="169" customFormat="1" ht="14.25" x14ac:dyDescent="0.2">
      <c r="A110" s="226"/>
      <c r="B110" s="219"/>
      <c r="C110" s="219"/>
      <c r="D110" s="616"/>
      <c r="E110" s="617"/>
      <c r="F110" s="617"/>
      <c r="G110" s="618"/>
      <c r="H110" s="253"/>
      <c r="I110" s="616"/>
      <c r="J110" s="617"/>
      <c r="K110" s="617"/>
      <c r="L110" s="618"/>
      <c r="M110" s="253"/>
      <c r="N110" s="616"/>
      <c r="O110" s="617"/>
      <c r="P110" s="617"/>
      <c r="Q110" s="618"/>
      <c r="R110" s="253"/>
      <c r="S110" s="616"/>
      <c r="T110" s="617"/>
      <c r="U110" s="617"/>
      <c r="V110" s="618"/>
      <c r="W110" s="253"/>
      <c r="X110" s="616"/>
      <c r="Y110" s="617"/>
      <c r="Z110" s="617"/>
      <c r="AA110" s="618"/>
      <c r="AB110" s="219"/>
    </row>
    <row r="111" spans="1:28" s="171" customFormat="1" ht="15" x14ac:dyDescent="0.2">
      <c r="A111" s="376"/>
      <c r="B111" s="219"/>
      <c r="C111" s="219"/>
      <c r="D111" s="631"/>
      <c r="E111" s="632"/>
      <c r="F111" s="632"/>
      <c r="G111" s="633"/>
      <c r="H111" s="253"/>
      <c r="I111" s="631"/>
      <c r="J111" s="632"/>
      <c r="K111" s="632"/>
      <c r="L111" s="633"/>
      <c r="M111" s="253"/>
      <c r="N111" s="631"/>
      <c r="O111" s="632"/>
      <c r="P111" s="632"/>
      <c r="Q111" s="633"/>
      <c r="R111" s="253"/>
      <c r="S111" s="631"/>
      <c r="T111" s="632"/>
      <c r="U111" s="632"/>
      <c r="V111" s="633"/>
      <c r="W111" s="253"/>
      <c r="X111" s="631"/>
      <c r="Y111" s="632"/>
      <c r="Z111" s="632"/>
      <c r="AA111" s="633"/>
      <c r="AB111" s="219"/>
    </row>
    <row r="112" spans="1:28" ht="14.25" x14ac:dyDescent="0.2">
      <c r="A112" s="219"/>
      <c r="B112" s="219"/>
      <c r="C112" s="219"/>
      <c r="D112" s="272"/>
      <c r="E112" s="273"/>
      <c r="F112" s="273"/>
      <c r="G112" s="274"/>
      <c r="H112" s="253"/>
      <c r="I112" s="272"/>
      <c r="J112" s="273"/>
      <c r="K112" s="273"/>
      <c r="L112" s="274"/>
      <c r="M112" s="253"/>
      <c r="N112" s="272"/>
      <c r="O112" s="273"/>
      <c r="P112" s="273"/>
      <c r="Q112" s="274"/>
      <c r="R112" s="253"/>
      <c r="S112" s="272"/>
      <c r="T112" s="273"/>
      <c r="U112" s="273"/>
      <c r="V112" s="274"/>
      <c r="W112" s="253"/>
      <c r="X112" s="272"/>
      <c r="Y112" s="273"/>
      <c r="Z112" s="273"/>
      <c r="AA112" s="274"/>
      <c r="AB112" s="219"/>
    </row>
    <row r="113" spans="1:28" ht="14.25" x14ac:dyDescent="0.2">
      <c r="A113" s="219"/>
      <c r="B113" s="219"/>
      <c r="C113" s="219"/>
      <c r="D113" s="631"/>
      <c r="E113" s="632"/>
      <c r="F113" s="632"/>
      <c r="G113" s="633"/>
      <c r="H113" s="253"/>
      <c r="I113" s="631"/>
      <c r="J113" s="632"/>
      <c r="K113" s="632"/>
      <c r="L113" s="633"/>
      <c r="M113" s="253"/>
      <c r="N113" s="631"/>
      <c r="O113" s="632"/>
      <c r="P113" s="632"/>
      <c r="Q113" s="633"/>
      <c r="R113" s="253"/>
      <c r="S113" s="631"/>
      <c r="T113" s="632"/>
      <c r="U113" s="632"/>
      <c r="V113" s="633"/>
      <c r="W113" s="253"/>
      <c r="X113" s="631"/>
      <c r="Y113" s="632"/>
      <c r="Z113" s="632"/>
      <c r="AA113" s="633"/>
      <c r="AB113" s="219"/>
    </row>
    <row r="114" spans="1:28" ht="14.25" x14ac:dyDescent="0.2">
      <c r="A114" s="219"/>
      <c r="B114" s="219"/>
      <c r="C114" s="219"/>
      <c r="D114" s="631"/>
      <c r="E114" s="632"/>
      <c r="F114" s="632"/>
      <c r="G114" s="633"/>
      <c r="H114" s="253"/>
      <c r="I114" s="631"/>
      <c r="J114" s="632"/>
      <c r="K114" s="632"/>
      <c r="L114" s="633"/>
      <c r="M114" s="253"/>
      <c r="N114" s="631"/>
      <c r="O114" s="632"/>
      <c r="P114" s="632"/>
      <c r="Q114" s="633"/>
      <c r="R114" s="253"/>
      <c r="S114" s="631"/>
      <c r="T114" s="632"/>
      <c r="U114" s="632"/>
      <c r="V114" s="633"/>
      <c r="W114" s="253"/>
      <c r="X114" s="631"/>
      <c r="Y114" s="632"/>
      <c r="Z114" s="632"/>
      <c r="AA114" s="633"/>
      <c r="AB114" s="219"/>
    </row>
    <row r="115" spans="1:28" ht="14.25" x14ac:dyDescent="0.2">
      <c r="A115" s="219"/>
      <c r="B115" s="219"/>
      <c r="C115" s="219"/>
      <c r="D115" s="766"/>
      <c r="E115" s="767"/>
      <c r="F115" s="767"/>
      <c r="G115" s="768"/>
      <c r="H115" s="253"/>
      <c r="I115" s="766"/>
      <c r="J115" s="767"/>
      <c r="K115" s="767"/>
      <c r="L115" s="768"/>
      <c r="M115" s="253"/>
      <c r="N115" s="766"/>
      <c r="O115" s="767"/>
      <c r="P115" s="767"/>
      <c r="Q115" s="768"/>
      <c r="R115" s="253"/>
      <c r="S115" s="766"/>
      <c r="T115" s="767"/>
      <c r="U115" s="767"/>
      <c r="V115" s="768"/>
      <c r="W115" s="253"/>
      <c r="X115" s="766"/>
      <c r="Y115" s="767"/>
      <c r="Z115" s="767"/>
      <c r="AA115" s="768"/>
      <c r="AB115" s="219"/>
    </row>
    <row r="116" spans="1:28" ht="15" x14ac:dyDescent="0.25">
      <c r="A116" s="219"/>
      <c r="B116" s="219"/>
      <c r="C116" s="219"/>
      <c r="D116" s="875" t="s">
        <v>275</v>
      </c>
      <c r="E116" s="876"/>
      <c r="F116" s="877"/>
      <c r="G116" s="878"/>
      <c r="H116" s="253"/>
      <c r="I116" s="875" t="s">
        <v>276</v>
      </c>
      <c r="J116" s="876"/>
      <c r="K116" s="877"/>
      <c r="L116" s="878"/>
      <c r="M116" s="253"/>
      <c r="N116" s="818" t="s">
        <v>277</v>
      </c>
      <c r="O116" s="819"/>
      <c r="P116" s="820"/>
      <c r="Q116" s="821"/>
      <c r="R116" s="253"/>
      <c r="S116" s="745" t="s">
        <v>895</v>
      </c>
      <c r="T116" s="773"/>
      <c r="U116" s="774"/>
      <c r="V116" s="775"/>
      <c r="W116" s="253"/>
      <c r="X116" s="818" t="s">
        <v>894</v>
      </c>
      <c r="Y116" s="819"/>
      <c r="Z116" s="820"/>
      <c r="AA116" s="821"/>
      <c r="AB116" s="219"/>
    </row>
    <row r="117" spans="1:28" ht="16.149999999999999" customHeight="1" thickBot="1" x14ac:dyDescent="0.25">
      <c r="A117" s="219"/>
      <c r="B117" s="219"/>
      <c r="C117" s="219"/>
      <c r="D117" s="904">
        <v>0.8</v>
      </c>
      <c r="E117" s="905"/>
      <c r="F117" s="666">
        <v>0</v>
      </c>
      <c r="G117" s="667"/>
      <c r="H117" s="253"/>
      <c r="I117" s="904">
        <v>0.8</v>
      </c>
      <c r="J117" s="905"/>
      <c r="K117" s="666">
        <v>0</v>
      </c>
      <c r="L117" s="667"/>
      <c r="M117" s="253"/>
      <c r="N117" s="752">
        <v>0.8</v>
      </c>
      <c r="O117" s="753"/>
      <c r="P117" s="636">
        <v>0</v>
      </c>
      <c r="Q117" s="637"/>
      <c r="R117" s="253"/>
      <c r="S117" s="752">
        <v>0.95</v>
      </c>
      <c r="T117" s="753"/>
      <c r="U117" s="636">
        <v>0</v>
      </c>
      <c r="V117" s="637"/>
      <c r="W117" s="253"/>
      <c r="X117" s="752">
        <v>0.95</v>
      </c>
      <c r="Y117" s="753"/>
      <c r="Z117" s="636">
        <v>0</v>
      </c>
      <c r="AA117" s="637"/>
      <c r="AB117" s="219"/>
    </row>
    <row r="118" spans="1:28" s="386" customFormat="1" ht="16.149999999999999" customHeight="1" x14ac:dyDescent="0.2">
      <c r="A118" s="384"/>
      <c r="B118" s="456"/>
      <c r="C118" s="456"/>
      <c r="D118" s="488">
        <f>D117*G118</f>
        <v>240</v>
      </c>
      <c r="E118" s="446"/>
      <c r="F118" s="447" t="s">
        <v>293</v>
      </c>
      <c r="G118" s="448">
        <v>300</v>
      </c>
      <c r="H118" s="449"/>
      <c r="I118" s="488">
        <f>I117*L118</f>
        <v>116</v>
      </c>
      <c r="J118" s="446"/>
      <c r="K118" s="447" t="s">
        <v>293</v>
      </c>
      <c r="L118" s="448">
        <v>145</v>
      </c>
      <c r="M118" s="449"/>
      <c r="N118" s="488">
        <f>N117*Q118</f>
        <v>116</v>
      </c>
      <c r="O118" s="446"/>
      <c r="P118" s="447" t="s">
        <v>293</v>
      </c>
      <c r="Q118" s="448">
        <v>145</v>
      </c>
      <c r="R118" s="449"/>
      <c r="S118" s="488">
        <f>S117*V118</f>
        <v>114</v>
      </c>
      <c r="T118" s="446"/>
      <c r="U118" s="447" t="s">
        <v>293</v>
      </c>
      <c r="V118" s="448">
        <v>120</v>
      </c>
      <c r="W118" s="449"/>
      <c r="X118" s="488">
        <f>X117*AA118</f>
        <v>142.5</v>
      </c>
      <c r="Y118" s="446"/>
      <c r="Z118" s="447" t="s">
        <v>293</v>
      </c>
      <c r="AA118" s="448">
        <v>150</v>
      </c>
      <c r="AB118" s="456"/>
    </row>
    <row r="119" spans="1:28" ht="10.15" customHeight="1" x14ac:dyDescent="0.2">
      <c r="A119" s="219"/>
      <c r="B119" s="219"/>
      <c r="C119" s="219"/>
      <c r="D119" s="253"/>
      <c r="E119" s="253"/>
      <c r="F119" s="253"/>
      <c r="G119" s="253"/>
      <c r="H119" s="253"/>
      <c r="I119" s="253"/>
      <c r="J119" s="253"/>
      <c r="K119" s="253"/>
      <c r="L119" s="253"/>
      <c r="M119" s="253"/>
      <c r="N119" s="253"/>
      <c r="O119" s="253"/>
      <c r="P119" s="253"/>
      <c r="Q119" s="253"/>
      <c r="R119" s="253"/>
      <c r="S119" s="253"/>
      <c r="T119" s="253"/>
      <c r="U119" s="253"/>
      <c r="V119" s="253"/>
      <c r="W119" s="253"/>
      <c r="X119" s="253"/>
      <c r="Y119" s="253"/>
      <c r="Z119" s="253"/>
      <c r="AA119" s="253"/>
      <c r="AB119" s="219"/>
    </row>
    <row r="120" spans="1:28" ht="14.25" x14ac:dyDescent="0.2">
      <c r="A120" s="219"/>
      <c r="B120" s="219"/>
      <c r="C120" s="219"/>
      <c r="D120" s="616"/>
      <c r="E120" s="617"/>
      <c r="F120" s="617"/>
      <c r="G120" s="618"/>
      <c r="H120" s="253"/>
      <c r="I120" s="757"/>
      <c r="J120" s="758"/>
      <c r="K120" s="758"/>
      <c r="L120" s="759"/>
      <c r="M120" s="253"/>
      <c r="N120" s="757"/>
      <c r="O120" s="758"/>
      <c r="P120" s="758"/>
      <c r="Q120" s="759"/>
      <c r="R120" s="253"/>
      <c r="S120" s="611"/>
      <c r="T120" s="611"/>
      <c r="U120" s="611"/>
      <c r="V120" s="611"/>
      <c r="W120" s="253"/>
      <c r="X120" s="611"/>
      <c r="Y120" s="611"/>
      <c r="Z120" s="611"/>
      <c r="AA120" s="611"/>
      <c r="AB120" s="219"/>
    </row>
    <row r="121" spans="1:28" ht="14.25" x14ac:dyDescent="0.2">
      <c r="A121" s="219"/>
      <c r="B121" s="219"/>
      <c r="C121" s="219"/>
      <c r="D121" s="631"/>
      <c r="E121" s="632"/>
      <c r="F121" s="632"/>
      <c r="G121" s="633"/>
      <c r="H121" s="253"/>
      <c r="I121" s="760"/>
      <c r="J121" s="761"/>
      <c r="K121" s="761"/>
      <c r="L121" s="762"/>
      <c r="M121" s="253"/>
      <c r="N121" s="760"/>
      <c r="O121" s="761"/>
      <c r="P121" s="761"/>
      <c r="Q121" s="762"/>
      <c r="R121" s="253"/>
      <c r="S121" s="611"/>
      <c r="T121" s="611"/>
      <c r="U121" s="611"/>
      <c r="V121" s="611"/>
      <c r="W121" s="253"/>
      <c r="X121" s="611"/>
      <c r="Y121" s="611"/>
      <c r="Z121" s="611"/>
      <c r="AA121" s="611"/>
      <c r="AB121" s="219"/>
    </row>
    <row r="122" spans="1:28" ht="14.25" x14ac:dyDescent="0.2">
      <c r="A122" s="219"/>
      <c r="B122" s="219"/>
      <c r="C122" s="219"/>
      <c r="D122" s="272"/>
      <c r="E122" s="273"/>
      <c r="F122" s="273"/>
      <c r="G122" s="274"/>
      <c r="H122" s="253"/>
      <c r="I122" s="760"/>
      <c r="J122" s="761"/>
      <c r="K122" s="761"/>
      <c r="L122" s="762"/>
      <c r="M122" s="253"/>
      <c r="N122" s="760"/>
      <c r="O122" s="761"/>
      <c r="P122" s="761"/>
      <c r="Q122" s="762"/>
      <c r="R122" s="253"/>
      <c r="S122" s="611"/>
      <c r="T122" s="611"/>
      <c r="U122" s="611"/>
      <c r="V122" s="611"/>
      <c r="W122" s="253"/>
      <c r="X122" s="611"/>
      <c r="Y122" s="611"/>
      <c r="Z122" s="611"/>
      <c r="AA122" s="611"/>
      <c r="AB122" s="219"/>
    </row>
    <row r="123" spans="1:28" ht="12" customHeight="1" x14ac:dyDescent="0.2">
      <c r="A123" s="219"/>
      <c r="B123" s="219"/>
      <c r="C123" s="219"/>
      <c r="D123" s="631"/>
      <c r="E123" s="632"/>
      <c r="F123" s="632"/>
      <c r="G123" s="633"/>
      <c r="H123" s="253"/>
      <c r="I123" s="760"/>
      <c r="J123" s="761"/>
      <c r="K123" s="761"/>
      <c r="L123" s="762"/>
      <c r="M123" s="253"/>
      <c r="N123" s="760"/>
      <c r="O123" s="761"/>
      <c r="P123" s="761"/>
      <c r="Q123" s="762"/>
      <c r="R123" s="253"/>
      <c r="S123" s="278"/>
      <c r="T123" s="278"/>
      <c r="U123" s="278"/>
      <c r="V123" s="278"/>
      <c r="W123" s="253"/>
      <c r="X123" s="278"/>
      <c r="Y123" s="278"/>
      <c r="Z123" s="278"/>
      <c r="AA123" s="278"/>
      <c r="AB123" s="219"/>
    </row>
    <row r="124" spans="1:28" ht="14.25" x14ac:dyDescent="0.2">
      <c r="A124" s="219"/>
      <c r="B124" s="219"/>
      <c r="C124" s="219"/>
      <c r="D124" s="631"/>
      <c r="E124" s="632"/>
      <c r="F124" s="632"/>
      <c r="G124" s="633"/>
      <c r="H124" s="253"/>
      <c r="I124" s="760"/>
      <c r="J124" s="761"/>
      <c r="K124" s="761"/>
      <c r="L124" s="762"/>
      <c r="M124" s="253"/>
      <c r="N124" s="760"/>
      <c r="O124" s="761"/>
      <c r="P124" s="761"/>
      <c r="Q124" s="762"/>
      <c r="R124" s="253"/>
      <c r="S124" s="611"/>
      <c r="T124" s="611"/>
      <c r="U124" s="611"/>
      <c r="V124" s="611"/>
      <c r="W124" s="253"/>
      <c r="X124" s="611"/>
      <c r="Y124" s="611"/>
      <c r="Z124" s="611"/>
      <c r="AA124" s="611"/>
      <c r="AB124" s="219"/>
    </row>
    <row r="125" spans="1:28" ht="14.25" x14ac:dyDescent="0.2">
      <c r="A125" s="219"/>
      <c r="B125" s="219"/>
      <c r="C125" s="219"/>
      <c r="D125" s="766"/>
      <c r="E125" s="767"/>
      <c r="F125" s="767"/>
      <c r="G125" s="768"/>
      <c r="H125" s="253"/>
      <c r="I125" s="763"/>
      <c r="J125" s="764"/>
      <c r="K125" s="764"/>
      <c r="L125" s="765"/>
      <c r="M125" s="253"/>
      <c r="N125" s="763"/>
      <c r="O125" s="764"/>
      <c r="P125" s="764"/>
      <c r="Q125" s="765"/>
      <c r="R125" s="253"/>
      <c r="S125" s="611"/>
      <c r="T125" s="611"/>
      <c r="U125" s="611"/>
      <c r="V125" s="611"/>
      <c r="W125" s="253"/>
      <c r="X125" s="611"/>
      <c r="Y125" s="611"/>
      <c r="Z125" s="611"/>
      <c r="AA125" s="611"/>
      <c r="AB125" s="219"/>
    </row>
    <row r="126" spans="1:28" ht="15" x14ac:dyDescent="0.25">
      <c r="A126" s="219"/>
      <c r="B126" s="219"/>
      <c r="C126" s="219"/>
      <c r="D126" s="818" t="s">
        <v>278</v>
      </c>
      <c r="E126" s="819"/>
      <c r="F126" s="820"/>
      <c r="G126" s="821"/>
      <c r="H126" s="253"/>
      <c r="I126" s="818" t="s">
        <v>258</v>
      </c>
      <c r="J126" s="819"/>
      <c r="K126" s="820"/>
      <c r="L126" s="821"/>
      <c r="M126" s="253"/>
      <c r="N126" s="818" t="s">
        <v>259</v>
      </c>
      <c r="O126" s="819"/>
      <c r="P126" s="820"/>
      <c r="Q126" s="821"/>
      <c r="R126" s="253"/>
      <c r="S126" s="630"/>
      <c r="T126" s="630"/>
      <c r="U126" s="630"/>
      <c r="V126" s="630"/>
      <c r="W126" s="253"/>
      <c r="X126" s="630"/>
      <c r="Y126" s="630"/>
      <c r="Z126" s="630"/>
      <c r="AA126" s="630"/>
      <c r="AB126" s="219"/>
    </row>
    <row r="127" spans="1:28" s="173" customFormat="1" ht="16.149999999999999" customHeight="1" thickBot="1" x14ac:dyDescent="0.25">
      <c r="A127" s="220"/>
      <c r="B127" s="219"/>
      <c r="C127" s="219"/>
      <c r="D127" s="752">
        <v>0.8</v>
      </c>
      <c r="E127" s="753"/>
      <c r="F127" s="636">
        <v>0</v>
      </c>
      <c r="G127" s="637"/>
      <c r="H127" s="253"/>
      <c r="I127" s="752">
        <v>1.7</v>
      </c>
      <c r="J127" s="753"/>
      <c r="K127" s="636">
        <v>0</v>
      </c>
      <c r="L127" s="637"/>
      <c r="M127" s="253"/>
      <c r="N127" s="752">
        <v>1.8</v>
      </c>
      <c r="O127" s="753"/>
      <c r="P127" s="636">
        <v>0</v>
      </c>
      <c r="Q127" s="637"/>
      <c r="R127" s="253"/>
      <c r="S127" s="890"/>
      <c r="T127" s="890"/>
      <c r="U127" s="672"/>
      <c r="V127" s="672"/>
      <c r="W127" s="253"/>
      <c r="X127" s="890"/>
      <c r="Y127" s="890"/>
      <c r="Z127" s="672"/>
      <c r="AA127" s="672"/>
      <c r="AB127" s="219"/>
    </row>
    <row r="128" spans="1:28" s="460" customFormat="1" ht="16.149999999999999" customHeight="1" x14ac:dyDescent="0.2">
      <c r="A128" s="456"/>
      <c r="B128" s="384"/>
      <c r="C128" s="384"/>
      <c r="D128" s="488">
        <f>D127*G128</f>
        <v>80</v>
      </c>
      <c r="E128" s="446"/>
      <c r="F128" s="447" t="s">
        <v>293</v>
      </c>
      <c r="G128" s="448">
        <v>100</v>
      </c>
      <c r="H128" s="449"/>
      <c r="I128" s="488">
        <f>I127*L128</f>
        <v>122.39999999999999</v>
      </c>
      <c r="J128" s="446"/>
      <c r="K128" s="447" t="s">
        <v>293</v>
      </c>
      <c r="L128" s="448">
        <v>72</v>
      </c>
      <c r="M128" s="449"/>
      <c r="N128" s="488">
        <f>N127*Q128</f>
        <v>108</v>
      </c>
      <c r="O128" s="446"/>
      <c r="P128" s="447" t="s">
        <v>293</v>
      </c>
      <c r="Q128" s="448">
        <v>60</v>
      </c>
      <c r="R128" s="449"/>
      <c r="S128" s="471"/>
      <c r="T128" s="471"/>
      <c r="U128" s="472"/>
      <c r="V128" s="472"/>
      <c r="W128" s="449"/>
      <c r="X128" s="471"/>
      <c r="Y128" s="471"/>
      <c r="Z128" s="472"/>
      <c r="AA128" s="472"/>
      <c r="AB128" s="384"/>
    </row>
    <row r="129" spans="1:28" s="173" customFormat="1" ht="27" customHeight="1" x14ac:dyDescent="0.2">
      <c r="A129" s="220"/>
      <c r="B129" s="219"/>
      <c r="C129" s="219"/>
      <c r="D129" s="257"/>
      <c r="E129" s="258"/>
      <c r="F129" s="259"/>
      <c r="G129" s="260"/>
      <c r="H129" s="254"/>
      <c r="I129" s="257"/>
      <c r="J129" s="258"/>
      <c r="K129" s="259"/>
      <c r="L129" s="260"/>
      <c r="M129" s="250"/>
      <c r="N129" s="255"/>
      <c r="O129" s="255"/>
      <c r="P129" s="256"/>
      <c r="Q129" s="256"/>
      <c r="R129" s="250"/>
      <c r="S129" s="255"/>
      <c r="T129" s="255"/>
      <c r="U129" s="256"/>
      <c r="V129" s="256"/>
      <c r="W129" s="250"/>
      <c r="X129" s="255"/>
      <c r="Y129" s="255"/>
      <c r="Z129" s="256"/>
      <c r="AA129" s="256"/>
      <c r="AB129" s="219"/>
    </row>
    <row r="130" spans="1:28" s="169" customFormat="1" ht="27" customHeight="1" x14ac:dyDescent="0.3">
      <c r="A130" s="226"/>
      <c r="B130" s="239"/>
      <c r="C130" s="239"/>
      <c r="D130" s="834" t="s">
        <v>611</v>
      </c>
      <c r="E130" s="834"/>
      <c r="F130" s="834"/>
      <c r="G130" s="834"/>
      <c r="H130" s="834"/>
      <c r="I130" s="834"/>
      <c r="J130" s="834"/>
      <c r="K130" s="834"/>
      <c r="L130" s="834"/>
      <c r="M130" s="834"/>
      <c r="N130" s="834"/>
      <c r="O130" s="834"/>
      <c r="P130" s="834"/>
      <c r="Q130" s="834"/>
      <c r="R130" s="834"/>
      <c r="S130" s="834"/>
      <c r="T130" s="834"/>
      <c r="U130" s="834"/>
      <c r="V130" s="834"/>
      <c r="W130" s="834"/>
      <c r="X130" s="834"/>
      <c r="Y130" s="834"/>
      <c r="Z130" s="834"/>
      <c r="AA130" s="834"/>
      <c r="AB130" s="239"/>
    </row>
    <row r="131" spans="1:28" ht="27" customHeight="1" x14ac:dyDescent="0.3">
      <c r="A131" s="219"/>
      <c r="B131" s="219"/>
      <c r="C131" s="219"/>
      <c r="D131" s="891" t="s">
        <v>279</v>
      </c>
      <c r="E131" s="891"/>
      <c r="F131" s="891"/>
      <c r="G131" s="891"/>
      <c r="H131" s="886"/>
      <c r="I131" s="891"/>
      <c r="J131" s="891"/>
      <c r="K131" s="891"/>
      <c r="L131" s="891"/>
      <c r="M131" s="886"/>
      <c r="N131" s="891"/>
      <c r="O131" s="891"/>
      <c r="P131" s="891"/>
      <c r="Q131" s="891"/>
      <c r="R131" s="886"/>
      <c r="S131" s="891"/>
      <c r="T131" s="891"/>
      <c r="U131" s="891"/>
      <c r="V131" s="891"/>
      <c r="W131" s="886"/>
      <c r="X131" s="891"/>
      <c r="Y131" s="891"/>
      <c r="Z131" s="891"/>
      <c r="AA131" s="891"/>
      <c r="AB131" s="343"/>
    </row>
    <row r="132" spans="1:28" s="167" customFormat="1" ht="18.75" x14ac:dyDescent="0.3">
      <c r="A132" s="374"/>
      <c r="B132" s="897"/>
      <c r="C132" s="249"/>
      <c r="D132" s="632"/>
      <c r="E132" s="632"/>
      <c r="F132" s="632"/>
      <c r="G132" s="632"/>
      <c r="H132" s="302"/>
      <c r="I132" s="632"/>
      <c r="J132" s="632"/>
      <c r="K132" s="632"/>
      <c r="L132" s="632"/>
      <c r="M132" s="302"/>
      <c r="N132" s="632"/>
      <c r="O132" s="632"/>
      <c r="P132" s="632"/>
      <c r="Q132" s="632"/>
      <c r="R132" s="302"/>
      <c r="S132" s="632"/>
      <c r="T132" s="632"/>
      <c r="U132" s="632"/>
      <c r="V132" s="632"/>
      <c r="W132" s="302"/>
      <c r="X132" s="632"/>
      <c r="Y132" s="632"/>
      <c r="Z132" s="632"/>
      <c r="AA132" s="632"/>
      <c r="AB132" s="344"/>
    </row>
    <row r="133" spans="1:28" ht="15" x14ac:dyDescent="0.25">
      <c r="A133" s="219"/>
      <c r="B133" s="897"/>
      <c r="C133" s="249"/>
      <c r="D133" s="632"/>
      <c r="E133" s="632"/>
      <c r="F133" s="632"/>
      <c r="G133" s="632"/>
      <c r="H133" s="302"/>
      <c r="I133" s="632"/>
      <c r="J133" s="632"/>
      <c r="K133" s="632"/>
      <c r="L133" s="632"/>
      <c r="M133" s="302"/>
      <c r="N133" s="632"/>
      <c r="O133" s="632"/>
      <c r="P133" s="632"/>
      <c r="Q133" s="632"/>
      <c r="R133" s="302"/>
      <c r="S133" s="632"/>
      <c r="T133" s="632"/>
      <c r="U133" s="632"/>
      <c r="V133" s="632"/>
      <c r="W133" s="302"/>
      <c r="X133" s="632"/>
      <c r="Y133" s="632"/>
      <c r="Z133" s="632"/>
      <c r="AA133" s="632"/>
      <c r="AB133" s="344"/>
    </row>
    <row r="134" spans="1:28" ht="12.6" customHeight="1" x14ac:dyDescent="0.25">
      <c r="A134" s="219"/>
      <c r="B134" s="897"/>
      <c r="C134" s="249"/>
      <c r="D134" s="273"/>
      <c r="E134" s="273"/>
      <c r="F134" s="273"/>
      <c r="G134" s="273"/>
      <c r="H134" s="302"/>
      <c r="I134" s="273"/>
      <c r="J134" s="273"/>
      <c r="K134" s="273"/>
      <c r="L134" s="273"/>
      <c r="M134" s="302"/>
      <c r="N134" s="273"/>
      <c r="O134" s="273"/>
      <c r="P134" s="273"/>
      <c r="Q134" s="273"/>
      <c r="R134" s="302"/>
      <c r="S134" s="273"/>
      <c r="T134" s="273"/>
      <c r="U134" s="273"/>
      <c r="V134" s="273"/>
      <c r="W134" s="302"/>
      <c r="X134" s="273"/>
      <c r="Y134" s="273"/>
      <c r="Z134" s="273"/>
      <c r="AA134" s="273"/>
      <c r="AB134" s="344"/>
    </row>
    <row r="135" spans="1:28" ht="14.65" customHeight="1" x14ac:dyDescent="0.25">
      <c r="A135" s="219"/>
      <c r="B135" s="897"/>
      <c r="C135" s="249"/>
      <c r="D135" s="632"/>
      <c r="E135" s="632"/>
      <c r="F135" s="632"/>
      <c r="G135" s="632"/>
      <c r="H135" s="302"/>
      <c r="I135" s="632"/>
      <c r="J135" s="632"/>
      <c r="K135" s="632"/>
      <c r="L135" s="632"/>
      <c r="M135" s="302"/>
      <c r="N135" s="632"/>
      <c r="O135" s="632"/>
      <c r="P135" s="632"/>
      <c r="Q135" s="632"/>
      <c r="R135" s="302"/>
      <c r="S135" s="632"/>
      <c r="T135" s="632"/>
      <c r="U135" s="632"/>
      <c r="V135" s="632"/>
      <c r="W135" s="302"/>
      <c r="X135" s="632"/>
      <c r="Y135" s="632"/>
      <c r="Z135" s="632"/>
      <c r="AA135" s="632"/>
      <c r="AB135" s="344"/>
    </row>
    <row r="136" spans="1:28" ht="15" x14ac:dyDescent="0.25">
      <c r="A136" s="219"/>
      <c r="B136" s="897"/>
      <c r="C136" s="249"/>
      <c r="D136" s="632"/>
      <c r="E136" s="632"/>
      <c r="F136" s="632"/>
      <c r="G136" s="632"/>
      <c r="H136" s="302"/>
      <c r="I136" s="632"/>
      <c r="J136" s="632"/>
      <c r="K136" s="632"/>
      <c r="L136" s="632"/>
      <c r="M136" s="302"/>
      <c r="N136" s="632"/>
      <c r="O136" s="632"/>
      <c r="P136" s="632"/>
      <c r="Q136" s="632"/>
      <c r="R136" s="302"/>
      <c r="S136" s="632"/>
      <c r="T136" s="632"/>
      <c r="U136" s="632"/>
      <c r="V136" s="632"/>
      <c r="W136" s="302"/>
      <c r="X136" s="632"/>
      <c r="Y136" s="632"/>
      <c r="Z136" s="632"/>
      <c r="AA136" s="632"/>
      <c r="AB136" s="344"/>
    </row>
    <row r="137" spans="1:28" ht="15" x14ac:dyDescent="0.25">
      <c r="A137" s="219"/>
      <c r="B137" s="897"/>
      <c r="C137" s="249"/>
      <c r="D137" s="596"/>
      <c r="E137" s="596"/>
      <c r="F137" s="596"/>
      <c r="G137" s="596"/>
      <c r="H137" s="302"/>
      <c r="I137" s="632"/>
      <c r="J137" s="632"/>
      <c r="K137" s="632"/>
      <c r="L137" s="632"/>
      <c r="M137" s="302"/>
      <c r="N137" s="632"/>
      <c r="O137" s="632"/>
      <c r="P137" s="632"/>
      <c r="Q137" s="632"/>
      <c r="R137" s="302"/>
      <c r="S137" s="632"/>
      <c r="T137" s="632"/>
      <c r="U137" s="632"/>
      <c r="V137" s="632"/>
      <c r="W137" s="302"/>
      <c r="X137" s="632"/>
      <c r="Y137" s="632"/>
      <c r="Z137" s="632"/>
      <c r="AA137" s="632"/>
      <c r="AB137" s="344"/>
    </row>
    <row r="138" spans="1:28" ht="15" x14ac:dyDescent="0.25">
      <c r="A138" s="219"/>
      <c r="B138" s="897"/>
      <c r="C138" s="228"/>
      <c r="D138" s="809" t="s">
        <v>242</v>
      </c>
      <c r="E138" s="810"/>
      <c r="F138" s="810"/>
      <c r="G138" s="811"/>
      <c r="H138" s="253"/>
      <c r="I138" s="809" t="s">
        <v>243</v>
      </c>
      <c r="J138" s="810"/>
      <c r="K138" s="810"/>
      <c r="L138" s="811"/>
      <c r="M138" s="253"/>
      <c r="N138" s="809" t="s">
        <v>244</v>
      </c>
      <c r="O138" s="810"/>
      <c r="P138" s="810"/>
      <c r="Q138" s="811"/>
      <c r="R138" s="253"/>
      <c r="S138" s="809" t="s">
        <v>245</v>
      </c>
      <c r="T138" s="810"/>
      <c r="U138" s="810"/>
      <c r="V138" s="811"/>
      <c r="W138" s="253"/>
      <c r="X138" s="809" t="s">
        <v>246</v>
      </c>
      <c r="Y138" s="810"/>
      <c r="Z138" s="810"/>
      <c r="AA138" s="811"/>
      <c r="AB138" s="221"/>
    </row>
    <row r="139" spans="1:28" ht="13.5" customHeight="1" x14ac:dyDescent="0.25">
      <c r="A139" s="219"/>
      <c r="B139" s="897"/>
      <c r="C139" s="228"/>
      <c r="D139" s="800" t="s">
        <v>288</v>
      </c>
      <c r="E139" s="800"/>
      <c r="F139" s="800"/>
      <c r="G139" s="800"/>
      <c r="H139" s="303"/>
      <c r="I139" s="808" t="s">
        <v>287</v>
      </c>
      <c r="J139" s="603"/>
      <c r="K139" s="603"/>
      <c r="L139" s="604"/>
      <c r="M139" s="303"/>
      <c r="N139" s="808" t="s">
        <v>284</v>
      </c>
      <c r="O139" s="603"/>
      <c r="P139" s="603"/>
      <c r="Q139" s="603"/>
      <c r="R139" s="372"/>
      <c r="S139" s="603" t="s">
        <v>286</v>
      </c>
      <c r="T139" s="603"/>
      <c r="U139" s="603"/>
      <c r="V139" s="604"/>
      <c r="W139" s="303"/>
      <c r="X139" s="808" t="s">
        <v>285</v>
      </c>
      <c r="Y139" s="603"/>
      <c r="Z139" s="603"/>
      <c r="AA139" s="604"/>
      <c r="AB139" s="224"/>
    </row>
    <row r="140" spans="1:28" ht="13.5" customHeight="1" thickBot="1" x14ac:dyDescent="0.3">
      <c r="A140" s="219"/>
      <c r="B140" s="897"/>
      <c r="C140" s="245"/>
      <c r="D140" s="638" t="s">
        <v>610</v>
      </c>
      <c r="E140" s="639"/>
      <c r="F140" s="659"/>
      <c r="G140" s="660"/>
      <c r="H140" s="261"/>
      <c r="I140" s="638" t="s">
        <v>612</v>
      </c>
      <c r="J140" s="639"/>
      <c r="K140" s="659"/>
      <c r="L140" s="660"/>
      <c r="M140" s="261"/>
      <c r="N140" s="638" t="s">
        <v>613</v>
      </c>
      <c r="O140" s="639"/>
      <c r="P140" s="659"/>
      <c r="Q140" s="659"/>
      <c r="R140" s="373"/>
      <c r="S140" s="639" t="s">
        <v>614</v>
      </c>
      <c r="T140" s="639"/>
      <c r="U140" s="659"/>
      <c r="V140" s="660"/>
      <c r="W140" s="261"/>
      <c r="X140" s="638" t="s">
        <v>634</v>
      </c>
      <c r="Y140" s="639"/>
      <c r="Z140" s="659"/>
      <c r="AA140" s="660"/>
      <c r="AB140" s="247"/>
    </row>
    <row r="141" spans="1:28" s="174" customFormat="1" ht="16.149999999999999" customHeight="1" thickBot="1" x14ac:dyDescent="0.3">
      <c r="A141" s="221"/>
      <c r="B141" s="897"/>
      <c r="C141" s="228"/>
      <c r="D141" s="799">
        <f>(D87*2)+D396+I396</f>
        <v>1.2500000000000002</v>
      </c>
      <c r="E141" s="629"/>
      <c r="F141" s="644">
        <v>0</v>
      </c>
      <c r="G141" s="791"/>
      <c r="H141" s="253"/>
      <c r="I141" s="799">
        <f>I87+N87+(D396+I396)*2</f>
        <v>2.1500000000000004</v>
      </c>
      <c r="J141" s="629"/>
      <c r="K141" s="644">
        <v>0</v>
      </c>
      <c r="L141" s="791"/>
      <c r="M141" s="253"/>
      <c r="N141" s="799">
        <f>(I87*2)+S87+(D396*3)+(I396*3)</f>
        <v>3.0999999999999996</v>
      </c>
      <c r="O141" s="629"/>
      <c r="P141" s="644">
        <v>0</v>
      </c>
      <c r="Q141" s="791"/>
      <c r="R141" s="253"/>
      <c r="S141" s="799">
        <f>(S87*2)+(D396*2)+(I396*2)</f>
        <v>2</v>
      </c>
      <c r="T141" s="629"/>
      <c r="U141" s="644">
        <v>0</v>
      </c>
      <c r="V141" s="791"/>
      <c r="W141" s="253"/>
      <c r="X141" s="799">
        <f>(I87*4)+(D396*4)+(I396*4)</f>
        <v>4.2</v>
      </c>
      <c r="Y141" s="629"/>
      <c r="Z141" s="644">
        <v>0</v>
      </c>
      <c r="AA141" s="791"/>
      <c r="AB141" s="221"/>
    </row>
    <row r="142" spans="1:28" s="173" customFormat="1" ht="10.15" customHeight="1" x14ac:dyDescent="0.25">
      <c r="A142" s="220"/>
      <c r="B142" s="897"/>
      <c r="C142" s="228"/>
      <c r="D142" s="304"/>
      <c r="E142" s="304"/>
      <c r="F142" s="304"/>
      <c r="G142" s="304"/>
      <c r="H142" s="253"/>
      <c r="I142" s="304"/>
      <c r="J142" s="304"/>
      <c r="K142" s="304"/>
      <c r="L142" s="304"/>
      <c r="M142" s="253"/>
      <c r="N142" s="304"/>
      <c r="O142" s="304"/>
      <c r="P142" s="304"/>
      <c r="Q142" s="304"/>
      <c r="R142" s="253"/>
      <c r="S142" s="304"/>
      <c r="T142" s="304"/>
      <c r="U142" s="304"/>
      <c r="V142" s="304"/>
      <c r="W142" s="253"/>
      <c r="X142" s="304"/>
      <c r="Y142" s="304"/>
      <c r="Z142" s="304"/>
      <c r="AA142" s="304"/>
      <c r="AB142" s="221"/>
    </row>
    <row r="143" spans="1:28" ht="15" x14ac:dyDescent="0.25">
      <c r="A143" s="219"/>
      <c r="B143" s="897"/>
      <c r="C143" s="249"/>
      <c r="D143" s="632"/>
      <c r="E143" s="632"/>
      <c r="F143" s="632"/>
      <c r="G143" s="632"/>
      <c r="H143" s="302"/>
      <c r="I143" s="632"/>
      <c r="J143" s="632"/>
      <c r="K143" s="632"/>
      <c r="L143" s="632"/>
      <c r="M143" s="302"/>
      <c r="N143" s="632"/>
      <c r="O143" s="632"/>
      <c r="P143" s="632"/>
      <c r="Q143" s="632"/>
      <c r="R143" s="302"/>
      <c r="S143" s="632"/>
      <c r="T143" s="632"/>
      <c r="U143" s="632"/>
      <c r="V143" s="632"/>
      <c r="W143" s="302"/>
      <c r="X143" s="632"/>
      <c r="Y143" s="632"/>
      <c r="Z143" s="632"/>
      <c r="AA143" s="632"/>
      <c r="AB143" s="344"/>
    </row>
    <row r="144" spans="1:28" ht="15" x14ac:dyDescent="0.25">
      <c r="A144" s="219"/>
      <c r="B144" s="897"/>
      <c r="C144" s="249"/>
      <c r="D144" s="632"/>
      <c r="E144" s="632"/>
      <c r="F144" s="632"/>
      <c r="G144" s="632"/>
      <c r="H144" s="302"/>
      <c r="I144" s="632"/>
      <c r="J144" s="632"/>
      <c r="K144" s="632"/>
      <c r="L144" s="632"/>
      <c r="M144" s="302"/>
      <c r="N144" s="632"/>
      <c r="O144" s="632"/>
      <c r="P144" s="632"/>
      <c r="Q144" s="632"/>
      <c r="R144" s="302"/>
      <c r="S144" s="632"/>
      <c r="T144" s="632"/>
      <c r="U144" s="632"/>
      <c r="V144" s="632"/>
      <c r="W144" s="302"/>
      <c r="X144" s="632"/>
      <c r="Y144" s="632"/>
      <c r="Z144" s="632"/>
      <c r="AA144" s="632"/>
      <c r="AB144" s="344"/>
    </row>
    <row r="145" spans="1:28" ht="15" x14ac:dyDescent="0.25">
      <c r="A145" s="219"/>
      <c r="B145" s="897"/>
      <c r="C145" s="249"/>
      <c r="D145" s="632"/>
      <c r="E145" s="632"/>
      <c r="F145" s="632"/>
      <c r="G145" s="632"/>
      <c r="H145" s="302"/>
      <c r="I145" s="632"/>
      <c r="J145" s="632"/>
      <c r="K145" s="632"/>
      <c r="L145" s="632"/>
      <c r="M145" s="302"/>
      <c r="N145" s="632"/>
      <c r="O145" s="632"/>
      <c r="P145" s="632"/>
      <c r="Q145" s="632"/>
      <c r="R145" s="302"/>
      <c r="S145" s="632"/>
      <c r="T145" s="632"/>
      <c r="U145" s="632"/>
      <c r="V145" s="632"/>
      <c r="W145" s="302"/>
      <c r="X145" s="273"/>
      <c r="Y145" s="273"/>
      <c r="Z145" s="273"/>
      <c r="AA145" s="273"/>
      <c r="AB145" s="344"/>
    </row>
    <row r="146" spans="1:28" ht="15" x14ac:dyDescent="0.25">
      <c r="A146" s="219"/>
      <c r="B146" s="897"/>
      <c r="C146" s="249"/>
      <c r="D146" s="273"/>
      <c r="E146" s="273"/>
      <c r="F146" s="273"/>
      <c r="G146" s="273"/>
      <c r="H146" s="302"/>
      <c r="I146" s="273"/>
      <c r="J146" s="273"/>
      <c r="K146" s="273"/>
      <c r="L146" s="273"/>
      <c r="M146" s="302"/>
      <c r="N146" s="632"/>
      <c r="O146" s="632"/>
      <c r="P146" s="632"/>
      <c r="Q146" s="632"/>
      <c r="R146" s="302"/>
      <c r="S146" s="632"/>
      <c r="T146" s="632"/>
      <c r="U146" s="632"/>
      <c r="V146" s="632"/>
      <c r="W146" s="302"/>
      <c r="X146" s="632"/>
      <c r="Y146" s="632"/>
      <c r="Z146" s="632"/>
      <c r="AA146" s="632"/>
      <c r="AB146" s="344"/>
    </row>
    <row r="147" spans="1:28" ht="15" x14ac:dyDescent="0.25">
      <c r="A147" s="219"/>
      <c r="B147" s="897"/>
      <c r="C147" s="249"/>
      <c r="D147" s="632"/>
      <c r="E147" s="632"/>
      <c r="F147" s="632"/>
      <c r="G147" s="632"/>
      <c r="H147" s="302"/>
      <c r="I147" s="632"/>
      <c r="J147" s="632"/>
      <c r="K147" s="632"/>
      <c r="L147" s="632"/>
      <c r="M147" s="302"/>
      <c r="N147" s="632"/>
      <c r="O147" s="632"/>
      <c r="P147" s="632"/>
      <c r="Q147" s="632"/>
      <c r="R147" s="302"/>
      <c r="S147" s="632"/>
      <c r="T147" s="632"/>
      <c r="U147" s="632"/>
      <c r="V147" s="632"/>
      <c r="W147" s="302"/>
      <c r="X147" s="632"/>
      <c r="Y147" s="632"/>
      <c r="Z147" s="632"/>
      <c r="AA147" s="632"/>
      <c r="AB147" s="344"/>
    </row>
    <row r="148" spans="1:28" ht="13.5" customHeight="1" x14ac:dyDescent="0.25">
      <c r="A148" s="219"/>
      <c r="B148" s="897"/>
      <c r="C148" s="249"/>
      <c r="D148" s="632"/>
      <c r="E148" s="632"/>
      <c r="F148" s="632"/>
      <c r="G148" s="632"/>
      <c r="H148" s="302"/>
      <c r="I148" s="632"/>
      <c r="J148" s="632"/>
      <c r="K148" s="632"/>
      <c r="L148" s="632"/>
      <c r="M148" s="302"/>
      <c r="N148" s="632"/>
      <c r="O148" s="632"/>
      <c r="P148" s="632"/>
      <c r="Q148" s="632"/>
      <c r="R148" s="302"/>
      <c r="S148" s="632"/>
      <c r="T148" s="632"/>
      <c r="U148" s="632"/>
      <c r="V148" s="632"/>
      <c r="W148" s="302"/>
      <c r="X148" s="632"/>
      <c r="Y148" s="632"/>
      <c r="Z148" s="632"/>
      <c r="AA148" s="632"/>
      <c r="AB148" s="344"/>
    </row>
    <row r="149" spans="1:28" ht="15" x14ac:dyDescent="0.25">
      <c r="A149" s="219"/>
      <c r="B149" s="897"/>
      <c r="C149" s="228"/>
      <c r="D149" s="754" t="s">
        <v>247</v>
      </c>
      <c r="E149" s="755"/>
      <c r="F149" s="755"/>
      <c r="G149" s="756"/>
      <c r="H149" s="253"/>
      <c r="I149" s="754" t="s">
        <v>248</v>
      </c>
      <c r="J149" s="755"/>
      <c r="K149" s="755"/>
      <c r="L149" s="756"/>
      <c r="M149" s="253"/>
      <c r="N149" s="754" t="s">
        <v>249</v>
      </c>
      <c r="O149" s="755"/>
      <c r="P149" s="755"/>
      <c r="Q149" s="756"/>
      <c r="R149" s="253"/>
      <c r="S149" s="754" t="s">
        <v>250</v>
      </c>
      <c r="T149" s="755"/>
      <c r="U149" s="755"/>
      <c r="V149" s="756"/>
      <c r="W149" s="253"/>
      <c r="X149" s="812" t="s">
        <v>251</v>
      </c>
      <c r="Y149" s="813"/>
      <c r="Z149" s="813"/>
      <c r="AA149" s="814"/>
      <c r="AB149" s="221"/>
    </row>
    <row r="150" spans="1:28" ht="13.5" customHeight="1" x14ac:dyDescent="0.25">
      <c r="A150" s="219"/>
      <c r="B150" s="897"/>
      <c r="C150" s="245"/>
      <c r="D150" s="804" t="s">
        <v>398</v>
      </c>
      <c r="E150" s="659"/>
      <c r="F150" s="659"/>
      <c r="G150" s="660"/>
      <c r="H150" s="266"/>
      <c r="I150" s="804" t="s">
        <v>397</v>
      </c>
      <c r="J150" s="659"/>
      <c r="K150" s="659"/>
      <c r="L150" s="660"/>
      <c r="M150" s="266"/>
      <c r="N150" s="804" t="s">
        <v>396</v>
      </c>
      <c r="O150" s="659"/>
      <c r="P150" s="659"/>
      <c r="Q150" s="660"/>
      <c r="R150" s="266"/>
      <c r="S150" s="804" t="s">
        <v>395</v>
      </c>
      <c r="T150" s="659"/>
      <c r="U150" s="659"/>
      <c r="V150" s="660"/>
      <c r="W150" s="266"/>
      <c r="X150" s="801" t="s">
        <v>394</v>
      </c>
      <c r="Y150" s="802"/>
      <c r="Z150" s="802"/>
      <c r="AA150" s="803"/>
      <c r="AB150" s="224"/>
    </row>
    <row r="151" spans="1:28" ht="13.5" customHeight="1" thickBot="1" x14ac:dyDescent="0.3">
      <c r="A151" s="219"/>
      <c r="B151" s="897"/>
      <c r="C151" s="245"/>
      <c r="D151" s="638" t="s">
        <v>621</v>
      </c>
      <c r="E151" s="639"/>
      <c r="F151" s="659"/>
      <c r="G151" s="660"/>
      <c r="H151" s="261"/>
      <c r="I151" s="638" t="s">
        <v>622</v>
      </c>
      <c r="J151" s="639"/>
      <c r="K151" s="659"/>
      <c r="L151" s="660"/>
      <c r="M151" s="261"/>
      <c r="N151" s="638" t="s">
        <v>615</v>
      </c>
      <c r="O151" s="639"/>
      <c r="P151" s="659"/>
      <c r="Q151" s="660"/>
      <c r="R151" s="261"/>
      <c r="S151" s="638" t="s">
        <v>616</v>
      </c>
      <c r="T151" s="639"/>
      <c r="U151" s="659"/>
      <c r="V151" s="660"/>
      <c r="W151" s="261"/>
      <c r="X151" s="638" t="s">
        <v>617</v>
      </c>
      <c r="Y151" s="639"/>
      <c r="Z151" s="659"/>
      <c r="AA151" s="660"/>
      <c r="AB151" s="247"/>
    </row>
    <row r="152" spans="1:28" s="173" customFormat="1" ht="16.149999999999999" customHeight="1" thickBot="1" x14ac:dyDescent="0.3">
      <c r="A152" s="220"/>
      <c r="B152" s="897"/>
      <c r="C152" s="228"/>
      <c r="D152" s="612">
        <f>(X87*2)+(D97*2)+(D396*2)+(I396*2)</f>
        <v>2.5000000000000004</v>
      </c>
      <c r="E152" s="896"/>
      <c r="F152" s="850">
        <v>0</v>
      </c>
      <c r="G152" s="895"/>
      <c r="H152" s="253"/>
      <c r="I152" s="799">
        <f>(I97*2)+(D97*2)+(D396*3)+(I396*3)</f>
        <v>4.05</v>
      </c>
      <c r="J152" s="629"/>
      <c r="K152" s="644">
        <v>0</v>
      </c>
      <c r="L152" s="791"/>
      <c r="M152" s="253"/>
      <c r="N152" s="799">
        <f>(N97*2)+D396+I396</f>
        <v>1.2500000000000002</v>
      </c>
      <c r="O152" s="629"/>
      <c r="P152" s="644">
        <v>0</v>
      </c>
      <c r="Q152" s="791"/>
      <c r="R152" s="253"/>
      <c r="S152" s="799">
        <f>(S97*2)+D396+I396</f>
        <v>1.55</v>
      </c>
      <c r="T152" s="629"/>
      <c r="U152" s="644">
        <v>0</v>
      </c>
      <c r="V152" s="791"/>
      <c r="W152" s="253"/>
      <c r="X152" s="806">
        <f>X97+D107+D396+I396</f>
        <v>2.0499999999999998</v>
      </c>
      <c r="Y152" s="807"/>
      <c r="Z152" s="644">
        <v>0</v>
      </c>
      <c r="AA152" s="791"/>
      <c r="AB152" s="221"/>
    </row>
    <row r="153" spans="1:28" ht="10.15" customHeight="1" x14ac:dyDescent="0.25">
      <c r="A153" s="219"/>
      <c r="B153" s="897"/>
      <c r="C153" s="228"/>
      <c r="D153" s="304"/>
      <c r="E153" s="304"/>
      <c r="F153" s="304"/>
      <c r="G153" s="304"/>
      <c r="H153" s="253"/>
      <c r="I153" s="304"/>
      <c r="J153" s="304"/>
      <c r="K153" s="304"/>
      <c r="L153" s="304"/>
      <c r="M153" s="253"/>
      <c r="N153" s="304"/>
      <c r="O153" s="304"/>
      <c r="P153" s="304"/>
      <c r="Q153" s="304"/>
      <c r="R153" s="253"/>
      <c r="S153" s="304"/>
      <c r="T153" s="304"/>
      <c r="U153" s="304"/>
      <c r="V153" s="304"/>
      <c r="W153" s="253"/>
      <c r="X153" s="304"/>
      <c r="Y153" s="304"/>
      <c r="Z153" s="304"/>
      <c r="AA153" s="304"/>
      <c r="AB153" s="221"/>
    </row>
    <row r="154" spans="1:28" ht="15" x14ac:dyDescent="0.25">
      <c r="A154" s="219"/>
      <c r="B154" s="897"/>
      <c r="C154" s="249"/>
      <c r="D154" s="632"/>
      <c r="E154" s="632"/>
      <c r="F154" s="632"/>
      <c r="G154" s="632"/>
      <c r="H154" s="302"/>
      <c r="I154" s="632"/>
      <c r="J154" s="632"/>
      <c r="K154" s="632"/>
      <c r="L154" s="632"/>
      <c r="M154" s="302"/>
      <c r="N154" s="842"/>
      <c r="O154" s="842"/>
      <c r="P154" s="842"/>
      <c r="Q154" s="842"/>
      <c r="R154" s="302"/>
      <c r="S154" s="632"/>
      <c r="T154" s="632"/>
      <c r="U154" s="632"/>
      <c r="V154" s="632"/>
      <c r="W154" s="302"/>
      <c r="X154" s="632"/>
      <c r="Y154" s="632"/>
      <c r="Z154" s="632"/>
      <c r="AA154" s="632"/>
      <c r="AB154" s="344"/>
    </row>
    <row r="155" spans="1:28" ht="15" x14ac:dyDescent="0.25">
      <c r="A155" s="219"/>
      <c r="B155" s="897"/>
      <c r="C155" s="249"/>
      <c r="D155" s="632"/>
      <c r="E155" s="632"/>
      <c r="F155" s="632"/>
      <c r="G155" s="632"/>
      <c r="H155" s="302"/>
      <c r="I155" s="632"/>
      <c r="J155" s="632"/>
      <c r="K155" s="632"/>
      <c r="L155" s="632"/>
      <c r="M155" s="302"/>
      <c r="N155" s="842"/>
      <c r="O155" s="842"/>
      <c r="P155" s="842"/>
      <c r="Q155" s="842"/>
      <c r="R155" s="302"/>
      <c r="S155" s="632"/>
      <c r="T155" s="632"/>
      <c r="U155" s="632"/>
      <c r="V155" s="632"/>
      <c r="W155" s="302"/>
      <c r="X155" s="632"/>
      <c r="Y155" s="632"/>
      <c r="Z155" s="632"/>
      <c r="AA155" s="632"/>
      <c r="AB155" s="344"/>
    </row>
    <row r="156" spans="1:28" ht="15" x14ac:dyDescent="0.25">
      <c r="A156" s="219"/>
      <c r="B156" s="897"/>
      <c r="C156" s="249"/>
      <c r="D156" s="632"/>
      <c r="E156" s="632"/>
      <c r="F156" s="632"/>
      <c r="G156" s="632"/>
      <c r="H156" s="302"/>
      <c r="I156" s="632"/>
      <c r="J156" s="632"/>
      <c r="K156" s="632"/>
      <c r="L156" s="632"/>
      <c r="M156" s="302"/>
      <c r="N156" s="842"/>
      <c r="O156" s="842"/>
      <c r="P156" s="842"/>
      <c r="Q156" s="842"/>
      <c r="R156" s="302"/>
      <c r="S156" s="632"/>
      <c r="T156" s="632"/>
      <c r="U156" s="632"/>
      <c r="V156" s="632"/>
      <c r="W156" s="302"/>
      <c r="X156" s="632"/>
      <c r="Y156" s="632"/>
      <c r="Z156" s="632"/>
      <c r="AA156" s="632"/>
      <c r="AB156" s="344"/>
    </row>
    <row r="157" spans="1:28" ht="15" x14ac:dyDescent="0.25">
      <c r="A157" s="219"/>
      <c r="B157" s="897"/>
      <c r="C157" s="249"/>
      <c r="D157" s="632"/>
      <c r="E157" s="632"/>
      <c r="F157" s="632"/>
      <c r="G157" s="632"/>
      <c r="H157" s="302"/>
      <c r="I157" s="632"/>
      <c r="J157" s="632"/>
      <c r="K157" s="632"/>
      <c r="L157" s="632"/>
      <c r="M157" s="302"/>
      <c r="N157" s="842"/>
      <c r="O157" s="842"/>
      <c r="P157" s="842"/>
      <c r="Q157" s="842"/>
      <c r="R157" s="302"/>
      <c r="S157" s="632"/>
      <c r="T157" s="632"/>
      <c r="U157" s="632"/>
      <c r="V157" s="632"/>
      <c r="W157" s="302"/>
      <c r="X157" s="632"/>
      <c r="Y157" s="632"/>
      <c r="Z157" s="632"/>
      <c r="AA157" s="632"/>
      <c r="AB157" s="344"/>
    </row>
    <row r="158" spans="1:28" ht="13.5" customHeight="1" x14ac:dyDescent="0.25">
      <c r="A158" s="219"/>
      <c r="B158" s="897"/>
      <c r="C158" s="249"/>
      <c r="D158" s="632"/>
      <c r="E158" s="632"/>
      <c r="F158" s="632"/>
      <c r="G158" s="632"/>
      <c r="H158" s="302"/>
      <c r="I158" s="632"/>
      <c r="J158" s="632"/>
      <c r="K158" s="632"/>
      <c r="L158" s="632"/>
      <c r="M158" s="302"/>
      <c r="N158" s="842"/>
      <c r="O158" s="842"/>
      <c r="P158" s="842"/>
      <c r="Q158" s="842"/>
      <c r="R158" s="302"/>
      <c r="S158" s="632"/>
      <c r="T158" s="632"/>
      <c r="U158" s="632"/>
      <c r="V158" s="632"/>
      <c r="W158" s="302"/>
      <c r="X158" s="632"/>
      <c r="Y158" s="632"/>
      <c r="Z158" s="632"/>
      <c r="AA158" s="632"/>
      <c r="AB158" s="344"/>
    </row>
    <row r="159" spans="1:28" ht="15" x14ac:dyDescent="0.25">
      <c r="A159" s="219"/>
      <c r="B159" s="897"/>
      <c r="C159" s="249"/>
      <c r="D159" s="632"/>
      <c r="E159" s="632"/>
      <c r="F159" s="632"/>
      <c r="G159" s="632"/>
      <c r="H159" s="302"/>
      <c r="I159" s="632"/>
      <c r="J159" s="632"/>
      <c r="K159" s="632"/>
      <c r="L159" s="632"/>
      <c r="M159" s="302"/>
      <c r="N159" s="842"/>
      <c r="O159" s="842"/>
      <c r="P159" s="842"/>
      <c r="Q159" s="842"/>
      <c r="R159" s="302"/>
      <c r="S159" s="632"/>
      <c r="T159" s="632"/>
      <c r="U159" s="632"/>
      <c r="V159" s="632"/>
      <c r="W159" s="302"/>
      <c r="X159" s="632"/>
      <c r="Y159" s="632"/>
      <c r="Z159" s="632"/>
      <c r="AA159" s="632"/>
      <c r="AB159" s="344"/>
    </row>
    <row r="160" spans="1:28" ht="15" x14ac:dyDescent="0.25">
      <c r="A160" s="219"/>
      <c r="B160" s="897"/>
      <c r="C160" s="228"/>
      <c r="D160" s="887" t="s">
        <v>252</v>
      </c>
      <c r="E160" s="888"/>
      <c r="F160" s="888"/>
      <c r="G160" s="892"/>
      <c r="H160" s="253"/>
      <c r="I160" s="812" t="s">
        <v>253</v>
      </c>
      <c r="J160" s="813"/>
      <c r="K160" s="813"/>
      <c r="L160" s="814"/>
      <c r="M160" s="253"/>
      <c r="N160" s="887" t="s">
        <v>254</v>
      </c>
      <c r="O160" s="888"/>
      <c r="P160" s="888"/>
      <c r="Q160" s="889"/>
      <c r="R160" s="302"/>
      <c r="S160" s="893" t="s">
        <v>255</v>
      </c>
      <c r="T160" s="888"/>
      <c r="U160" s="888"/>
      <c r="V160" s="892"/>
      <c r="W160" s="253"/>
      <c r="X160" s="887" t="s">
        <v>256</v>
      </c>
      <c r="Y160" s="888"/>
      <c r="Z160" s="888"/>
      <c r="AA160" s="892"/>
      <c r="AB160" s="221"/>
    </row>
    <row r="161" spans="1:28" ht="15" x14ac:dyDescent="0.25">
      <c r="A161" s="219"/>
      <c r="B161" s="897"/>
      <c r="C161" s="228"/>
      <c r="D161" s="601" t="s">
        <v>399</v>
      </c>
      <c r="E161" s="602"/>
      <c r="F161" s="602"/>
      <c r="G161" s="605"/>
      <c r="H161" s="303"/>
      <c r="I161" s="815" t="s">
        <v>400</v>
      </c>
      <c r="J161" s="816"/>
      <c r="K161" s="816"/>
      <c r="L161" s="817"/>
      <c r="M161" s="303"/>
      <c r="N161" s="894" t="s">
        <v>401</v>
      </c>
      <c r="O161" s="894"/>
      <c r="P161" s="800"/>
      <c r="Q161" s="800"/>
      <c r="R161" s="303"/>
      <c r="S161" s="894" t="s">
        <v>402</v>
      </c>
      <c r="T161" s="894"/>
      <c r="U161" s="800"/>
      <c r="V161" s="800"/>
      <c r="W161" s="303"/>
      <c r="X161" s="815" t="s">
        <v>508</v>
      </c>
      <c r="Y161" s="816"/>
      <c r="Z161" s="816"/>
      <c r="AA161" s="817"/>
      <c r="AB161" s="224"/>
    </row>
    <row r="162" spans="1:28" ht="15.75" thickBot="1" x14ac:dyDescent="0.3">
      <c r="A162" s="219"/>
      <c r="B162" s="897"/>
      <c r="C162" s="245"/>
      <c r="D162" s="638" t="s">
        <v>618</v>
      </c>
      <c r="E162" s="639"/>
      <c r="F162" s="659"/>
      <c r="G162" s="660"/>
      <c r="H162" s="261"/>
      <c r="I162" s="638" t="s">
        <v>619</v>
      </c>
      <c r="J162" s="639"/>
      <c r="K162" s="659"/>
      <c r="L162" s="660"/>
      <c r="M162" s="261"/>
      <c r="N162" s="638" t="s">
        <v>620</v>
      </c>
      <c r="O162" s="639"/>
      <c r="P162" s="659"/>
      <c r="Q162" s="660"/>
      <c r="R162" s="261"/>
      <c r="S162" s="638" t="s">
        <v>623</v>
      </c>
      <c r="T162" s="639"/>
      <c r="U162" s="659"/>
      <c r="V162" s="660"/>
      <c r="W162" s="261"/>
      <c r="X162" s="638" t="s">
        <v>624</v>
      </c>
      <c r="Y162" s="639"/>
      <c r="Z162" s="659"/>
      <c r="AA162" s="660"/>
      <c r="AB162" s="247"/>
    </row>
    <row r="163" spans="1:28" s="173" customFormat="1" ht="16.149999999999999" customHeight="1" thickBot="1" x14ac:dyDescent="0.3">
      <c r="A163" s="220"/>
      <c r="B163" s="897"/>
      <c r="C163" s="228"/>
      <c r="D163" s="799">
        <f>(D107*2)+D396+I396</f>
        <v>2.0499999999999998</v>
      </c>
      <c r="E163" s="629"/>
      <c r="F163" s="644">
        <v>0</v>
      </c>
      <c r="G163" s="791"/>
      <c r="H163" s="253"/>
      <c r="I163" s="806">
        <v>2.1</v>
      </c>
      <c r="J163" s="807"/>
      <c r="K163" s="644">
        <v>0</v>
      </c>
      <c r="L163" s="791"/>
      <c r="M163" s="253"/>
      <c r="N163" s="799">
        <f>(N107*2)+D396+I396</f>
        <v>1.33</v>
      </c>
      <c r="O163" s="629"/>
      <c r="P163" s="644">
        <v>0</v>
      </c>
      <c r="Q163" s="791"/>
      <c r="R163" s="253"/>
      <c r="S163" s="799">
        <f>(D97*4)+(S107*2)+(D396*4)+(I396*4)</f>
        <v>4.4000000000000004</v>
      </c>
      <c r="T163" s="629"/>
      <c r="U163" s="644">
        <v>0</v>
      </c>
      <c r="V163" s="791"/>
      <c r="W163" s="253"/>
      <c r="X163" s="806">
        <f>X107+D117+N396+I396</f>
        <v>1.7600000000000002</v>
      </c>
      <c r="Y163" s="807"/>
      <c r="Z163" s="644">
        <v>0</v>
      </c>
      <c r="AA163" s="791"/>
      <c r="AB163" s="221"/>
    </row>
    <row r="164" spans="1:28" ht="10.15" customHeight="1" x14ac:dyDescent="0.25">
      <c r="A164" s="219"/>
      <c r="B164" s="897"/>
      <c r="C164" s="228"/>
      <c r="D164" s="305"/>
      <c r="E164" s="305"/>
      <c r="F164" s="306"/>
      <c r="G164" s="306"/>
      <c r="H164" s="253"/>
      <c r="I164" s="305"/>
      <c r="J164" s="305"/>
      <c r="K164" s="306"/>
      <c r="L164" s="306"/>
      <c r="M164" s="253"/>
      <c r="N164" s="305"/>
      <c r="O164" s="305"/>
      <c r="P164" s="306"/>
      <c r="Q164" s="306"/>
      <c r="R164" s="253"/>
      <c r="S164" s="287"/>
      <c r="T164" s="287"/>
      <c r="U164" s="301"/>
      <c r="V164" s="301"/>
      <c r="W164" s="253"/>
      <c r="X164" s="287"/>
      <c r="Y164" s="287"/>
      <c r="Z164" s="301"/>
      <c r="AA164" s="301"/>
      <c r="AB164" s="221"/>
    </row>
    <row r="165" spans="1:28" ht="15" x14ac:dyDescent="0.25">
      <c r="A165" s="219"/>
      <c r="B165" s="897"/>
      <c r="C165" s="249"/>
      <c r="D165" s="842"/>
      <c r="E165" s="842"/>
      <c r="F165" s="842"/>
      <c r="G165" s="842"/>
      <c r="H165" s="302"/>
      <c r="I165" s="632"/>
      <c r="J165" s="632"/>
      <c r="K165" s="632"/>
      <c r="L165" s="632"/>
      <c r="M165" s="302"/>
      <c r="N165" s="842"/>
      <c r="O165" s="842"/>
      <c r="P165" s="842"/>
      <c r="Q165" s="842"/>
      <c r="R165" s="294"/>
      <c r="S165" s="838"/>
      <c r="T165" s="839"/>
      <c r="U165" s="839"/>
      <c r="V165" s="840"/>
      <c r="W165" s="253"/>
      <c r="X165" s="611"/>
      <c r="Y165" s="611"/>
      <c r="Z165" s="611"/>
      <c r="AA165" s="611"/>
      <c r="AB165" s="221"/>
    </row>
    <row r="166" spans="1:28" ht="15" x14ac:dyDescent="0.25">
      <c r="A166" s="219"/>
      <c r="B166" s="897"/>
      <c r="C166" s="249"/>
      <c r="D166" s="842"/>
      <c r="E166" s="842"/>
      <c r="F166" s="842"/>
      <c r="G166" s="842"/>
      <c r="H166" s="302"/>
      <c r="I166" s="632"/>
      <c r="J166" s="632"/>
      <c r="K166" s="632"/>
      <c r="L166" s="632"/>
      <c r="M166" s="302"/>
      <c r="N166" s="842"/>
      <c r="O166" s="842"/>
      <c r="P166" s="842"/>
      <c r="Q166" s="842"/>
      <c r="R166" s="294"/>
      <c r="S166" s="841"/>
      <c r="T166" s="842"/>
      <c r="U166" s="842"/>
      <c r="V166" s="843"/>
      <c r="W166" s="253"/>
      <c r="X166" s="611"/>
      <c r="Y166" s="611"/>
      <c r="Z166" s="611"/>
      <c r="AA166" s="611"/>
      <c r="AB166" s="221"/>
    </row>
    <row r="167" spans="1:28" ht="15" x14ac:dyDescent="0.25">
      <c r="A167" s="219"/>
      <c r="B167" s="897"/>
      <c r="C167" s="249"/>
      <c r="D167" s="842"/>
      <c r="E167" s="842"/>
      <c r="F167" s="842"/>
      <c r="G167" s="842"/>
      <c r="H167" s="302"/>
      <c r="I167" s="632"/>
      <c r="J167" s="632"/>
      <c r="K167" s="632"/>
      <c r="L167" s="632"/>
      <c r="M167" s="302"/>
      <c r="N167" s="842"/>
      <c r="O167" s="842"/>
      <c r="P167" s="842"/>
      <c r="Q167" s="842"/>
      <c r="R167" s="294"/>
      <c r="S167" s="841"/>
      <c r="T167" s="842"/>
      <c r="U167" s="842"/>
      <c r="V167" s="843"/>
      <c r="W167" s="253"/>
      <c r="X167" s="611"/>
      <c r="Y167" s="611"/>
      <c r="Z167" s="611"/>
      <c r="AA167" s="611"/>
      <c r="AB167" s="221"/>
    </row>
    <row r="168" spans="1:28" ht="12" customHeight="1" x14ac:dyDescent="0.25">
      <c r="A168" s="219"/>
      <c r="B168" s="897"/>
      <c r="C168" s="249"/>
      <c r="D168" s="842"/>
      <c r="E168" s="842"/>
      <c r="F168" s="842"/>
      <c r="G168" s="842"/>
      <c r="H168" s="302"/>
      <c r="I168" s="632"/>
      <c r="J168" s="632"/>
      <c r="K168" s="632"/>
      <c r="L168" s="632"/>
      <c r="M168" s="302"/>
      <c r="N168" s="842"/>
      <c r="O168" s="842"/>
      <c r="P168" s="842"/>
      <c r="Q168" s="842"/>
      <c r="R168" s="294"/>
      <c r="S168" s="841"/>
      <c r="T168" s="842"/>
      <c r="U168" s="842"/>
      <c r="V168" s="843"/>
      <c r="W168" s="253"/>
      <c r="X168" s="278"/>
      <c r="Y168" s="278"/>
      <c r="Z168" s="278"/>
      <c r="AA168" s="278"/>
      <c r="AB168" s="221"/>
    </row>
    <row r="169" spans="1:28" ht="15" x14ac:dyDescent="0.25">
      <c r="A169" s="219"/>
      <c r="B169" s="897"/>
      <c r="C169" s="249"/>
      <c r="D169" s="842"/>
      <c r="E169" s="842"/>
      <c r="F169" s="842"/>
      <c r="G169" s="842"/>
      <c r="H169" s="302"/>
      <c r="I169" s="632"/>
      <c r="J169" s="632"/>
      <c r="K169" s="632"/>
      <c r="L169" s="632"/>
      <c r="M169" s="302"/>
      <c r="N169" s="842"/>
      <c r="O169" s="842"/>
      <c r="P169" s="842"/>
      <c r="Q169" s="842"/>
      <c r="R169" s="294"/>
      <c r="S169" s="841"/>
      <c r="T169" s="842"/>
      <c r="U169" s="842"/>
      <c r="V169" s="843"/>
      <c r="W169" s="253"/>
      <c r="X169" s="611"/>
      <c r="Y169" s="611"/>
      <c r="Z169" s="611"/>
      <c r="AA169" s="611"/>
      <c r="AB169" s="221"/>
    </row>
    <row r="170" spans="1:28" ht="15" x14ac:dyDescent="0.25">
      <c r="A170" s="219"/>
      <c r="B170" s="897"/>
      <c r="C170" s="249"/>
      <c r="D170" s="842"/>
      <c r="E170" s="842"/>
      <c r="F170" s="842"/>
      <c r="G170" s="842"/>
      <c r="H170" s="302"/>
      <c r="I170" s="632"/>
      <c r="J170" s="632"/>
      <c r="K170" s="632"/>
      <c r="L170" s="632"/>
      <c r="M170" s="302"/>
      <c r="N170" s="842"/>
      <c r="O170" s="842"/>
      <c r="P170" s="842"/>
      <c r="Q170" s="842"/>
      <c r="R170" s="294"/>
      <c r="S170" s="844"/>
      <c r="T170" s="845"/>
      <c r="U170" s="845"/>
      <c r="V170" s="846"/>
      <c r="W170" s="253"/>
      <c r="X170" s="611"/>
      <c r="Y170" s="611"/>
      <c r="Z170" s="611"/>
      <c r="AA170" s="611"/>
      <c r="AB170" s="221"/>
    </row>
    <row r="171" spans="1:28" ht="15" x14ac:dyDescent="0.25">
      <c r="A171" s="219"/>
      <c r="B171" s="897"/>
      <c r="C171" s="228"/>
      <c r="D171" s="887" t="s">
        <v>257</v>
      </c>
      <c r="E171" s="888"/>
      <c r="F171" s="888"/>
      <c r="G171" s="892"/>
      <c r="H171" s="253"/>
      <c r="I171" s="887" t="s">
        <v>897</v>
      </c>
      <c r="J171" s="888"/>
      <c r="K171" s="888"/>
      <c r="L171" s="892"/>
      <c r="M171" s="253"/>
      <c r="N171" s="812" t="s">
        <v>896</v>
      </c>
      <c r="O171" s="813"/>
      <c r="P171" s="813"/>
      <c r="Q171" s="814"/>
      <c r="R171" s="253"/>
      <c r="S171" s="812" t="s">
        <v>290</v>
      </c>
      <c r="T171" s="813"/>
      <c r="U171" s="813"/>
      <c r="V171" s="814"/>
      <c r="W171" s="253"/>
      <c r="X171" s="630"/>
      <c r="Y171" s="630"/>
      <c r="Z171" s="630"/>
      <c r="AA171" s="630"/>
      <c r="AB171" s="221"/>
    </row>
    <row r="172" spans="1:28" ht="13.5" customHeight="1" x14ac:dyDescent="0.25">
      <c r="A172" s="219"/>
      <c r="B172" s="897"/>
      <c r="C172" s="245"/>
      <c r="D172" s="657" t="s">
        <v>403</v>
      </c>
      <c r="E172" s="657"/>
      <c r="F172" s="658"/>
      <c r="G172" s="658"/>
      <c r="H172" s="266"/>
      <c r="I172" s="657" t="s">
        <v>898</v>
      </c>
      <c r="J172" s="657"/>
      <c r="K172" s="658"/>
      <c r="L172" s="658"/>
      <c r="M172" s="266"/>
      <c r="N172" s="898" t="s">
        <v>900</v>
      </c>
      <c r="O172" s="899"/>
      <c r="P172" s="899"/>
      <c r="Q172" s="900"/>
      <c r="R172" s="266"/>
      <c r="S172" s="801" t="s">
        <v>404</v>
      </c>
      <c r="T172" s="802"/>
      <c r="U172" s="802"/>
      <c r="V172" s="803"/>
      <c r="W172" s="266"/>
      <c r="X172" s="847"/>
      <c r="Y172" s="847"/>
      <c r="Z172" s="847"/>
      <c r="AA172" s="847"/>
      <c r="AB172" s="224"/>
    </row>
    <row r="173" spans="1:28" ht="13.5" customHeight="1" thickBot="1" x14ac:dyDescent="0.3">
      <c r="A173" s="219"/>
      <c r="B173" s="897"/>
      <c r="C173" s="245"/>
      <c r="D173" s="638" t="s">
        <v>636</v>
      </c>
      <c r="E173" s="639"/>
      <c r="F173" s="659"/>
      <c r="G173" s="660"/>
      <c r="H173" s="261"/>
      <c r="I173" s="638" t="s">
        <v>899</v>
      </c>
      <c r="J173" s="639"/>
      <c r="K173" s="659"/>
      <c r="L173" s="660"/>
      <c r="M173" s="261"/>
      <c r="N173" s="638" t="s">
        <v>901</v>
      </c>
      <c r="O173" s="639"/>
      <c r="P173" s="659"/>
      <c r="Q173" s="660"/>
      <c r="R173" s="261"/>
      <c r="S173" s="638" t="s">
        <v>637</v>
      </c>
      <c r="T173" s="639"/>
      <c r="U173" s="659"/>
      <c r="V173" s="660"/>
      <c r="W173" s="261"/>
      <c r="X173" s="847"/>
      <c r="Y173" s="847"/>
      <c r="Z173" s="847"/>
      <c r="AA173" s="847"/>
      <c r="AB173" s="247"/>
    </row>
    <row r="174" spans="1:28" s="173" customFormat="1" ht="16.149999999999999" customHeight="1" thickBot="1" x14ac:dyDescent="0.3">
      <c r="A174" s="220"/>
      <c r="B174" s="897"/>
      <c r="C174" s="228"/>
      <c r="D174" s="799">
        <f>I117+N117+D396+I396</f>
        <v>1.7500000000000002</v>
      </c>
      <c r="E174" s="629"/>
      <c r="F174" s="644">
        <v>0</v>
      </c>
      <c r="G174" s="791"/>
      <c r="H174" s="253"/>
      <c r="I174" s="799">
        <v>2.2999999999999998</v>
      </c>
      <c r="J174" s="629"/>
      <c r="K174" s="644">
        <v>0</v>
      </c>
      <c r="L174" s="791"/>
      <c r="M174" s="253"/>
      <c r="N174" s="806">
        <v>2.4500000000000002</v>
      </c>
      <c r="O174" s="807"/>
      <c r="P174" s="644">
        <v>0</v>
      </c>
      <c r="Q174" s="791"/>
      <c r="R174" s="253"/>
      <c r="S174" s="806">
        <v>1.9</v>
      </c>
      <c r="T174" s="807"/>
      <c r="U174" s="644">
        <v>0</v>
      </c>
      <c r="V174" s="791"/>
      <c r="W174" s="253"/>
      <c r="X174" s="890"/>
      <c r="Y174" s="890"/>
      <c r="Z174" s="672"/>
      <c r="AA174" s="672"/>
      <c r="AB174" s="221"/>
    </row>
    <row r="175" spans="1:28" ht="27" customHeight="1" x14ac:dyDescent="0.2">
      <c r="A175" s="219"/>
      <c r="B175" s="587"/>
      <c r="C175" s="587"/>
      <c r="D175" s="588"/>
      <c r="E175" s="588"/>
      <c r="F175" s="589"/>
      <c r="G175" s="589"/>
      <c r="H175" s="583"/>
      <c r="I175" s="588"/>
      <c r="J175" s="588"/>
      <c r="K175" s="589"/>
      <c r="L175" s="589"/>
      <c r="M175" s="583"/>
      <c r="N175" s="588"/>
      <c r="O175" s="588"/>
      <c r="P175" s="589"/>
      <c r="Q175" s="589"/>
      <c r="R175" s="583"/>
      <c r="S175" s="588"/>
      <c r="T175" s="588"/>
      <c r="U175" s="589"/>
      <c r="V175" s="589"/>
      <c r="W175" s="583"/>
      <c r="X175" s="588"/>
      <c r="Y175" s="588"/>
      <c r="Z175" s="589"/>
      <c r="AA175" s="589"/>
      <c r="AB175" s="578"/>
    </row>
    <row r="176" spans="1:28" s="167" customFormat="1" ht="27" customHeight="1" x14ac:dyDescent="0.3">
      <c r="A176" s="374"/>
      <c r="B176" s="233"/>
      <c r="C176" s="233"/>
      <c r="D176" s="769" t="s">
        <v>592</v>
      </c>
      <c r="E176" s="769"/>
      <c r="F176" s="769"/>
      <c r="G176" s="769"/>
      <c r="H176" s="769"/>
      <c r="I176" s="769"/>
      <c r="J176" s="769"/>
      <c r="K176" s="769"/>
      <c r="L176" s="769"/>
      <c r="M176" s="769"/>
      <c r="N176" s="769"/>
      <c r="O176" s="769"/>
      <c r="P176" s="769"/>
      <c r="Q176" s="769"/>
      <c r="R176" s="769"/>
      <c r="S176" s="769"/>
      <c r="T176" s="769"/>
      <c r="U176" s="769"/>
      <c r="V176" s="769"/>
      <c r="W176" s="769"/>
      <c r="X176" s="769"/>
      <c r="Y176" s="769"/>
      <c r="Z176" s="769"/>
      <c r="AA176" s="769"/>
      <c r="AB176" s="233"/>
    </row>
    <row r="177" spans="1:28" s="167" customFormat="1" ht="27" customHeight="1" x14ac:dyDescent="0.3">
      <c r="A177" s="374"/>
      <c r="B177" s="219"/>
      <c r="C177" s="219"/>
      <c r="D177" s="287"/>
      <c r="E177" s="287"/>
      <c r="F177" s="301"/>
      <c r="G177" s="301"/>
      <c r="H177" s="253"/>
      <c r="I177" s="287"/>
      <c r="J177" s="287"/>
      <c r="K177" s="301"/>
      <c r="L177" s="301"/>
      <c r="M177" s="253"/>
      <c r="N177" s="287"/>
      <c r="O177" s="287"/>
      <c r="P177" s="301"/>
      <c r="Q177" s="301"/>
      <c r="R177" s="253"/>
      <c r="S177" s="287"/>
      <c r="T177" s="287"/>
      <c r="U177" s="301"/>
      <c r="V177" s="301"/>
      <c r="W177" s="253"/>
      <c r="X177" s="287"/>
      <c r="Y177" s="287"/>
      <c r="Z177" s="301"/>
      <c r="AA177" s="301"/>
      <c r="AB177" s="219"/>
    </row>
    <row r="178" spans="1:28" ht="14.25" x14ac:dyDescent="0.2">
      <c r="A178" s="219"/>
      <c r="B178" s="219"/>
      <c r="C178" s="219"/>
      <c r="D178" s="616"/>
      <c r="E178" s="617"/>
      <c r="F178" s="617"/>
      <c r="G178" s="618"/>
      <c r="H178" s="253"/>
      <c r="I178" s="616"/>
      <c r="J178" s="617"/>
      <c r="K178" s="617"/>
      <c r="L178" s="618"/>
      <c r="M178" s="253"/>
      <c r="N178" s="616"/>
      <c r="O178" s="617"/>
      <c r="P178" s="617"/>
      <c r="Q178" s="618"/>
      <c r="R178" s="253"/>
      <c r="S178" s="616"/>
      <c r="T178" s="617"/>
      <c r="U178" s="617"/>
      <c r="V178" s="618"/>
      <c r="W178" s="253"/>
      <c r="X178" s="616"/>
      <c r="Y178" s="617"/>
      <c r="Z178" s="617"/>
      <c r="AA178" s="618"/>
      <c r="AB178" s="219"/>
    </row>
    <row r="179" spans="1:28" ht="12" customHeight="1" x14ac:dyDescent="0.2">
      <c r="A179" s="219"/>
      <c r="B179" s="219"/>
      <c r="C179" s="219"/>
      <c r="D179" s="631"/>
      <c r="E179" s="632"/>
      <c r="F179" s="632"/>
      <c r="G179" s="633"/>
      <c r="H179" s="253"/>
      <c r="I179" s="631"/>
      <c r="J179" s="632"/>
      <c r="K179" s="632"/>
      <c r="L179" s="633"/>
      <c r="M179" s="253"/>
      <c r="N179" s="631"/>
      <c r="O179" s="632"/>
      <c r="P179" s="632"/>
      <c r="Q179" s="633"/>
      <c r="R179" s="253"/>
      <c r="S179" s="631"/>
      <c r="T179" s="632"/>
      <c r="U179" s="632"/>
      <c r="V179" s="633"/>
      <c r="W179" s="253"/>
      <c r="X179" s="631"/>
      <c r="Y179" s="632"/>
      <c r="Z179" s="632"/>
      <c r="AA179" s="633"/>
      <c r="AB179" s="219"/>
    </row>
    <row r="180" spans="1:28" ht="13.5" customHeight="1" x14ac:dyDescent="0.2">
      <c r="A180" s="219"/>
      <c r="B180" s="219"/>
      <c r="C180" s="219"/>
      <c r="D180" s="272"/>
      <c r="E180" s="273"/>
      <c r="F180" s="273"/>
      <c r="G180" s="274"/>
      <c r="H180" s="253"/>
      <c r="I180" s="272"/>
      <c r="J180" s="273"/>
      <c r="K180" s="273"/>
      <c r="L180" s="274"/>
      <c r="M180" s="253"/>
      <c r="N180" s="272"/>
      <c r="O180" s="273"/>
      <c r="P180" s="273"/>
      <c r="Q180" s="274"/>
      <c r="R180" s="253"/>
      <c r="S180" s="272"/>
      <c r="T180" s="273"/>
      <c r="U180" s="273"/>
      <c r="V180" s="274"/>
      <c r="W180" s="253"/>
      <c r="X180" s="272"/>
      <c r="Y180" s="273"/>
      <c r="Z180" s="273"/>
      <c r="AA180" s="274"/>
      <c r="AB180" s="219"/>
    </row>
    <row r="181" spans="1:28" ht="13.5" customHeight="1" x14ac:dyDescent="0.2">
      <c r="A181" s="219"/>
      <c r="B181" s="219"/>
      <c r="C181" s="219"/>
      <c r="D181" s="631"/>
      <c r="E181" s="632"/>
      <c r="F181" s="632"/>
      <c r="G181" s="633"/>
      <c r="H181" s="253"/>
      <c r="I181" s="631"/>
      <c r="J181" s="632"/>
      <c r="K181" s="632"/>
      <c r="L181" s="633"/>
      <c r="M181" s="253"/>
      <c r="N181" s="631"/>
      <c r="O181" s="632"/>
      <c r="P181" s="632"/>
      <c r="Q181" s="633"/>
      <c r="R181" s="253"/>
      <c r="S181" s="631"/>
      <c r="T181" s="632"/>
      <c r="U181" s="632"/>
      <c r="V181" s="633"/>
      <c r="W181" s="253"/>
      <c r="X181" s="631"/>
      <c r="Y181" s="632"/>
      <c r="Z181" s="632"/>
      <c r="AA181" s="633"/>
      <c r="AB181" s="219"/>
    </row>
    <row r="182" spans="1:28" ht="13.5" customHeight="1" x14ac:dyDescent="0.2">
      <c r="A182" s="219"/>
      <c r="B182" s="219"/>
      <c r="C182" s="219"/>
      <c r="D182" s="631"/>
      <c r="E182" s="632"/>
      <c r="F182" s="632"/>
      <c r="G182" s="633"/>
      <c r="H182" s="253"/>
      <c r="I182" s="631"/>
      <c r="J182" s="632"/>
      <c r="K182" s="632"/>
      <c r="L182" s="633"/>
      <c r="M182" s="253"/>
      <c r="N182" s="631"/>
      <c r="O182" s="632"/>
      <c r="P182" s="632"/>
      <c r="Q182" s="633"/>
      <c r="R182" s="253"/>
      <c r="S182" s="631"/>
      <c r="T182" s="632"/>
      <c r="U182" s="632"/>
      <c r="V182" s="633"/>
      <c r="W182" s="253"/>
      <c r="X182" s="631"/>
      <c r="Y182" s="632"/>
      <c r="Z182" s="632"/>
      <c r="AA182" s="633"/>
      <c r="AB182" s="219"/>
    </row>
    <row r="183" spans="1:28" ht="13.5" customHeight="1" x14ac:dyDescent="0.2">
      <c r="A183" s="219"/>
      <c r="B183" s="219"/>
      <c r="C183" s="219"/>
      <c r="D183" s="631"/>
      <c r="E183" s="632"/>
      <c r="F183" s="632"/>
      <c r="G183" s="633"/>
      <c r="H183" s="253"/>
      <c r="I183" s="631"/>
      <c r="J183" s="632"/>
      <c r="K183" s="632"/>
      <c r="L183" s="633"/>
      <c r="M183" s="253"/>
      <c r="N183" s="631"/>
      <c r="O183" s="632"/>
      <c r="P183" s="632"/>
      <c r="Q183" s="633"/>
      <c r="R183" s="253"/>
      <c r="S183" s="631"/>
      <c r="T183" s="632"/>
      <c r="U183" s="632"/>
      <c r="V183" s="633"/>
      <c r="W183" s="253"/>
      <c r="X183" s="631"/>
      <c r="Y183" s="632"/>
      <c r="Z183" s="632"/>
      <c r="AA183" s="633"/>
      <c r="AB183" s="219"/>
    </row>
    <row r="184" spans="1:28" ht="13.5" customHeight="1" x14ac:dyDescent="0.25">
      <c r="A184" s="219"/>
      <c r="B184" s="219"/>
      <c r="C184" s="219"/>
      <c r="D184" s="650" t="s">
        <v>296</v>
      </c>
      <c r="E184" s="651"/>
      <c r="F184" s="651"/>
      <c r="G184" s="652"/>
      <c r="H184" s="253"/>
      <c r="I184" s="650" t="s">
        <v>297</v>
      </c>
      <c r="J184" s="651"/>
      <c r="K184" s="651"/>
      <c r="L184" s="652"/>
      <c r="M184" s="253"/>
      <c r="N184" s="650" t="s">
        <v>298</v>
      </c>
      <c r="O184" s="651"/>
      <c r="P184" s="651"/>
      <c r="Q184" s="652"/>
      <c r="R184" s="253"/>
      <c r="S184" s="650" t="s">
        <v>299</v>
      </c>
      <c r="T184" s="651"/>
      <c r="U184" s="651"/>
      <c r="V184" s="652"/>
      <c r="W184" s="253"/>
      <c r="X184" s="650" t="s">
        <v>300</v>
      </c>
      <c r="Y184" s="651"/>
      <c r="Z184" s="651"/>
      <c r="AA184" s="652"/>
      <c r="AB184" s="219"/>
    </row>
    <row r="185" spans="1:28" ht="16.149999999999999" customHeight="1" x14ac:dyDescent="0.25">
      <c r="A185" s="219"/>
      <c r="B185" s="221"/>
      <c r="C185" s="221"/>
      <c r="D185" s="653">
        <v>0.72</v>
      </c>
      <c r="E185" s="654"/>
      <c r="F185" s="642">
        <v>0</v>
      </c>
      <c r="G185" s="643"/>
      <c r="H185" s="253"/>
      <c r="I185" s="653">
        <v>1.1499999999999999</v>
      </c>
      <c r="J185" s="654"/>
      <c r="K185" s="642">
        <v>0</v>
      </c>
      <c r="L185" s="643"/>
      <c r="M185" s="253"/>
      <c r="N185" s="653">
        <v>1.2</v>
      </c>
      <c r="O185" s="654"/>
      <c r="P185" s="642">
        <v>0</v>
      </c>
      <c r="Q185" s="643"/>
      <c r="R185" s="253"/>
      <c r="S185" s="653">
        <v>1.07</v>
      </c>
      <c r="T185" s="654"/>
      <c r="U185" s="642">
        <v>0</v>
      </c>
      <c r="V185" s="643"/>
      <c r="W185" s="253"/>
      <c r="X185" s="653">
        <v>0.7</v>
      </c>
      <c r="Y185" s="654"/>
      <c r="Z185" s="642">
        <v>0</v>
      </c>
      <c r="AA185" s="643"/>
      <c r="AB185" s="221"/>
    </row>
    <row r="186" spans="1:28" s="386" customFormat="1" ht="16.149999999999999" customHeight="1" x14ac:dyDescent="0.2">
      <c r="A186" s="384"/>
      <c r="B186" s="456"/>
      <c r="C186" s="456"/>
      <c r="D186" s="486">
        <f>D185*G186</f>
        <v>162</v>
      </c>
      <c r="E186" s="450"/>
      <c r="F186" s="457" t="s">
        <v>293</v>
      </c>
      <c r="G186" s="458">
        <v>225</v>
      </c>
      <c r="H186" s="449"/>
      <c r="I186" s="486">
        <f>I185*L186</f>
        <v>172.5</v>
      </c>
      <c r="J186" s="450"/>
      <c r="K186" s="457" t="s">
        <v>293</v>
      </c>
      <c r="L186" s="458">
        <v>150</v>
      </c>
      <c r="M186" s="449"/>
      <c r="N186" s="486">
        <f>N185*Q186</f>
        <v>72</v>
      </c>
      <c r="O186" s="450"/>
      <c r="P186" s="457" t="s">
        <v>293</v>
      </c>
      <c r="Q186" s="458">
        <v>60</v>
      </c>
      <c r="R186" s="449"/>
      <c r="S186" s="486">
        <f>S185*V186</f>
        <v>160.5</v>
      </c>
      <c r="T186" s="450"/>
      <c r="U186" s="457" t="s">
        <v>293</v>
      </c>
      <c r="V186" s="458">
        <v>150</v>
      </c>
      <c r="W186" s="449"/>
      <c r="X186" s="486">
        <f>X185*AA186</f>
        <v>157.5</v>
      </c>
      <c r="Y186" s="450"/>
      <c r="Z186" s="457" t="s">
        <v>293</v>
      </c>
      <c r="AA186" s="458">
        <v>225</v>
      </c>
      <c r="AB186" s="456"/>
    </row>
    <row r="187" spans="1:28" s="169" customFormat="1" ht="10.15" customHeight="1" x14ac:dyDescent="0.2">
      <c r="A187" s="226"/>
      <c r="B187" s="220"/>
      <c r="C187" s="220"/>
      <c r="D187" s="275"/>
      <c r="E187" s="275"/>
      <c r="F187" s="281"/>
      <c r="G187" s="277"/>
      <c r="H187" s="253"/>
      <c r="I187" s="275"/>
      <c r="J187" s="275"/>
      <c r="K187" s="281"/>
      <c r="L187" s="277"/>
      <c r="M187" s="253"/>
      <c r="N187" s="275"/>
      <c r="O187" s="275"/>
      <c r="P187" s="281"/>
      <c r="Q187" s="277"/>
      <c r="R187" s="253"/>
      <c r="S187" s="275"/>
      <c r="T187" s="275"/>
      <c r="U187" s="281"/>
      <c r="V187" s="277"/>
      <c r="W187" s="253"/>
      <c r="X187" s="275"/>
      <c r="Y187" s="275"/>
      <c r="Z187" s="281"/>
      <c r="AA187" s="277"/>
      <c r="AB187" s="220"/>
    </row>
    <row r="188" spans="1:28" s="171" customFormat="1" ht="14.65" customHeight="1" x14ac:dyDescent="0.2">
      <c r="A188" s="376"/>
      <c r="B188" s="219"/>
      <c r="C188" s="219"/>
      <c r="D188" s="616"/>
      <c r="E188" s="617"/>
      <c r="F188" s="617"/>
      <c r="G188" s="618"/>
      <c r="H188" s="253"/>
      <c r="I188" s="616"/>
      <c r="J188" s="617"/>
      <c r="K188" s="617"/>
      <c r="L188" s="618"/>
      <c r="M188" s="253"/>
      <c r="N188" s="616"/>
      <c r="O188" s="617"/>
      <c r="P188" s="617"/>
      <c r="Q188" s="618"/>
      <c r="R188" s="253"/>
      <c r="S188" s="616"/>
      <c r="T188" s="617"/>
      <c r="U188" s="617"/>
      <c r="V188" s="618"/>
      <c r="W188" s="253"/>
      <c r="X188" s="616"/>
      <c r="Y188" s="617"/>
      <c r="Z188" s="617"/>
      <c r="AA188" s="618"/>
      <c r="AB188" s="219"/>
    </row>
    <row r="189" spans="1:28" ht="13.5" customHeight="1" x14ac:dyDescent="0.2">
      <c r="A189" s="219"/>
      <c r="B189" s="219"/>
      <c r="C189" s="219"/>
      <c r="D189" s="631"/>
      <c r="E189" s="632"/>
      <c r="F189" s="632"/>
      <c r="G189" s="633"/>
      <c r="H189" s="253"/>
      <c r="I189" s="631"/>
      <c r="J189" s="632"/>
      <c r="K189" s="632"/>
      <c r="L189" s="633"/>
      <c r="M189" s="253"/>
      <c r="N189" s="631"/>
      <c r="O189" s="632"/>
      <c r="P189" s="632"/>
      <c r="Q189" s="633"/>
      <c r="R189" s="253"/>
      <c r="S189" s="631"/>
      <c r="T189" s="632"/>
      <c r="U189" s="632"/>
      <c r="V189" s="633"/>
      <c r="W189" s="253"/>
      <c r="X189" s="631"/>
      <c r="Y189" s="632"/>
      <c r="Z189" s="632"/>
      <c r="AA189" s="633"/>
      <c r="AB189" s="219"/>
    </row>
    <row r="190" spans="1:28" ht="13.5" customHeight="1" x14ac:dyDescent="0.2">
      <c r="A190" s="219"/>
      <c r="B190" s="219"/>
      <c r="C190" s="219"/>
      <c r="D190" s="272"/>
      <c r="E190" s="273"/>
      <c r="F190" s="273"/>
      <c r="G190" s="274"/>
      <c r="H190" s="253"/>
      <c r="I190" s="272"/>
      <c r="J190" s="273"/>
      <c r="K190" s="273"/>
      <c r="L190" s="274"/>
      <c r="M190" s="253"/>
      <c r="N190" s="272"/>
      <c r="O190" s="273"/>
      <c r="P190" s="273"/>
      <c r="Q190" s="274"/>
      <c r="R190" s="253"/>
      <c r="S190" s="272"/>
      <c r="T190" s="273"/>
      <c r="U190" s="273"/>
      <c r="V190" s="274"/>
      <c r="W190" s="253"/>
      <c r="X190" s="631"/>
      <c r="Y190" s="632"/>
      <c r="Z190" s="632"/>
      <c r="AA190" s="633"/>
      <c r="AB190" s="219"/>
    </row>
    <row r="191" spans="1:28" ht="14.25" x14ac:dyDescent="0.2">
      <c r="A191" s="219"/>
      <c r="B191" s="219"/>
      <c r="C191" s="219"/>
      <c r="D191" s="631"/>
      <c r="E191" s="632"/>
      <c r="F191" s="632"/>
      <c r="G191" s="633"/>
      <c r="H191" s="253"/>
      <c r="I191" s="631"/>
      <c r="J191" s="632"/>
      <c r="K191" s="632"/>
      <c r="L191" s="633"/>
      <c r="M191" s="253"/>
      <c r="N191" s="631"/>
      <c r="O191" s="632"/>
      <c r="P191" s="632"/>
      <c r="Q191" s="633"/>
      <c r="R191" s="253"/>
      <c r="S191" s="631"/>
      <c r="T191" s="632"/>
      <c r="U191" s="632"/>
      <c r="V191" s="633"/>
      <c r="W191" s="253"/>
      <c r="X191" s="631"/>
      <c r="Y191" s="632"/>
      <c r="Z191" s="632"/>
      <c r="AA191" s="633"/>
      <c r="AB191" s="219"/>
    </row>
    <row r="192" spans="1:28" ht="14.25" x14ac:dyDescent="0.2">
      <c r="A192" s="219"/>
      <c r="B192" s="219"/>
      <c r="C192" s="219"/>
      <c r="D192" s="631"/>
      <c r="E192" s="632"/>
      <c r="F192" s="632"/>
      <c r="G192" s="633"/>
      <c r="H192" s="253"/>
      <c r="I192" s="631"/>
      <c r="J192" s="632"/>
      <c r="K192" s="632"/>
      <c r="L192" s="633"/>
      <c r="M192" s="253"/>
      <c r="N192" s="631"/>
      <c r="O192" s="632"/>
      <c r="P192" s="632"/>
      <c r="Q192" s="633"/>
      <c r="R192" s="253"/>
      <c r="S192" s="631"/>
      <c r="T192" s="632"/>
      <c r="U192" s="632"/>
      <c r="V192" s="633"/>
      <c r="W192" s="253"/>
      <c r="X192" s="631"/>
      <c r="Y192" s="632"/>
      <c r="Z192" s="632"/>
      <c r="AA192" s="633"/>
      <c r="AB192" s="219"/>
    </row>
    <row r="193" spans="1:28" ht="14.25" x14ac:dyDescent="0.2">
      <c r="A193" s="219"/>
      <c r="B193" s="219"/>
      <c r="C193" s="219"/>
      <c r="D193" s="631"/>
      <c r="E193" s="632"/>
      <c r="F193" s="632"/>
      <c r="G193" s="633"/>
      <c r="H193" s="253"/>
      <c r="I193" s="631"/>
      <c r="J193" s="632"/>
      <c r="K193" s="632"/>
      <c r="L193" s="633"/>
      <c r="M193" s="253"/>
      <c r="N193" s="631"/>
      <c r="O193" s="632"/>
      <c r="P193" s="632"/>
      <c r="Q193" s="633"/>
      <c r="R193" s="253"/>
      <c r="S193" s="631"/>
      <c r="T193" s="632"/>
      <c r="U193" s="632"/>
      <c r="V193" s="633"/>
      <c r="W193" s="253"/>
      <c r="X193" s="631"/>
      <c r="Y193" s="632"/>
      <c r="Z193" s="632"/>
      <c r="AA193" s="633"/>
      <c r="AB193" s="219"/>
    </row>
    <row r="194" spans="1:28" ht="15" x14ac:dyDescent="0.25">
      <c r="A194" s="219"/>
      <c r="B194" s="219"/>
      <c r="C194" s="219"/>
      <c r="D194" s="650" t="s">
        <v>301</v>
      </c>
      <c r="E194" s="651"/>
      <c r="F194" s="651"/>
      <c r="G194" s="652"/>
      <c r="H194" s="253"/>
      <c r="I194" s="650" t="s">
        <v>567</v>
      </c>
      <c r="J194" s="651"/>
      <c r="K194" s="651"/>
      <c r="L194" s="652"/>
      <c r="M194" s="253"/>
      <c r="N194" s="650" t="s">
        <v>302</v>
      </c>
      <c r="O194" s="651"/>
      <c r="P194" s="651"/>
      <c r="Q194" s="652"/>
      <c r="R194" s="253"/>
      <c r="S194" s="835" t="s">
        <v>568</v>
      </c>
      <c r="T194" s="836"/>
      <c r="U194" s="836"/>
      <c r="V194" s="837"/>
      <c r="W194" s="253"/>
      <c r="X194" s="835" t="s">
        <v>589</v>
      </c>
      <c r="Y194" s="836"/>
      <c r="Z194" s="836"/>
      <c r="AA194" s="837"/>
      <c r="AB194" s="219"/>
    </row>
    <row r="195" spans="1:28" ht="16.149999999999999" customHeight="1" x14ac:dyDescent="0.25">
      <c r="A195" s="219"/>
      <c r="B195" s="219"/>
      <c r="C195" s="219"/>
      <c r="D195" s="653">
        <v>0.7</v>
      </c>
      <c r="E195" s="654"/>
      <c r="F195" s="642">
        <v>0</v>
      </c>
      <c r="G195" s="643"/>
      <c r="H195" s="253"/>
      <c r="I195" s="653">
        <v>0.95</v>
      </c>
      <c r="J195" s="654"/>
      <c r="K195" s="642">
        <v>0</v>
      </c>
      <c r="L195" s="643"/>
      <c r="M195" s="253"/>
      <c r="N195" s="653">
        <v>0.76</v>
      </c>
      <c r="O195" s="654"/>
      <c r="P195" s="642">
        <v>0</v>
      </c>
      <c r="Q195" s="643"/>
      <c r="R195" s="253"/>
      <c r="S195" s="653">
        <v>0.91</v>
      </c>
      <c r="T195" s="654"/>
      <c r="U195" s="642">
        <v>0</v>
      </c>
      <c r="V195" s="643"/>
      <c r="W195" s="253"/>
      <c r="X195" s="653">
        <v>0.95</v>
      </c>
      <c r="Y195" s="654"/>
      <c r="Z195" s="642">
        <v>0</v>
      </c>
      <c r="AA195" s="643"/>
      <c r="AB195" s="219"/>
    </row>
    <row r="196" spans="1:28" s="386" customFormat="1" ht="16.149999999999999" customHeight="1" x14ac:dyDescent="0.2">
      <c r="A196" s="384"/>
      <c r="B196" s="456"/>
      <c r="C196" s="456"/>
      <c r="D196" s="486">
        <f>D195*G196</f>
        <v>157.5</v>
      </c>
      <c r="E196" s="450"/>
      <c r="F196" s="457" t="s">
        <v>293</v>
      </c>
      <c r="G196" s="458">
        <v>225</v>
      </c>
      <c r="H196" s="449"/>
      <c r="I196" s="486">
        <f>I195*L196</f>
        <v>171</v>
      </c>
      <c r="J196" s="450"/>
      <c r="K196" s="457" t="s">
        <v>293</v>
      </c>
      <c r="L196" s="458">
        <v>180</v>
      </c>
      <c r="M196" s="449"/>
      <c r="N196" s="486">
        <f>N195*Q196</f>
        <v>114</v>
      </c>
      <c r="O196" s="450"/>
      <c r="P196" s="457" t="s">
        <v>293</v>
      </c>
      <c r="Q196" s="458">
        <v>150</v>
      </c>
      <c r="R196" s="449"/>
      <c r="S196" s="486">
        <f>S195*V196</f>
        <v>204.75</v>
      </c>
      <c r="T196" s="450"/>
      <c r="U196" s="457" t="s">
        <v>293</v>
      </c>
      <c r="V196" s="458">
        <v>225</v>
      </c>
      <c r="W196" s="449"/>
      <c r="X196" s="489">
        <f>X195*AA196</f>
        <v>171</v>
      </c>
      <c r="Y196" s="468"/>
      <c r="Z196" s="469" t="s">
        <v>293</v>
      </c>
      <c r="AA196" s="470">
        <v>180</v>
      </c>
      <c r="AB196" s="456"/>
    </row>
    <row r="197" spans="1:28" ht="10.15" customHeight="1" x14ac:dyDescent="0.2">
      <c r="A197" s="219"/>
      <c r="B197" s="219"/>
      <c r="C197" s="219"/>
      <c r="D197" s="299"/>
      <c r="E197" s="299"/>
      <c r="F197" s="299"/>
      <c r="G197" s="299"/>
      <c r="H197" s="299"/>
      <c r="I197" s="299"/>
      <c r="J197" s="299"/>
      <c r="K197" s="299"/>
      <c r="L197" s="299"/>
      <c r="M197" s="299"/>
      <c r="N197" s="299"/>
      <c r="O197" s="299"/>
      <c r="P197" s="299"/>
      <c r="Q197" s="299"/>
      <c r="R197" s="299"/>
      <c r="S197" s="299"/>
      <c r="T197" s="299"/>
      <c r="U197" s="299"/>
      <c r="V197" s="299"/>
      <c r="W197" s="299"/>
      <c r="X197" s="299"/>
      <c r="Y197" s="299"/>
      <c r="Z197" s="299"/>
      <c r="AA197" s="299"/>
      <c r="AB197" s="219"/>
    </row>
    <row r="198" spans="1:28" ht="13.5" customHeight="1" x14ac:dyDescent="0.2">
      <c r="A198" s="219"/>
      <c r="B198" s="219"/>
      <c r="C198" s="219"/>
      <c r="D198" s="616"/>
      <c r="E198" s="617"/>
      <c r="F198" s="617"/>
      <c r="G198" s="618"/>
      <c r="H198" s="253"/>
      <c r="I198" s="616"/>
      <c r="J198" s="617"/>
      <c r="K198" s="617"/>
      <c r="L198" s="618"/>
      <c r="M198" s="253"/>
      <c r="N198" s="616"/>
      <c r="O198" s="617"/>
      <c r="P198" s="617"/>
      <c r="Q198" s="618"/>
      <c r="R198" s="253"/>
      <c r="S198" s="616"/>
      <c r="T198" s="617"/>
      <c r="U198" s="617"/>
      <c r="V198" s="618"/>
      <c r="W198" s="253"/>
      <c r="X198" s="616"/>
      <c r="Y198" s="617"/>
      <c r="Z198" s="617"/>
      <c r="AA198" s="618"/>
      <c r="AB198" s="219"/>
    </row>
    <row r="199" spans="1:28" ht="13.5" customHeight="1" x14ac:dyDescent="0.2">
      <c r="A199" s="219"/>
      <c r="B199" s="219"/>
      <c r="C199" s="219"/>
      <c r="D199" s="631"/>
      <c r="E199" s="632"/>
      <c r="F199" s="632"/>
      <c r="G199" s="633"/>
      <c r="H199" s="253"/>
      <c r="I199" s="631"/>
      <c r="J199" s="632"/>
      <c r="K199" s="632"/>
      <c r="L199" s="633"/>
      <c r="M199" s="253"/>
      <c r="N199" s="631"/>
      <c r="O199" s="632"/>
      <c r="P199" s="632"/>
      <c r="Q199" s="633"/>
      <c r="R199" s="253"/>
      <c r="S199" s="631"/>
      <c r="T199" s="632"/>
      <c r="U199" s="632"/>
      <c r="V199" s="633"/>
      <c r="W199" s="253"/>
      <c r="X199" s="631"/>
      <c r="Y199" s="632"/>
      <c r="Z199" s="632"/>
      <c r="AA199" s="633"/>
      <c r="AB199" s="219"/>
    </row>
    <row r="200" spans="1:28" ht="13.5" customHeight="1" x14ac:dyDescent="0.2">
      <c r="A200" s="219"/>
      <c r="B200" s="219"/>
      <c r="C200" s="219"/>
      <c r="D200" s="631"/>
      <c r="E200" s="632"/>
      <c r="F200" s="632"/>
      <c r="G200" s="633"/>
      <c r="H200" s="253"/>
      <c r="I200" s="272"/>
      <c r="J200" s="273"/>
      <c r="K200" s="273"/>
      <c r="L200" s="274"/>
      <c r="M200" s="253"/>
      <c r="N200" s="272"/>
      <c r="O200" s="273"/>
      <c r="P200" s="273"/>
      <c r="Q200" s="274"/>
      <c r="R200" s="253"/>
      <c r="S200" s="272"/>
      <c r="T200" s="273"/>
      <c r="U200" s="273"/>
      <c r="V200" s="274"/>
      <c r="W200" s="253"/>
      <c r="X200" s="272"/>
      <c r="Y200" s="273"/>
      <c r="Z200" s="273"/>
      <c r="AA200" s="274"/>
      <c r="AB200" s="219"/>
    </row>
    <row r="201" spans="1:28" ht="13.5" customHeight="1" x14ac:dyDescent="0.2">
      <c r="A201" s="219"/>
      <c r="B201" s="219"/>
      <c r="C201" s="219"/>
      <c r="D201" s="631"/>
      <c r="E201" s="632"/>
      <c r="F201" s="632"/>
      <c r="G201" s="633"/>
      <c r="H201" s="253"/>
      <c r="I201" s="631"/>
      <c r="J201" s="632"/>
      <c r="K201" s="632"/>
      <c r="L201" s="633"/>
      <c r="M201" s="253"/>
      <c r="N201" s="631"/>
      <c r="O201" s="632"/>
      <c r="P201" s="632"/>
      <c r="Q201" s="633"/>
      <c r="R201" s="253"/>
      <c r="S201" s="631"/>
      <c r="T201" s="632"/>
      <c r="U201" s="632"/>
      <c r="V201" s="633"/>
      <c r="W201" s="253"/>
      <c r="X201" s="631"/>
      <c r="Y201" s="632"/>
      <c r="Z201" s="632"/>
      <c r="AA201" s="633"/>
      <c r="AB201" s="219"/>
    </row>
    <row r="202" spans="1:28" ht="13.5" customHeight="1" x14ac:dyDescent="0.2">
      <c r="A202" s="219"/>
      <c r="B202" s="219"/>
      <c r="C202" s="219"/>
      <c r="D202" s="631"/>
      <c r="E202" s="632"/>
      <c r="F202" s="632"/>
      <c r="G202" s="633"/>
      <c r="H202" s="253"/>
      <c r="I202" s="631"/>
      <c r="J202" s="632"/>
      <c r="K202" s="632"/>
      <c r="L202" s="633"/>
      <c r="M202" s="253"/>
      <c r="N202" s="631"/>
      <c r="O202" s="632"/>
      <c r="P202" s="632"/>
      <c r="Q202" s="633"/>
      <c r="R202" s="253"/>
      <c r="S202" s="631"/>
      <c r="T202" s="632"/>
      <c r="U202" s="632"/>
      <c r="V202" s="633"/>
      <c r="W202" s="253"/>
      <c r="X202" s="631"/>
      <c r="Y202" s="632"/>
      <c r="Z202" s="632"/>
      <c r="AA202" s="633"/>
      <c r="AB202" s="219"/>
    </row>
    <row r="203" spans="1:28" ht="13.5" customHeight="1" x14ac:dyDescent="0.2">
      <c r="A203" s="219"/>
      <c r="B203" s="219"/>
      <c r="C203" s="219"/>
      <c r="D203" s="631"/>
      <c r="E203" s="632"/>
      <c r="F203" s="632"/>
      <c r="G203" s="633"/>
      <c r="H203" s="253"/>
      <c r="I203" s="631"/>
      <c r="J203" s="632"/>
      <c r="K203" s="632"/>
      <c r="L203" s="633"/>
      <c r="M203" s="253"/>
      <c r="N203" s="631"/>
      <c r="O203" s="632"/>
      <c r="P203" s="632"/>
      <c r="Q203" s="633"/>
      <c r="R203" s="253"/>
      <c r="S203" s="631"/>
      <c r="T203" s="632"/>
      <c r="U203" s="632"/>
      <c r="V203" s="633"/>
      <c r="W203" s="253"/>
      <c r="X203" s="631"/>
      <c r="Y203" s="632"/>
      <c r="Z203" s="632"/>
      <c r="AA203" s="633"/>
      <c r="AB203" s="219"/>
    </row>
    <row r="204" spans="1:28" ht="13.5" customHeight="1" x14ac:dyDescent="0.25">
      <c r="A204" s="219"/>
      <c r="B204" s="219"/>
      <c r="C204" s="219"/>
      <c r="D204" s="650" t="s">
        <v>565</v>
      </c>
      <c r="E204" s="651"/>
      <c r="F204" s="651"/>
      <c r="G204" s="652"/>
      <c r="H204" s="253"/>
      <c r="I204" s="835" t="s">
        <v>448</v>
      </c>
      <c r="J204" s="836"/>
      <c r="K204" s="836"/>
      <c r="L204" s="837"/>
      <c r="M204" s="253"/>
      <c r="N204" s="835" t="s">
        <v>303</v>
      </c>
      <c r="O204" s="836"/>
      <c r="P204" s="836"/>
      <c r="Q204" s="837"/>
      <c r="R204" s="253"/>
      <c r="S204" s="835" t="s">
        <v>566</v>
      </c>
      <c r="T204" s="836"/>
      <c r="U204" s="836"/>
      <c r="V204" s="837"/>
      <c r="W204" s="253"/>
      <c r="X204" s="835" t="s">
        <v>449</v>
      </c>
      <c r="Y204" s="836"/>
      <c r="Z204" s="836"/>
      <c r="AA204" s="837"/>
      <c r="AB204" s="219"/>
    </row>
    <row r="205" spans="1:28" ht="15.95" customHeight="1" x14ac:dyDescent="0.25">
      <c r="A205" s="219"/>
      <c r="B205" s="219"/>
      <c r="C205" s="219"/>
      <c r="D205" s="653">
        <v>0.95</v>
      </c>
      <c r="E205" s="654"/>
      <c r="F205" s="642">
        <v>0</v>
      </c>
      <c r="G205" s="643"/>
      <c r="H205" s="253"/>
      <c r="I205" s="653">
        <v>0.9</v>
      </c>
      <c r="J205" s="654"/>
      <c r="K205" s="642">
        <v>0</v>
      </c>
      <c r="L205" s="643"/>
      <c r="M205" s="253"/>
      <c r="N205" s="653">
        <v>0.85</v>
      </c>
      <c r="O205" s="654"/>
      <c r="P205" s="642">
        <v>0</v>
      </c>
      <c r="Q205" s="643"/>
      <c r="R205" s="253"/>
      <c r="S205" s="653">
        <v>0.95</v>
      </c>
      <c r="T205" s="654"/>
      <c r="U205" s="642">
        <v>0</v>
      </c>
      <c r="V205" s="643"/>
      <c r="W205" s="253"/>
      <c r="X205" s="653">
        <v>1</v>
      </c>
      <c r="Y205" s="654"/>
      <c r="Z205" s="642">
        <v>0</v>
      </c>
      <c r="AA205" s="643"/>
      <c r="AB205" s="219"/>
    </row>
    <row r="206" spans="1:28" s="386" customFormat="1" ht="16.149999999999999" customHeight="1" x14ac:dyDescent="0.2">
      <c r="A206" s="384"/>
      <c r="B206" s="384"/>
      <c r="C206" s="384"/>
      <c r="D206" s="486">
        <f>D205*G206</f>
        <v>232.75</v>
      </c>
      <c r="E206" s="450"/>
      <c r="F206" s="457" t="s">
        <v>293</v>
      </c>
      <c r="G206" s="458">
        <v>245</v>
      </c>
      <c r="H206" s="449"/>
      <c r="I206" s="486">
        <f>I205*L206</f>
        <v>162</v>
      </c>
      <c r="J206" s="450"/>
      <c r="K206" s="457" t="s">
        <v>293</v>
      </c>
      <c r="L206" s="458">
        <v>180</v>
      </c>
      <c r="M206" s="449"/>
      <c r="N206" s="486">
        <f>N205*Q206</f>
        <v>191.25</v>
      </c>
      <c r="O206" s="450"/>
      <c r="P206" s="457" t="s">
        <v>293</v>
      </c>
      <c r="Q206" s="458">
        <v>225</v>
      </c>
      <c r="R206" s="449"/>
      <c r="S206" s="486">
        <f>S205*V206</f>
        <v>228</v>
      </c>
      <c r="T206" s="450"/>
      <c r="U206" s="457" t="s">
        <v>293</v>
      </c>
      <c r="V206" s="458">
        <v>240</v>
      </c>
      <c r="W206" s="449"/>
      <c r="X206" s="489">
        <f>X205*AA206</f>
        <v>300</v>
      </c>
      <c r="Y206" s="468"/>
      <c r="Z206" s="469" t="s">
        <v>293</v>
      </c>
      <c r="AA206" s="470">
        <v>300</v>
      </c>
      <c r="AB206" s="384"/>
    </row>
    <row r="207" spans="1:28" ht="10.15" customHeight="1" x14ac:dyDescent="0.2">
      <c r="A207" s="219"/>
      <c r="B207" s="219"/>
      <c r="C207" s="219"/>
      <c r="D207" s="299"/>
      <c r="E207" s="299"/>
      <c r="F207" s="299"/>
      <c r="G207" s="299"/>
      <c r="H207" s="299"/>
      <c r="I207" s="299"/>
      <c r="J207" s="299"/>
      <c r="K207" s="299"/>
      <c r="L207" s="299"/>
      <c r="M207" s="299"/>
      <c r="N207" s="299"/>
      <c r="O207" s="299"/>
      <c r="P207" s="299"/>
      <c r="Q207" s="299"/>
      <c r="R207" s="299"/>
      <c r="S207" s="299"/>
      <c r="T207" s="299"/>
      <c r="U207" s="299"/>
      <c r="V207" s="299"/>
      <c r="W207" s="299"/>
      <c r="X207" s="299"/>
      <c r="Y207" s="299"/>
      <c r="Z207" s="299"/>
      <c r="AA207" s="299"/>
      <c r="AB207" s="219"/>
    </row>
    <row r="208" spans="1:28" ht="13.5" customHeight="1" x14ac:dyDescent="0.2">
      <c r="A208" s="219"/>
      <c r="B208" s="219"/>
      <c r="C208" s="219"/>
      <c r="D208" s="616"/>
      <c r="E208" s="617"/>
      <c r="F208" s="617"/>
      <c r="G208" s="618"/>
      <c r="H208" s="253"/>
      <c r="I208" s="616"/>
      <c r="J208" s="617"/>
      <c r="K208" s="617"/>
      <c r="L208" s="618"/>
      <c r="M208" s="253"/>
      <c r="N208" s="616"/>
      <c r="O208" s="617"/>
      <c r="P208" s="617"/>
      <c r="Q208" s="618"/>
      <c r="R208" s="253"/>
      <c r="S208" s="616"/>
      <c r="T208" s="617"/>
      <c r="U208" s="617"/>
      <c r="V208" s="618"/>
      <c r="W208" s="253"/>
      <c r="X208" s="616"/>
      <c r="Y208" s="617"/>
      <c r="Z208" s="617"/>
      <c r="AA208" s="618"/>
      <c r="AB208" s="219"/>
    </row>
    <row r="209" spans="1:28" ht="13.5" customHeight="1" x14ac:dyDescent="0.2">
      <c r="A209" s="219"/>
      <c r="B209" s="219"/>
      <c r="C209" s="219"/>
      <c r="D209" s="631"/>
      <c r="E209" s="632"/>
      <c r="F209" s="632"/>
      <c r="G209" s="633"/>
      <c r="H209" s="253"/>
      <c r="I209" s="631"/>
      <c r="J209" s="632"/>
      <c r="K209" s="632"/>
      <c r="L209" s="633"/>
      <c r="M209" s="253"/>
      <c r="N209" s="631"/>
      <c r="O209" s="632"/>
      <c r="P209" s="632"/>
      <c r="Q209" s="633"/>
      <c r="R209" s="253"/>
      <c r="S209" s="631"/>
      <c r="T209" s="632"/>
      <c r="U209" s="632"/>
      <c r="V209" s="633"/>
      <c r="W209" s="253"/>
      <c r="X209" s="631"/>
      <c r="Y209" s="632"/>
      <c r="Z209" s="632"/>
      <c r="AA209" s="633"/>
      <c r="AB209" s="219"/>
    </row>
    <row r="210" spans="1:28" ht="13.5" customHeight="1" x14ac:dyDescent="0.2">
      <c r="A210" s="219"/>
      <c r="B210" s="219"/>
      <c r="C210" s="219"/>
      <c r="D210" s="631"/>
      <c r="E210" s="632"/>
      <c r="F210" s="632"/>
      <c r="G210" s="633"/>
      <c r="H210" s="253"/>
      <c r="I210" s="272"/>
      <c r="J210" s="273"/>
      <c r="K210" s="273"/>
      <c r="L210" s="274"/>
      <c r="M210" s="253"/>
      <c r="N210" s="272"/>
      <c r="O210" s="273"/>
      <c r="P210" s="273"/>
      <c r="Q210" s="274"/>
      <c r="R210" s="253"/>
      <c r="S210" s="272"/>
      <c r="T210" s="273"/>
      <c r="U210" s="273"/>
      <c r="V210" s="274"/>
      <c r="W210" s="253"/>
      <c r="X210" s="272"/>
      <c r="Y210" s="273"/>
      <c r="Z210" s="273"/>
      <c r="AA210" s="274"/>
      <c r="AB210" s="219"/>
    </row>
    <row r="211" spans="1:28" ht="13.5" customHeight="1" x14ac:dyDescent="0.2">
      <c r="A211" s="219"/>
      <c r="B211" s="219"/>
      <c r="C211" s="219"/>
      <c r="D211" s="631"/>
      <c r="E211" s="632"/>
      <c r="F211" s="632"/>
      <c r="G211" s="633"/>
      <c r="H211" s="253"/>
      <c r="I211" s="631"/>
      <c r="J211" s="632"/>
      <c r="K211" s="632"/>
      <c r="L211" s="633"/>
      <c r="M211" s="253"/>
      <c r="N211" s="631"/>
      <c r="O211" s="632"/>
      <c r="P211" s="632"/>
      <c r="Q211" s="633"/>
      <c r="R211" s="253"/>
      <c r="S211" s="631"/>
      <c r="T211" s="632"/>
      <c r="U211" s="632"/>
      <c r="V211" s="633"/>
      <c r="W211" s="253"/>
      <c r="X211" s="631"/>
      <c r="Y211" s="632"/>
      <c r="Z211" s="632"/>
      <c r="AA211" s="633"/>
      <c r="AB211" s="219"/>
    </row>
    <row r="212" spans="1:28" ht="13.5" customHeight="1" x14ac:dyDescent="0.2">
      <c r="A212" s="219"/>
      <c r="B212" s="219"/>
      <c r="C212" s="219"/>
      <c r="D212" s="631"/>
      <c r="E212" s="632"/>
      <c r="F212" s="632"/>
      <c r="G212" s="633"/>
      <c r="H212" s="253"/>
      <c r="I212" s="631"/>
      <c r="J212" s="632"/>
      <c r="K212" s="632"/>
      <c r="L212" s="633"/>
      <c r="M212" s="253"/>
      <c r="N212" s="631"/>
      <c r="O212" s="632"/>
      <c r="P212" s="632"/>
      <c r="Q212" s="633"/>
      <c r="R212" s="253"/>
      <c r="S212" s="631"/>
      <c r="T212" s="632"/>
      <c r="U212" s="632"/>
      <c r="V212" s="633"/>
      <c r="W212" s="253"/>
      <c r="X212" s="631"/>
      <c r="Y212" s="632"/>
      <c r="Z212" s="632"/>
      <c r="AA212" s="633"/>
      <c r="AB212" s="219"/>
    </row>
    <row r="213" spans="1:28" ht="13.5" customHeight="1" x14ac:dyDescent="0.2">
      <c r="A213" s="219"/>
      <c r="B213" s="219"/>
      <c r="C213" s="219"/>
      <c r="D213" s="631"/>
      <c r="E213" s="632"/>
      <c r="F213" s="632"/>
      <c r="G213" s="633"/>
      <c r="H213" s="253"/>
      <c r="I213" s="631"/>
      <c r="J213" s="632"/>
      <c r="K213" s="632"/>
      <c r="L213" s="633"/>
      <c r="M213" s="253"/>
      <c r="N213" s="631"/>
      <c r="O213" s="632"/>
      <c r="P213" s="632"/>
      <c r="Q213" s="633"/>
      <c r="R213" s="253"/>
      <c r="S213" s="631"/>
      <c r="T213" s="632"/>
      <c r="U213" s="632"/>
      <c r="V213" s="633"/>
      <c r="W213" s="253"/>
      <c r="X213" s="631"/>
      <c r="Y213" s="632"/>
      <c r="Z213" s="632"/>
      <c r="AA213" s="633"/>
      <c r="AB213" s="219"/>
    </row>
    <row r="214" spans="1:28" ht="13.5" customHeight="1" x14ac:dyDescent="0.25">
      <c r="A214" s="219"/>
      <c r="B214" s="219"/>
      <c r="C214" s="219"/>
      <c r="D214" s="650" t="s">
        <v>450</v>
      </c>
      <c r="E214" s="651"/>
      <c r="F214" s="651"/>
      <c r="G214" s="652"/>
      <c r="H214" s="253"/>
      <c r="I214" s="650" t="s">
        <v>451</v>
      </c>
      <c r="J214" s="651"/>
      <c r="K214" s="651"/>
      <c r="L214" s="652"/>
      <c r="M214" s="253"/>
      <c r="N214" s="650" t="s">
        <v>452</v>
      </c>
      <c r="O214" s="651"/>
      <c r="P214" s="651"/>
      <c r="Q214" s="652"/>
      <c r="R214" s="253"/>
      <c r="S214" s="650" t="s">
        <v>914</v>
      </c>
      <c r="T214" s="651"/>
      <c r="U214" s="651"/>
      <c r="V214" s="652"/>
      <c r="W214" s="253"/>
      <c r="X214" s="650" t="s">
        <v>915</v>
      </c>
      <c r="Y214" s="651"/>
      <c r="Z214" s="651"/>
      <c r="AA214" s="652"/>
      <c r="AB214" s="219"/>
    </row>
    <row r="215" spans="1:28" ht="15.95" customHeight="1" x14ac:dyDescent="0.25">
      <c r="A215" s="219"/>
      <c r="B215" s="219"/>
      <c r="C215" s="219"/>
      <c r="D215" s="653">
        <v>1</v>
      </c>
      <c r="E215" s="654"/>
      <c r="F215" s="642">
        <v>0</v>
      </c>
      <c r="G215" s="643"/>
      <c r="H215" s="253"/>
      <c r="I215" s="655">
        <v>0.92</v>
      </c>
      <c r="J215" s="656"/>
      <c r="K215" s="884">
        <v>0</v>
      </c>
      <c r="L215" s="885"/>
      <c r="M215" s="253"/>
      <c r="N215" s="655">
        <v>0.92</v>
      </c>
      <c r="O215" s="656"/>
      <c r="P215" s="884">
        <v>0</v>
      </c>
      <c r="Q215" s="885"/>
      <c r="R215" s="253"/>
      <c r="S215" s="655">
        <v>1.05</v>
      </c>
      <c r="T215" s="656"/>
      <c r="U215" s="884">
        <v>0</v>
      </c>
      <c r="V215" s="885"/>
      <c r="W215" s="253"/>
      <c r="X215" s="655">
        <v>1.1000000000000001</v>
      </c>
      <c r="Y215" s="656"/>
      <c r="Z215" s="884">
        <v>0</v>
      </c>
      <c r="AA215" s="885"/>
      <c r="AB215" s="219"/>
    </row>
    <row r="216" spans="1:28" s="386" customFormat="1" ht="16.149999999999999" customHeight="1" x14ac:dyDescent="0.2">
      <c r="A216" s="384"/>
      <c r="B216" s="384"/>
      <c r="C216" s="384"/>
      <c r="D216" s="486">
        <f>D215*G216</f>
        <v>300</v>
      </c>
      <c r="E216" s="450"/>
      <c r="F216" s="457" t="s">
        <v>293</v>
      </c>
      <c r="G216" s="458">
        <v>300</v>
      </c>
      <c r="H216" s="449"/>
      <c r="I216" s="486">
        <f>I215*L216</f>
        <v>133.4</v>
      </c>
      <c r="J216" s="450"/>
      <c r="K216" s="457" t="s">
        <v>293</v>
      </c>
      <c r="L216" s="458">
        <v>145</v>
      </c>
      <c r="M216" s="449"/>
      <c r="N216" s="486">
        <f>N215*Q216</f>
        <v>133.4</v>
      </c>
      <c r="O216" s="450"/>
      <c r="P216" s="457" t="s">
        <v>293</v>
      </c>
      <c r="Q216" s="458">
        <v>145</v>
      </c>
      <c r="R216" s="449"/>
      <c r="S216" s="486">
        <f>S215*V216</f>
        <v>126</v>
      </c>
      <c r="T216" s="450"/>
      <c r="U216" s="457" t="s">
        <v>293</v>
      </c>
      <c r="V216" s="458">
        <v>120</v>
      </c>
      <c r="W216" s="449"/>
      <c r="X216" s="486">
        <f>X215*AA216</f>
        <v>165</v>
      </c>
      <c r="Y216" s="450"/>
      <c r="Z216" s="457" t="s">
        <v>293</v>
      </c>
      <c r="AA216" s="458">
        <v>150</v>
      </c>
      <c r="AB216" s="384"/>
    </row>
    <row r="217" spans="1:28" s="386" customFormat="1" ht="16.149999999999999" customHeight="1" x14ac:dyDescent="0.2">
      <c r="A217" s="384"/>
      <c r="B217" s="384"/>
      <c r="C217" s="384"/>
      <c r="D217" s="520"/>
      <c r="E217" s="521"/>
      <c r="F217" s="522"/>
      <c r="G217" s="523"/>
      <c r="H217" s="449"/>
      <c r="I217" s="520"/>
      <c r="J217" s="521"/>
      <c r="K217" s="522"/>
      <c r="L217" s="523"/>
      <c r="M217" s="449"/>
      <c r="N217" s="520"/>
      <c r="O217" s="521"/>
      <c r="P217" s="522"/>
      <c r="Q217" s="523"/>
      <c r="R217" s="449"/>
      <c r="S217" s="520"/>
      <c r="T217" s="521"/>
      <c r="U217" s="522"/>
      <c r="V217" s="523"/>
      <c r="W217" s="449"/>
      <c r="X217" s="520"/>
      <c r="Y217" s="521"/>
      <c r="Z217" s="522"/>
      <c r="AA217" s="523"/>
      <c r="AB217" s="384"/>
    </row>
    <row r="218" spans="1:28" s="386" customFormat="1" ht="16.149999999999999" customHeight="1" x14ac:dyDescent="0.2">
      <c r="A218" s="384"/>
      <c r="B218" s="384"/>
      <c r="C218" s="384"/>
      <c r="D218" s="616"/>
      <c r="E218" s="617"/>
      <c r="F218" s="617"/>
      <c r="G218" s="618"/>
      <c r="H218" s="449"/>
      <c r="I218" s="520"/>
      <c r="J218" s="521"/>
      <c r="K218" s="522"/>
      <c r="L218" s="523"/>
      <c r="M218" s="449"/>
      <c r="N218" s="520"/>
      <c r="O218" s="521"/>
      <c r="P218" s="522"/>
      <c r="Q218" s="523"/>
      <c r="R218" s="449"/>
      <c r="S218" s="520"/>
      <c r="T218" s="521"/>
      <c r="U218" s="522"/>
      <c r="V218" s="523"/>
      <c r="W218" s="449"/>
      <c r="X218" s="520"/>
      <c r="Y218" s="521"/>
      <c r="Z218" s="522"/>
      <c r="AA218" s="523"/>
      <c r="AB218" s="384"/>
    </row>
    <row r="219" spans="1:28" s="386" customFormat="1" ht="16.149999999999999" customHeight="1" x14ac:dyDescent="0.2">
      <c r="A219" s="384"/>
      <c r="B219" s="384"/>
      <c r="C219" s="384"/>
      <c r="D219" s="631"/>
      <c r="E219" s="632"/>
      <c r="F219" s="632"/>
      <c r="G219" s="633"/>
      <c r="H219" s="449"/>
      <c r="I219" s="520"/>
      <c r="J219" s="521"/>
      <c r="K219" s="522"/>
      <c r="L219" s="523"/>
      <c r="M219" s="449"/>
      <c r="N219" s="520"/>
      <c r="O219" s="521"/>
      <c r="P219" s="522"/>
      <c r="Q219" s="523"/>
      <c r="R219" s="449"/>
      <c r="S219" s="520"/>
      <c r="T219" s="521"/>
      <c r="U219" s="522"/>
      <c r="V219" s="523"/>
      <c r="W219" s="449"/>
      <c r="X219" s="520"/>
      <c r="Y219" s="521"/>
      <c r="Z219" s="522"/>
      <c r="AA219" s="523"/>
      <c r="AB219" s="384"/>
    </row>
    <row r="220" spans="1:28" s="386" customFormat="1" ht="16.149999999999999" customHeight="1" x14ac:dyDescent="0.2">
      <c r="A220" s="384"/>
      <c r="B220" s="384"/>
      <c r="C220" s="384"/>
      <c r="D220" s="272"/>
      <c r="E220" s="273"/>
      <c r="F220" s="273"/>
      <c r="G220" s="274"/>
      <c r="H220" s="449"/>
      <c r="I220" s="520"/>
      <c r="J220" s="521"/>
      <c r="K220" s="522"/>
      <c r="L220" s="523"/>
      <c r="M220" s="449"/>
      <c r="N220" s="520"/>
      <c r="O220" s="521"/>
      <c r="P220" s="522"/>
      <c r="Q220" s="523"/>
      <c r="R220" s="449"/>
      <c r="S220" s="520"/>
      <c r="T220" s="521"/>
      <c r="U220" s="522"/>
      <c r="V220" s="523"/>
      <c r="W220" s="449"/>
      <c r="X220" s="520"/>
      <c r="Y220" s="521"/>
      <c r="Z220" s="522"/>
      <c r="AA220" s="523"/>
      <c r="AB220" s="384"/>
    </row>
    <row r="221" spans="1:28" s="386" customFormat="1" ht="16.149999999999999" customHeight="1" x14ac:dyDescent="0.2">
      <c r="A221" s="384"/>
      <c r="B221" s="384"/>
      <c r="C221" s="384"/>
      <c r="D221" s="631"/>
      <c r="E221" s="632"/>
      <c r="F221" s="632"/>
      <c r="G221" s="633"/>
      <c r="H221" s="449"/>
      <c r="I221" s="520"/>
      <c r="J221" s="521"/>
      <c r="K221" s="522"/>
      <c r="L221" s="523"/>
      <c r="M221" s="449"/>
      <c r="N221" s="520"/>
      <c r="O221" s="521"/>
      <c r="P221" s="522"/>
      <c r="Q221" s="523"/>
      <c r="R221" s="449"/>
      <c r="S221" s="520"/>
      <c r="T221" s="521"/>
      <c r="U221" s="522"/>
      <c r="V221" s="523"/>
      <c r="W221" s="449"/>
      <c r="X221" s="520"/>
      <c r="Y221" s="521"/>
      <c r="Z221" s="522"/>
      <c r="AA221" s="523"/>
      <c r="AB221" s="384"/>
    </row>
    <row r="222" spans="1:28" s="386" customFormat="1" ht="16.149999999999999" customHeight="1" x14ac:dyDescent="0.2">
      <c r="A222" s="384"/>
      <c r="B222" s="384"/>
      <c r="C222" s="384"/>
      <c r="D222" s="631"/>
      <c r="E222" s="632"/>
      <c r="F222" s="632"/>
      <c r="G222" s="633"/>
      <c r="H222" s="449"/>
      <c r="I222" s="520"/>
      <c r="J222" s="521"/>
      <c r="K222" s="522"/>
      <c r="L222" s="523"/>
      <c r="M222" s="449"/>
      <c r="N222" s="520"/>
      <c r="O222" s="521"/>
      <c r="P222" s="522"/>
      <c r="Q222" s="523"/>
      <c r="R222" s="449"/>
      <c r="S222" s="520"/>
      <c r="T222" s="521"/>
      <c r="U222" s="522"/>
      <c r="V222" s="523"/>
      <c r="W222" s="449"/>
      <c r="X222" s="520"/>
      <c r="Y222" s="521"/>
      <c r="Z222" s="522"/>
      <c r="AA222" s="523"/>
      <c r="AB222" s="384"/>
    </row>
    <row r="223" spans="1:28" s="386" customFormat="1" ht="16.149999999999999" customHeight="1" x14ac:dyDescent="0.2">
      <c r="A223" s="384"/>
      <c r="B223" s="384"/>
      <c r="C223" s="384"/>
      <c r="D223" s="631"/>
      <c r="E223" s="632"/>
      <c r="F223" s="632"/>
      <c r="G223" s="633"/>
      <c r="H223" s="449"/>
      <c r="I223" s="520"/>
      <c r="J223" s="521"/>
      <c r="K223" s="522"/>
      <c r="L223" s="523"/>
      <c r="M223" s="449"/>
      <c r="N223" s="520"/>
      <c r="O223" s="521"/>
      <c r="P223" s="522"/>
      <c r="Q223" s="523"/>
      <c r="R223" s="449"/>
      <c r="S223" s="520"/>
      <c r="T223" s="521"/>
      <c r="U223" s="522"/>
      <c r="V223" s="523"/>
      <c r="W223" s="449"/>
      <c r="X223" s="520"/>
      <c r="Y223" s="521"/>
      <c r="Z223" s="522"/>
      <c r="AA223" s="523"/>
      <c r="AB223" s="384"/>
    </row>
    <row r="224" spans="1:28" s="386" customFormat="1" ht="16.149999999999999" customHeight="1" x14ac:dyDescent="0.25">
      <c r="A224" s="384"/>
      <c r="B224" s="384"/>
      <c r="C224" s="384"/>
      <c r="D224" s="650" t="s">
        <v>304</v>
      </c>
      <c r="E224" s="651"/>
      <c r="F224" s="651"/>
      <c r="G224" s="652"/>
      <c r="H224" s="449"/>
      <c r="I224" s="520"/>
      <c r="J224" s="521"/>
      <c r="K224" s="522"/>
      <c r="L224" s="523"/>
      <c r="M224" s="449"/>
      <c r="N224" s="520"/>
      <c r="O224" s="521"/>
      <c r="P224" s="522"/>
      <c r="Q224" s="523"/>
      <c r="R224" s="449"/>
      <c r="S224" s="520"/>
      <c r="T224" s="521"/>
      <c r="U224" s="522"/>
      <c r="V224" s="523"/>
      <c r="W224" s="449"/>
      <c r="X224" s="520"/>
      <c r="Y224" s="521"/>
      <c r="Z224" s="522"/>
      <c r="AA224" s="523"/>
      <c r="AB224" s="384"/>
    </row>
    <row r="225" spans="1:28" s="386" customFormat="1" ht="16.149999999999999" customHeight="1" x14ac:dyDescent="0.25">
      <c r="A225" s="384"/>
      <c r="B225" s="384"/>
      <c r="C225" s="384"/>
      <c r="D225" s="655">
        <v>1.22</v>
      </c>
      <c r="E225" s="656"/>
      <c r="F225" s="884">
        <v>0</v>
      </c>
      <c r="G225" s="885"/>
      <c r="H225" s="449"/>
      <c r="I225" s="520"/>
      <c r="J225" s="521"/>
      <c r="K225" s="522"/>
      <c r="L225" s="523"/>
      <c r="M225" s="449"/>
      <c r="N225" s="520"/>
      <c r="O225" s="521"/>
      <c r="P225" s="522"/>
      <c r="Q225" s="523"/>
      <c r="R225" s="449"/>
      <c r="S225" s="520"/>
      <c r="T225" s="521"/>
      <c r="U225" s="522"/>
      <c r="V225" s="523"/>
      <c r="W225" s="449"/>
      <c r="X225" s="520"/>
      <c r="Y225" s="521"/>
      <c r="Z225" s="522"/>
      <c r="AA225" s="523"/>
      <c r="AB225" s="384"/>
    </row>
    <row r="226" spans="1:28" s="386" customFormat="1" ht="16.149999999999999" customHeight="1" x14ac:dyDescent="0.2">
      <c r="A226" s="384"/>
      <c r="B226" s="384"/>
      <c r="C226" s="384"/>
      <c r="D226" s="486">
        <f>D225*G226</f>
        <v>122</v>
      </c>
      <c r="E226" s="450"/>
      <c r="F226" s="457" t="s">
        <v>293</v>
      </c>
      <c r="G226" s="458">
        <v>100</v>
      </c>
      <c r="H226" s="449"/>
      <c r="I226" s="520"/>
      <c r="J226" s="521"/>
      <c r="K226" s="522"/>
      <c r="L226" s="523"/>
      <c r="M226" s="449"/>
      <c r="N226" s="520"/>
      <c r="O226" s="521"/>
      <c r="P226" s="522"/>
      <c r="Q226" s="523"/>
      <c r="R226" s="449"/>
      <c r="S226" s="520"/>
      <c r="T226" s="521"/>
      <c r="U226" s="522"/>
      <c r="V226" s="523"/>
      <c r="W226" s="449"/>
      <c r="X226" s="520"/>
      <c r="Y226" s="521"/>
      <c r="Z226" s="522"/>
      <c r="AA226" s="523"/>
      <c r="AB226" s="384"/>
    </row>
    <row r="227" spans="1:28" ht="27" customHeight="1" thickBot="1" x14ac:dyDescent="0.25">
      <c r="A227" s="219"/>
      <c r="B227" s="219"/>
      <c r="C227" s="219"/>
      <c r="D227" s="250"/>
      <c r="E227" s="250"/>
      <c r="F227" s="250"/>
      <c r="G227" s="250"/>
      <c r="H227" s="250"/>
      <c r="I227" s="250"/>
      <c r="J227" s="250"/>
      <c r="K227" s="250"/>
      <c r="L227" s="250"/>
      <c r="M227" s="250"/>
      <c r="N227" s="250"/>
      <c r="O227" s="250"/>
      <c r="P227" s="250"/>
      <c r="Q227" s="250"/>
      <c r="R227" s="250"/>
      <c r="S227" s="250"/>
      <c r="T227" s="250"/>
      <c r="U227" s="250"/>
      <c r="V227" s="250"/>
      <c r="W227" s="250"/>
      <c r="X227" s="250"/>
      <c r="Y227" s="250"/>
      <c r="Z227" s="250"/>
      <c r="AA227" s="250"/>
      <c r="AB227" s="219"/>
    </row>
    <row r="228" spans="1:28" s="172" customFormat="1" ht="27" customHeight="1" thickTop="1" x14ac:dyDescent="0.3">
      <c r="A228" s="246"/>
      <c r="B228" s="232"/>
      <c r="C228" s="232"/>
      <c r="D228" s="833" t="s">
        <v>593</v>
      </c>
      <c r="E228" s="833"/>
      <c r="F228" s="833"/>
      <c r="G228" s="833"/>
      <c r="H228" s="833"/>
      <c r="I228" s="833"/>
      <c r="J228" s="833"/>
      <c r="K228" s="833"/>
      <c r="L228" s="833"/>
      <c r="M228" s="833"/>
      <c r="N228" s="833"/>
      <c r="O228" s="833"/>
      <c r="P228" s="833"/>
      <c r="Q228" s="833"/>
      <c r="R228" s="833"/>
      <c r="S228" s="833"/>
      <c r="T228" s="833"/>
      <c r="U228" s="833"/>
      <c r="V228" s="833"/>
      <c r="W228" s="833"/>
      <c r="X228" s="833"/>
      <c r="Y228" s="833"/>
      <c r="Z228" s="833"/>
      <c r="AA228" s="833"/>
      <c r="AB228" s="232"/>
    </row>
    <row r="229" spans="1:28" ht="27" customHeight="1" x14ac:dyDescent="0.3">
      <c r="A229" s="219"/>
      <c r="B229" s="219"/>
      <c r="C229" s="219"/>
      <c r="D229" s="886" t="s">
        <v>279</v>
      </c>
      <c r="E229" s="886"/>
      <c r="F229" s="886"/>
      <c r="G229" s="886"/>
      <c r="H229" s="886"/>
      <c r="I229" s="886"/>
      <c r="J229" s="886"/>
      <c r="K229" s="886"/>
      <c r="L229" s="886"/>
      <c r="M229" s="886"/>
      <c r="N229" s="886"/>
      <c r="O229" s="886"/>
      <c r="P229" s="886"/>
      <c r="Q229" s="886"/>
      <c r="R229" s="886"/>
      <c r="S229" s="886"/>
      <c r="T229" s="886"/>
      <c r="U229" s="886"/>
      <c r="V229" s="886"/>
      <c r="W229" s="886"/>
      <c r="X229" s="886"/>
      <c r="Y229" s="886"/>
      <c r="Z229" s="886"/>
      <c r="AA229" s="886"/>
      <c r="AB229" s="343"/>
    </row>
    <row r="230" spans="1:28" s="167" customFormat="1" ht="18.75" x14ac:dyDescent="0.3">
      <c r="A230" s="374"/>
      <c r="B230" s="219"/>
      <c r="C230" s="219"/>
      <c r="D230" s="616"/>
      <c r="E230" s="617"/>
      <c r="F230" s="617"/>
      <c r="G230" s="618"/>
      <c r="H230" s="253"/>
      <c r="I230" s="616"/>
      <c r="J230" s="617"/>
      <c r="K230" s="617"/>
      <c r="L230" s="618"/>
      <c r="M230" s="253"/>
      <c r="N230" s="616"/>
      <c r="O230" s="617"/>
      <c r="P230" s="617"/>
      <c r="Q230" s="618"/>
      <c r="R230" s="253"/>
      <c r="S230" s="616"/>
      <c r="T230" s="617"/>
      <c r="U230" s="617"/>
      <c r="V230" s="618"/>
      <c r="W230" s="253"/>
      <c r="X230" s="616"/>
      <c r="Y230" s="617"/>
      <c r="Z230" s="617"/>
      <c r="AA230" s="618"/>
      <c r="AB230" s="219"/>
    </row>
    <row r="231" spans="1:28" ht="13.5" customHeight="1" x14ac:dyDescent="0.2">
      <c r="A231" s="219"/>
      <c r="B231" s="219"/>
      <c r="C231" s="219"/>
      <c r="D231" s="631"/>
      <c r="E231" s="632"/>
      <c r="F231" s="632"/>
      <c r="G231" s="633"/>
      <c r="H231" s="253"/>
      <c r="I231" s="631"/>
      <c r="J231" s="632"/>
      <c r="K231" s="632"/>
      <c r="L231" s="633"/>
      <c r="M231" s="253"/>
      <c r="N231" s="631"/>
      <c r="O231" s="632"/>
      <c r="P231" s="632"/>
      <c r="Q231" s="633"/>
      <c r="R231" s="253"/>
      <c r="S231" s="631"/>
      <c r="T231" s="632"/>
      <c r="U231" s="632"/>
      <c r="V231" s="633"/>
      <c r="W231" s="253"/>
      <c r="X231" s="631"/>
      <c r="Y231" s="632"/>
      <c r="Z231" s="632"/>
      <c r="AA231" s="633"/>
      <c r="AB231" s="219"/>
    </row>
    <row r="232" spans="1:28" ht="14.25" x14ac:dyDescent="0.2">
      <c r="A232" s="219"/>
      <c r="B232" s="219"/>
      <c r="C232" s="219"/>
      <c r="D232" s="272"/>
      <c r="E232" s="273"/>
      <c r="F232" s="273"/>
      <c r="G232" s="274"/>
      <c r="H232" s="253"/>
      <c r="I232" s="272"/>
      <c r="J232" s="273"/>
      <c r="K232" s="273"/>
      <c r="L232" s="274"/>
      <c r="M232" s="253"/>
      <c r="N232" s="272"/>
      <c r="O232" s="273"/>
      <c r="P232" s="273"/>
      <c r="Q232" s="274"/>
      <c r="R232" s="253"/>
      <c r="S232" s="272"/>
      <c r="T232" s="273"/>
      <c r="U232" s="273"/>
      <c r="V232" s="274"/>
      <c r="W232" s="253"/>
      <c r="X232" s="272"/>
      <c r="Y232" s="273"/>
      <c r="Z232" s="273"/>
      <c r="AA232" s="274"/>
      <c r="AB232" s="219"/>
    </row>
    <row r="233" spans="1:28" ht="14.25" x14ac:dyDescent="0.2">
      <c r="A233" s="219"/>
      <c r="B233" s="219"/>
      <c r="C233" s="219"/>
      <c r="D233" s="631"/>
      <c r="E233" s="632"/>
      <c r="F233" s="632"/>
      <c r="G233" s="633"/>
      <c r="H233" s="253"/>
      <c r="I233" s="631"/>
      <c r="J233" s="632"/>
      <c r="K233" s="632"/>
      <c r="L233" s="633"/>
      <c r="M233" s="253"/>
      <c r="N233" s="631"/>
      <c r="O233" s="632"/>
      <c r="P233" s="632"/>
      <c r="Q233" s="633"/>
      <c r="R233" s="253"/>
      <c r="S233" s="631"/>
      <c r="T233" s="632"/>
      <c r="U233" s="632"/>
      <c r="V233" s="633"/>
      <c r="W233" s="253"/>
      <c r="X233" s="631"/>
      <c r="Y233" s="632"/>
      <c r="Z233" s="632"/>
      <c r="AA233" s="633"/>
      <c r="AB233" s="219"/>
    </row>
    <row r="234" spans="1:28" ht="14.25" x14ac:dyDescent="0.2">
      <c r="A234" s="219"/>
      <c r="B234" s="219"/>
      <c r="C234" s="219"/>
      <c r="D234" s="631"/>
      <c r="E234" s="632"/>
      <c r="F234" s="632"/>
      <c r="G234" s="633"/>
      <c r="H234" s="253"/>
      <c r="I234" s="631"/>
      <c r="J234" s="632"/>
      <c r="K234" s="632"/>
      <c r="L234" s="633"/>
      <c r="M234" s="253"/>
      <c r="N234" s="631"/>
      <c r="O234" s="632"/>
      <c r="P234" s="632"/>
      <c r="Q234" s="633"/>
      <c r="R234" s="253"/>
      <c r="S234" s="631"/>
      <c r="T234" s="632"/>
      <c r="U234" s="632"/>
      <c r="V234" s="633"/>
      <c r="W234" s="253"/>
      <c r="X234" s="631"/>
      <c r="Y234" s="632"/>
      <c r="Z234" s="632"/>
      <c r="AA234" s="633"/>
      <c r="AB234" s="219"/>
    </row>
    <row r="235" spans="1:28" ht="14.25" x14ac:dyDescent="0.2">
      <c r="A235" s="219"/>
      <c r="B235" s="219"/>
      <c r="C235" s="219"/>
      <c r="D235" s="595"/>
      <c r="E235" s="596"/>
      <c r="F235" s="596"/>
      <c r="G235" s="597"/>
      <c r="H235" s="253"/>
      <c r="I235" s="595"/>
      <c r="J235" s="596"/>
      <c r="K235" s="596"/>
      <c r="L235" s="597"/>
      <c r="M235" s="253"/>
      <c r="N235" s="595"/>
      <c r="O235" s="596"/>
      <c r="P235" s="596"/>
      <c r="Q235" s="597"/>
      <c r="R235" s="253"/>
      <c r="S235" s="595"/>
      <c r="T235" s="596"/>
      <c r="U235" s="596"/>
      <c r="V235" s="597"/>
      <c r="W235" s="253"/>
      <c r="X235" s="595"/>
      <c r="Y235" s="596"/>
      <c r="Z235" s="596"/>
      <c r="AA235" s="597"/>
      <c r="AB235" s="219"/>
    </row>
    <row r="236" spans="1:28" ht="15" x14ac:dyDescent="0.25">
      <c r="A236" s="219"/>
      <c r="B236" s="219"/>
      <c r="C236" s="219"/>
      <c r="D236" s="619" t="s">
        <v>305</v>
      </c>
      <c r="E236" s="620"/>
      <c r="F236" s="620"/>
      <c r="G236" s="621"/>
      <c r="H236" s="253"/>
      <c r="I236" s="619" t="s">
        <v>306</v>
      </c>
      <c r="J236" s="620"/>
      <c r="K236" s="620"/>
      <c r="L236" s="621"/>
      <c r="M236" s="253"/>
      <c r="N236" s="619" t="s">
        <v>307</v>
      </c>
      <c r="O236" s="620"/>
      <c r="P236" s="620"/>
      <c r="Q236" s="621"/>
      <c r="R236" s="253"/>
      <c r="S236" s="619" t="s">
        <v>309</v>
      </c>
      <c r="T236" s="620"/>
      <c r="U236" s="620"/>
      <c r="V236" s="621"/>
      <c r="W236" s="253"/>
      <c r="X236" s="619" t="s">
        <v>310</v>
      </c>
      <c r="Y236" s="620"/>
      <c r="Z236" s="620"/>
      <c r="AA236" s="621"/>
      <c r="AB236" s="219"/>
    </row>
    <row r="237" spans="1:28" ht="13.5" customHeight="1" x14ac:dyDescent="0.2">
      <c r="A237" s="219"/>
      <c r="B237" s="226"/>
      <c r="C237" s="226"/>
      <c r="D237" s="658" t="s">
        <v>588</v>
      </c>
      <c r="E237" s="658"/>
      <c r="F237" s="658"/>
      <c r="G237" s="658"/>
      <c r="H237" s="266"/>
      <c r="I237" s="804" t="s">
        <v>587</v>
      </c>
      <c r="J237" s="659"/>
      <c r="K237" s="659"/>
      <c r="L237" s="660"/>
      <c r="M237" s="266"/>
      <c r="N237" s="881" t="s">
        <v>586</v>
      </c>
      <c r="O237" s="882"/>
      <c r="P237" s="882"/>
      <c r="Q237" s="883"/>
      <c r="R237" s="266"/>
      <c r="S237" s="804" t="s">
        <v>585</v>
      </c>
      <c r="T237" s="659"/>
      <c r="U237" s="659"/>
      <c r="V237" s="660"/>
      <c r="W237" s="266"/>
      <c r="X237" s="804" t="s">
        <v>584</v>
      </c>
      <c r="Y237" s="659"/>
      <c r="Z237" s="659"/>
      <c r="AA237" s="660"/>
      <c r="AB237" s="226"/>
    </row>
    <row r="238" spans="1:28" ht="13.5" customHeight="1" x14ac:dyDescent="0.25">
      <c r="A238" s="219"/>
      <c r="B238" s="247"/>
      <c r="C238" s="247"/>
      <c r="D238" s="638" t="s">
        <v>610</v>
      </c>
      <c r="E238" s="639"/>
      <c r="F238" s="639"/>
      <c r="G238" s="640"/>
      <c r="H238" s="261"/>
      <c r="I238" s="638" t="s">
        <v>612</v>
      </c>
      <c r="J238" s="639"/>
      <c r="K238" s="639"/>
      <c r="L238" s="640"/>
      <c r="M238" s="261"/>
      <c r="N238" s="638" t="s">
        <v>613</v>
      </c>
      <c r="O238" s="639"/>
      <c r="P238" s="639"/>
      <c r="Q238" s="640"/>
      <c r="R238" s="261"/>
      <c r="S238" s="638" t="s">
        <v>614</v>
      </c>
      <c r="T238" s="639"/>
      <c r="U238" s="639"/>
      <c r="V238" s="640"/>
      <c r="W238" s="261"/>
      <c r="X238" s="638" t="s">
        <v>633</v>
      </c>
      <c r="Y238" s="639"/>
      <c r="Z238" s="639"/>
      <c r="AA238" s="640"/>
      <c r="AB238" s="247"/>
    </row>
    <row r="239" spans="1:28" s="174" customFormat="1" ht="16.149999999999999" customHeight="1" thickBot="1" x14ac:dyDescent="0.3">
      <c r="A239" s="221"/>
      <c r="B239" s="219"/>
      <c r="C239" s="219"/>
      <c r="D239" s="634">
        <f>(D185*2)+D407+I407</f>
        <v>1.62</v>
      </c>
      <c r="E239" s="635"/>
      <c r="F239" s="636">
        <v>0</v>
      </c>
      <c r="G239" s="637"/>
      <c r="H239" s="253"/>
      <c r="I239" s="634">
        <f>I185+N185+(D407*2)+(I407*2)</f>
        <v>2.71</v>
      </c>
      <c r="J239" s="635"/>
      <c r="K239" s="636">
        <v>0</v>
      </c>
      <c r="L239" s="637"/>
      <c r="M239" s="253"/>
      <c r="N239" s="634">
        <f>(I185*2)+S185+(D407*3)+(I407*3)</f>
        <v>3.91</v>
      </c>
      <c r="O239" s="635"/>
      <c r="P239" s="636">
        <v>0</v>
      </c>
      <c r="Q239" s="637"/>
      <c r="R239" s="253"/>
      <c r="S239" s="634">
        <f>(S185*2)+(D407*2)+(I407*2)</f>
        <v>2.5000000000000004</v>
      </c>
      <c r="T239" s="635"/>
      <c r="U239" s="636">
        <v>0</v>
      </c>
      <c r="V239" s="637"/>
      <c r="W239" s="253"/>
      <c r="X239" s="634">
        <f>(I185*4)+(D407*4)+(I407*4)</f>
        <v>5.32</v>
      </c>
      <c r="Y239" s="635"/>
      <c r="Z239" s="636">
        <v>0</v>
      </c>
      <c r="AA239" s="637"/>
      <c r="AB239" s="219"/>
    </row>
    <row r="240" spans="1:28" s="173" customFormat="1" ht="10.15" customHeight="1" x14ac:dyDescent="0.2">
      <c r="A240" s="220"/>
      <c r="B240" s="219"/>
      <c r="C240" s="219"/>
      <c r="D240" s="297"/>
      <c r="E240" s="297"/>
      <c r="F240" s="298"/>
      <c r="G240" s="298"/>
      <c r="H240" s="299"/>
      <c r="I240" s="297"/>
      <c r="J240" s="297"/>
      <c r="K240" s="298"/>
      <c r="L240" s="298"/>
      <c r="M240" s="299"/>
      <c r="N240" s="297"/>
      <c r="O240" s="297"/>
      <c r="P240" s="298"/>
      <c r="Q240" s="298"/>
      <c r="R240" s="299"/>
      <c r="S240" s="297"/>
      <c r="T240" s="297"/>
      <c r="U240" s="298"/>
      <c r="V240" s="298"/>
      <c r="W240" s="299"/>
      <c r="X240" s="297"/>
      <c r="Y240" s="297"/>
      <c r="Z240" s="298"/>
      <c r="AA240" s="298"/>
      <c r="AB240" s="219"/>
    </row>
    <row r="241" spans="1:28" s="173" customFormat="1" ht="13.5" customHeight="1" x14ac:dyDescent="0.2">
      <c r="A241" s="220"/>
      <c r="B241" s="219"/>
      <c r="C241" s="219"/>
      <c r="D241" s="616"/>
      <c r="E241" s="617"/>
      <c r="F241" s="617"/>
      <c r="G241" s="618"/>
      <c r="H241" s="253"/>
      <c r="I241" s="616"/>
      <c r="J241" s="617"/>
      <c r="K241" s="617"/>
      <c r="L241" s="618"/>
      <c r="M241" s="253"/>
      <c r="N241" s="616"/>
      <c r="O241" s="617"/>
      <c r="P241" s="617"/>
      <c r="Q241" s="618"/>
      <c r="R241" s="253"/>
      <c r="S241" s="616"/>
      <c r="T241" s="617"/>
      <c r="U241" s="617"/>
      <c r="V241" s="618"/>
      <c r="W241" s="253"/>
      <c r="X241" s="616"/>
      <c r="Y241" s="617"/>
      <c r="Z241" s="617"/>
      <c r="AA241" s="618"/>
      <c r="AB241" s="219"/>
    </row>
    <row r="242" spans="1:28" ht="14.25" x14ac:dyDescent="0.2">
      <c r="A242" s="219"/>
      <c r="B242" s="219"/>
      <c r="C242" s="219"/>
      <c r="D242" s="631"/>
      <c r="E242" s="632"/>
      <c r="F242" s="632"/>
      <c r="G242" s="633"/>
      <c r="H242" s="253"/>
      <c r="I242" s="631"/>
      <c r="J242" s="632"/>
      <c r="K242" s="632"/>
      <c r="L242" s="633"/>
      <c r="M242" s="253"/>
      <c r="N242" s="631"/>
      <c r="O242" s="632"/>
      <c r="P242" s="632"/>
      <c r="Q242" s="633"/>
      <c r="R242" s="253"/>
      <c r="S242" s="631"/>
      <c r="T242" s="632"/>
      <c r="U242" s="632"/>
      <c r="V242" s="633"/>
      <c r="W242" s="253"/>
      <c r="X242" s="631"/>
      <c r="Y242" s="632"/>
      <c r="Z242" s="632"/>
      <c r="AA242" s="633"/>
      <c r="AB242" s="219"/>
    </row>
    <row r="243" spans="1:28" ht="14.25" x14ac:dyDescent="0.2">
      <c r="A243" s="219"/>
      <c r="B243" s="219"/>
      <c r="C243" s="219"/>
      <c r="D243" s="631"/>
      <c r="E243" s="632"/>
      <c r="F243" s="632"/>
      <c r="G243" s="633"/>
      <c r="H243" s="253"/>
      <c r="I243" s="631"/>
      <c r="J243" s="632"/>
      <c r="K243" s="632"/>
      <c r="L243" s="633"/>
      <c r="M243" s="253"/>
      <c r="N243" s="631"/>
      <c r="O243" s="632"/>
      <c r="P243" s="632"/>
      <c r="Q243" s="633"/>
      <c r="R243" s="253"/>
      <c r="S243" s="631"/>
      <c r="T243" s="632"/>
      <c r="U243" s="632"/>
      <c r="V243" s="633"/>
      <c r="W243" s="253"/>
      <c r="X243" s="631"/>
      <c r="Y243" s="632"/>
      <c r="Z243" s="632"/>
      <c r="AA243" s="633"/>
      <c r="AB243" s="219"/>
    </row>
    <row r="244" spans="1:28" ht="14.25" x14ac:dyDescent="0.2">
      <c r="A244" s="219"/>
      <c r="B244" s="219"/>
      <c r="C244" s="219"/>
      <c r="D244" s="272"/>
      <c r="E244" s="273"/>
      <c r="F244" s="273"/>
      <c r="G244" s="274"/>
      <c r="H244" s="253"/>
      <c r="I244" s="272"/>
      <c r="J244" s="273"/>
      <c r="K244" s="273"/>
      <c r="L244" s="274"/>
      <c r="M244" s="253"/>
      <c r="N244" s="272"/>
      <c r="O244" s="273"/>
      <c r="P244" s="273"/>
      <c r="Q244" s="274"/>
      <c r="R244" s="253"/>
      <c r="S244" s="272"/>
      <c r="T244" s="273"/>
      <c r="U244" s="273"/>
      <c r="V244" s="274"/>
      <c r="W244" s="253"/>
      <c r="X244" s="631"/>
      <c r="Y244" s="632"/>
      <c r="Z244" s="632"/>
      <c r="AA244" s="633"/>
      <c r="AB244" s="219"/>
    </row>
    <row r="245" spans="1:28" ht="14.25" x14ac:dyDescent="0.2">
      <c r="A245" s="219"/>
      <c r="B245" s="219"/>
      <c r="C245" s="219"/>
      <c r="D245" s="631"/>
      <c r="E245" s="632"/>
      <c r="F245" s="632"/>
      <c r="G245" s="633"/>
      <c r="H245" s="253"/>
      <c r="I245" s="631"/>
      <c r="J245" s="632"/>
      <c r="K245" s="632"/>
      <c r="L245" s="633"/>
      <c r="M245" s="253"/>
      <c r="N245" s="631"/>
      <c r="O245" s="632"/>
      <c r="P245" s="632"/>
      <c r="Q245" s="633"/>
      <c r="R245" s="253"/>
      <c r="S245" s="631"/>
      <c r="T245" s="632"/>
      <c r="U245" s="632"/>
      <c r="V245" s="633"/>
      <c r="W245" s="253"/>
      <c r="X245" s="631"/>
      <c r="Y245" s="632"/>
      <c r="Z245" s="632"/>
      <c r="AA245" s="633"/>
      <c r="AB245" s="219"/>
    </row>
    <row r="246" spans="1:28" ht="13.5" customHeight="1" x14ac:dyDescent="0.2">
      <c r="A246" s="219"/>
      <c r="B246" s="219"/>
      <c r="C246" s="219"/>
      <c r="D246" s="595"/>
      <c r="E246" s="596"/>
      <c r="F246" s="596"/>
      <c r="G246" s="597"/>
      <c r="H246" s="253"/>
      <c r="I246" s="595"/>
      <c r="J246" s="596"/>
      <c r="K246" s="596"/>
      <c r="L246" s="597"/>
      <c r="M246" s="253"/>
      <c r="N246" s="595"/>
      <c r="O246" s="596"/>
      <c r="P246" s="596"/>
      <c r="Q246" s="597"/>
      <c r="R246" s="253"/>
      <c r="S246" s="595"/>
      <c r="T246" s="596"/>
      <c r="U246" s="596"/>
      <c r="V246" s="597"/>
      <c r="W246" s="253"/>
      <c r="X246" s="595"/>
      <c r="Y246" s="596"/>
      <c r="Z246" s="596"/>
      <c r="AA246" s="597"/>
      <c r="AB246" s="219"/>
    </row>
    <row r="247" spans="1:28" ht="15" x14ac:dyDescent="0.25">
      <c r="A247" s="219"/>
      <c r="B247" s="219"/>
      <c r="C247" s="219"/>
      <c r="D247" s="619" t="s">
        <v>314</v>
      </c>
      <c r="E247" s="620"/>
      <c r="F247" s="620"/>
      <c r="G247" s="621"/>
      <c r="H247" s="253"/>
      <c r="I247" s="754" t="s">
        <v>581</v>
      </c>
      <c r="J247" s="755"/>
      <c r="K247" s="755"/>
      <c r="L247" s="756"/>
      <c r="M247" s="253"/>
      <c r="N247" s="619" t="s">
        <v>313</v>
      </c>
      <c r="O247" s="620"/>
      <c r="P247" s="620"/>
      <c r="Q247" s="621"/>
      <c r="R247" s="253"/>
      <c r="S247" s="754" t="s">
        <v>579</v>
      </c>
      <c r="T247" s="755"/>
      <c r="U247" s="755"/>
      <c r="V247" s="756"/>
      <c r="W247" s="253"/>
      <c r="X247" s="619" t="s">
        <v>571</v>
      </c>
      <c r="Y247" s="620"/>
      <c r="Z247" s="620"/>
      <c r="AA247" s="621"/>
      <c r="AB247" s="219"/>
    </row>
    <row r="248" spans="1:28" ht="13.5" customHeight="1" x14ac:dyDescent="0.2">
      <c r="A248" s="219"/>
      <c r="B248" s="246"/>
      <c r="C248" s="246"/>
      <c r="D248" s="668" t="s">
        <v>583</v>
      </c>
      <c r="E248" s="669"/>
      <c r="F248" s="669"/>
      <c r="G248" s="670"/>
      <c r="H248" s="266"/>
      <c r="I248" s="668" t="s">
        <v>582</v>
      </c>
      <c r="J248" s="669"/>
      <c r="K248" s="669"/>
      <c r="L248" s="670"/>
      <c r="M248" s="266"/>
      <c r="N248" s="804" t="s">
        <v>289</v>
      </c>
      <c r="O248" s="659"/>
      <c r="P248" s="659"/>
      <c r="Q248" s="660"/>
      <c r="R248" s="266"/>
      <c r="S248" s="804" t="s">
        <v>580</v>
      </c>
      <c r="T248" s="659"/>
      <c r="U248" s="659"/>
      <c r="V248" s="660"/>
      <c r="W248" s="266"/>
      <c r="X248" s="801" t="s">
        <v>572</v>
      </c>
      <c r="Y248" s="802"/>
      <c r="Z248" s="802"/>
      <c r="AA248" s="803"/>
      <c r="AB248" s="246"/>
    </row>
    <row r="249" spans="1:28" ht="13.5" customHeight="1" x14ac:dyDescent="0.25">
      <c r="A249" s="219"/>
      <c r="B249" s="247"/>
      <c r="C249" s="247"/>
      <c r="D249" s="638" t="s">
        <v>621</v>
      </c>
      <c r="E249" s="639"/>
      <c r="F249" s="639"/>
      <c r="G249" s="640"/>
      <c r="H249" s="261"/>
      <c r="I249" s="638" t="s">
        <v>622</v>
      </c>
      <c r="J249" s="639"/>
      <c r="K249" s="659"/>
      <c r="L249" s="660"/>
      <c r="M249" s="261"/>
      <c r="N249" s="638" t="s">
        <v>615</v>
      </c>
      <c r="O249" s="639"/>
      <c r="P249" s="639"/>
      <c r="Q249" s="640"/>
      <c r="R249" s="261"/>
      <c r="S249" s="638" t="s">
        <v>616</v>
      </c>
      <c r="T249" s="639"/>
      <c r="U249" s="639"/>
      <c r="V249" s="640"/>
      <c r="W249" s="261"/>
      <c r="X249" s="638" t="s">
        <v>617</v>
      </c>
      <c r="Y249" s="639"/>
      <c r="Z249" s="659"/>
      <c r="AA249" s="660"/>
      <c r="AB249" s="247"/>
    </row>
    <row r="250" spans="1:28" s="173" customFormat="1" ht="16.149999999999999" customHeight="1" thickBot="1" x14ac:dyDescent="0.3">
      <c r="A250" s="220"/>
      <c r="B250" s="219"/>
      <c r="C250" s="219"/>
      <c r="D250" s="634">
        <f>(X185*2)+(D195*2)+(D407*2)+(I407*2)</f>
        <v>3.16</v>
      </c>
      <c r="E250" s="635"/>
      <c r="F250" s="636">
        <v>0</v>
      </c>
      <c r="G250" s="637"/>
      <c r="H250" s="253"/>
      <c r="I250" s="634">
        <f>(I195*2)+(D195*2)+(D407*3)+(I407*3)</f>
        <v>3.84</v>
      </c>
      <c r="J250" s="635"/>
      <c r="K250" s="636">
        <v>0</v>
      </c>
      <c r="L250" s="637"/>
      <c r="M250" s="253"/>
      <c r="N250" s="634">
        <f>(N195*2)+I407+D407</f>
        <v>1.7000000000000002</v>
      </c>
      <c r="O250" s="635"/>
      <c r="P250" s="636">
        <v>0</v>
      </c>
      <c r="Q250" s="637"/>
      <c r="R250" s="253"/>
      <c r="S250" s="622">
        <f>(S195*2)+D407+I407</f>
        <v>2</v>
      </c>
      <c r="T250" s="770"/>
      <c r="U250" s="666">
        <v>0</v>
      </c>
      <c r="V250" s="667"/>
      <c r="W250" s="253"/>
      <c r="X250" s="634">
        <f>X195+D205+D407+I407</f>
        <v>2.08</v>
      </c>
      <c r="Y250" s="635"/>
      <c r="Z250" s="636">
        <v>0</v>
      </c>
      <c r="AA250" s="637"/>
      <c r="AB250" s="219"/>
    </row>
    <row r="251" spans="1:28" s="173" customFormat="1" ht="10.15" customHeight="1" x14ac:dyDescent="0.2">
      <c r="A251" s="220"/>
      <c r="B251" s="219"/>
      <c r="C251" s="219"/>
      <c r="D251" s="300"/>
      <c r="E251" s="300"/>
      <c r="F251" s="301"/>
      <c r="G251" s="301"/>
      <c r="H251" s="253"/>
      <c r="I251" s="300"/>
      <c r="J251" s="300"/>
      <c r="K251" s="301"/>
      <c r="L251" s="301"/>
      <c r="M251" s="253"/>
      <c r="N251" s="300"/>
      <c r="O251" s="300"/>
      <c r="P251" s="301"/>
      <c r="Q251" s="301"/>
      <c r="R251" s="253"/>
      <c r="S251" s="300"/>
      <c r="T251" s="300"/>
      <c r="U251" s="301"/>
      <c r="V251" s="301"/>
      <c r="W251" s="253"/>
      <c r="X251" s="287"/>
      <c r="Y251" s="287"/>
      <c r="Z251" s="301"/>
      <c r="AA251" s="301"/>
      <c r="AB251" s="219"/>
    </row>
    <row r="252" spans="1:28" s="173" customFormat="1" ht="13.5" customHeight="1" x14ac:dyDescent="0.2">
      <c r="A252" s="220"/>
      <c r="B252" s="219"/>
      <c r="C252" s="219"/>
      <c r="D252" s="616"/>
      <c r="E252" s="617"/>
      <c r="F252" s="617"/>
      <c r="G252" s="618"/>
      <c r="H252" s="253"/>
      <c r="I252" s="616"/>
      <c r="J252" s="617"/>
      <c r="K252" s="617"/>
      <c r="L252" s="618"/>
      <c r="M252" s="253"/>
      <c r="N252" s="616"/>
      <c r="O252" s="617"/>
      <c r="P252" s="617"/>
      <c r="Q252" s="618"/>
      <c r="R252" s="253"/>
      <c r="S252" s="616"/>
      <c r="T252" s="617"/>
      <c r="U252" s="617"/>
      <c r="V252" s="618"/>
      <c r="W252" s="253"/>
      <c r="X252" s="616"/>
      <c r="Y252" s="617"/>
      <c r="Z252" s="617"/>
      <c r="AA252" s="618"/>
      <c r="AB252" s="219"/>
    </row>
    <row r="253" spans="1:28" s="173" customFormat="1" ht="13.5" customHeight="1" x14ac:dyDescent="0.2">
      <c r="A253" s="220"/>
      <c r="B253" s="219"/>
      <c r="C253" s="219"/>
      <c r="D253" s="631"/>
      <c r="E253" s="632"/>
      <c r="F253" s="632"/>
      <c r="G253" s="633"/>
      <c r="H253" s="253"/>
      <c r="I253" s="631"/>
      <c r="J253" s="632"/>
      <c r="K253" s="632"/>
      <c r="L253" s="633"/>
      <c r="M253" s="253"/>
      <c r="N253" s="631"/>
      <c r="O253" s="632"/>
      <c r="P253" s="632"/>
      <c r="Q253" s="633"/>
      <c r="R253" s="253"/>
      <c r="S253" s="631"/>
      <c r="T253" s="632"/>
      <c r="U253" s="632"/>
      <c r="V253" s="633"/>
      <c r="W253" s="253"/>
      <c r="X253" s="631"/>
      <c r="Y253" s="632"/>
      <c r="Z253" s="632"/>
      <c r="AA253" s="633"/>
      <c r="AB253" s="219"/>
    </row>
    <row r="254" spans="1:28" s="173" customFormat="1" ht="13.5" customHeight="1" x14ac:dyDescent="0.2">
      <c r="A254" s="220"/>
      <c r="B254" s="219"/>
      <c r="C254" s="219"/>
      <c r="D254" s="631"/>
      <c r="E254" s="632"/>
      <c r="F254" s="632"/>
      <c r="G254" s="633"/>
      <c r="H254" s="253"/>
      <c r="I254" s="631"/>
      <c r="J254" s="632"/>
      <c r="K254" s="632"/>
      <c r="L254" s="633"/>
      <c r="M254" s="253"/>
      <c r="N254" s="631"/>
      <c r="O254" s="632"/>
      <c r="P254" s="632"/>
      <c r="Q254" s="633"/>
      <c r="R254" s="253"/>
      <c r="S254" s="631"/>
      <c r="T254" s="632"/>
      <c r="U254" s="632"/>
      <c r="V254" s="633"/>
      <c r="W254" s="253"/>
      <c r="X254" s="631"/>
      <c r="Y254" s="632"/>
      <c r="Z254" s="632"/>
      <c r="AA254" s="633"/>
      <c r="AB254" s="219"/>
    </row>
    <row r="255" spans="1:28" s="173" customFormat="1" ht="13.5" customHeight="1" x14ac:dyDescent="0.2">
      <c r="A255" s="220"/>
      <c r="B255" s="219"/>
      <c r="C255" s="219"/>
      <c r="D255" s="272"/>
      <c r="E255" s="273"/>
      <c r="F255" s="273"/>
      <c r="G255" s="274"/>
      <c r="H255" s="253"/>
      <c r="I255" s="272"/>
      <c r="J255" s="273"/>
      <c r="K255" s="273"/>
      <c r="L255" s="274"/>
      <c r="M255" s="253"/>
      <c r="N255" s="272"/>
      <c r="O255" s="273"/>
      <c r="P255" s="273"/>
      <c r="Q255" s="274"/>
      <c r="R255" s="253"/>
      <c r="S255" s="272"/>
      <c r="T255" s="273"/>
      <c r="U255" s="273"/>
      <c r="V255" s="274"/>
      <c r="W255" s="253"/>
      <c r="X255" s="631"/>
      <c r="Y255" s="632"/>
      <c r="Z255" s="632"/>
      <c r="AA255" s="633"/>
      <c r="AB255" s="219"/>
    </row>
    <row r="256" spans="1:28" s="173" customFormat="1" ht="13.5" customHeight="1" x14ac:dyDescent="0.2">
      <c r="A256" s="220"/>
      <c r="B256" s="219"/>
      <c r="C256" s="219"/>
      <c r="D256" s="631"/>
      <c r="E256" s="632"/>
      <c r="F256" s="632"/>
      <c r="G256" s="633"/>
      <c r="H256" s="253"/>
      <c r="I256" s="631"/>
      <c r="J256" s="632"/>
      <c r="K256" s="632"/>
      <c r="L256" s="633"/>
      <c r="M256" s="253"/>
      <c r="N256" s="631"/>
      <c r="O256" s="632"/>
      <c r="P256" s="632"/>
      <c r="Q256" s="633"/>
      <c r="R256" s="253"/>
      <c r="S256" s="631"/>
      <c r="T256" s="632"/>
      <c r="U256" s="632"/>
      <c r="V256" s="633"/>
      <c r="W256" s="253"/>
      <c r="X256" s="631"/>
      <c r="Y256" s="632"/>
      <c r="Z256" s="632"/>
      <c r="AA256" s="633"/>
      <c r="AB256" s="219"/>
    </row>
    <row r="257" spans="1:28" s="173" customFormat="1" ht="13.5" customHeight="1" x14ac:dyDescent="0.2">
      <c r="A257" s="220"/>
      <c r="B257" s="219"/>
      <c r="C257" s="219"/>
      <c r="D257" s="595"/>
      <c r="E257" s="596"/>
      <c r="F257" s="596"/>
      <c r="G257" s="597"/>
      <c r="H257" s="253"/>
      <c r="I257" s="595"/>
      <c r="J257" s="596"/>
      <c r="K257" s="596"/>
      <c r="L257" s="597"/>
      <c r="M257" s="253"/>
      <c r="N257" s="595"/>
      <c r="O257" s="596"/>
      <c r="P257" s="596"/>
      <c r="Q257" s="597"/>
      <c r="R257" s="253"/>
      <c r="S257" s="595"/>
      <c r="T257" s="596"/>
      <c r="U257" s="596"/>
      <c r="V257" s="597"/>
      <c r="W257" s="253"/>
      <c r="X257" s="595"/>
      <c r="Y257" s="596"/>
      <c r="Z257" s="596"/>
      <c r="AA257" s="597"/>
      <c r="AB257" s="219"/>
    </row>
    <row r="258" spans="1:28" s="173" customFormat="1" ht="13.5" customHeight="1" x14ac:dyDescent="0.25">
      <c r="A258" s="220"/>
      <c r="B258" s="219"/>
      <c r="C258" s="219"/>
      <c r="D258" s="619" t="s">
        <v>570</v>
      </c>
      <c r="E258" s="620"/>
      <c r="F258" s="620"/>
      <c r="G258" s="621"/>
      <c r="H258" s="253"/>
      <c r="I258" s="619" t="s">
        <v>453</v>
      </c>
      <c r="J258" s="620"/>
      <c r="K258" s="620"/>
      <c r="L258" s="621"/>
      <c r="M258" s="253"/>
      <c r="N258" s="754" t="s">
        <v>312</v>
      </c>
      <c r="O258" s="755"/>
      <c r="P258" s="755"/>
      <c r="Q258" s="756"/>
      <c r="R258" s="253"/>
      <c r="S258" s="754" t="s">
        <v>569</v>
      </c>
      <c r="T258" s="755"/>
      <c r="U258" s="755"/>
      <c r="V258" s="756"/>
      <c r="W258" s="253"/>
      <c r="X258" s="754" t="s">
        <v>464</v>
      </c>
      <c r="Y258" s="755"/>
      <c r="Z258" s="755"/>
      <c r="AA258" s="756"/>
      <c r="AB258" s="219"/>
    </row>
    <row r="259" spans="1:28" s="173" customFormat="1" ht="13.5" customHeight="1" x14ac:dyDescent="0.2">
      <c r="A259" s="220"/>
      <c r="B259" s="219"/>
      <c r="C259" s="219"/>
      <c r="D259" s="601" t="s">
        <v>578</v>
      </c>
      <c r="E259" s="602"/>
      <c r="F259" s="602"/>
      <c r="G259" s="605"/>
      <c r="H259" s="253"/>
      <c r="I259" s="822" t="s">
        <v>577</v>
      </c>
      <c r="J259" s="822"/>
      <c r="K259" s="823"/>
      <c r="L259" s="823"/>
      <c r="M259" s="253"/>
      <c r="N259" s="638" t="s">
        <v>576</v>
      </c>
      <c r="O259" s="639"/>
      <c r="P259" s="639"/>
      <c r="Q259" s="640"/>
      <c r="R259" s="253"/>
      <c r="S259" s="963" t="s">
        <v>575</v>
      </c>
      <c r="T259" s="963"/>
      <c r="U259" s="964"/>
      <c r="V259" s="964"/>
      <c r="W259" s="266"/>
      <c r="X259" s="965" t="s">
        <v>635</v>
      </c>
      <c r="Y259" s="966"/>
      <c r="Z259" s="966"/>
      <c r="AA259" s="967"/>
      <c r="AB259" s="219"/>
    </row>
    <row r="260" spans="1:28" s="173" customFormat="1" ht="13.5" customHeight="1" x14ac:dyDescent="0.2">
      <c r="A260" s="220"/>
      <c r="B260" s="219"/>
      <c r="C260" s="219"/>
      <c r="D260" s="638" t="s">
        <v>618</v>
      </c>
      <c r="E260" s="639"/>
      <c r="F260" s="659"/>
      <c r="G260" s="660"/>
      <c r="H260" s="253"/>
      <c r="I260" s="638" t="s">
        <v>619</v>
      </c>
      <c r="J260" s="639"/>
      <c r="K260" s="639"/>
      <c r="L260" s="640"/>
      <c r="M260" s="253"/>
      <c r="N260" s="638" t="s">
        <v>620</v>
      </c>
      <c r="O260" s="639"/>
      <c r="P260" s="639"/>
      <c r="Q260" s="640"/>
      <c r="R260" s="253"/>
      <c r="S260" s="638" t="s">
        <v>623</v>
      </c>
      <c r="T260" s="639"/>
      <c r="U260" s="659"/>
      <c r="V260" s="660"/>
      <c r="W260" s="261"/>
      <c r="X260" s="638" t="s">
        <v>624</v>
      </c>
      <c r="Y260" s="639"/>
      <c r="Z260" s="639"/>
      <c r="AA260" s="640"/>
      <c r="AB260" s="219"/>
    </row>
    <row r="261" spans="1:28" s="173" customFormat="1" ht="16.149999999999999" customHeight="1" thickBot="1" x14ac:dyDescent="0.3">
      <c r="A261" s="220"/>
      <c r="B261" s="219"/>
      <c r="C261" s="219"/>
      <c r="D261" s="634">
        <f>(D205*2)+D407+I407</f>
        <v>2.08</v>
      </c>
      <c r="E261" s="635"/>
      <c r="F261" s="636">
        <v>0</v>
      </c>
      <c r="G261" s="637"/>
      <c r="H261" s="253"/>
      <c r="I261" s="634">
        <v>2.23</v>
      </c>
      <c r="J261" s="635"/>
      <c r="K261" s="636">
        <v>0</v>
      </c>
      <c r="L261" s="637"/>
      <c r="M261" s="253"/>
      <c r="N261" s="612">
        <f>(N205*2)+D407+I407</f>
        <v>1.8800000000000001</v>
      </c>
      <c r="O261" s="613"/>
      <c r="P261" s="661">
        <v>0</v>
      </c>
      <c r="Q261" s="662"/>
      <c r="R261" s="253"/>
      <c r="S261" s="612">
        <f>(D195*4)+(S205*2)+(D407*4)+(I407*4)</f>
        <v>5.42</v>
      </c>
      <c r="T261" s="613"/>
      <c r="U261" s="661">
        <v>0</v>
      </c>
      <c r="V261" s="662"/>
      <c r="W261" s="253"/>
      <c r="X261" s="612">
        <f>X205+D215+N407+I407</f>
        <v>2.1799999999999997</v>
      </c>
      <c r="Y261" s="613"/>
      <c r="Z261" s="661">
        <v>0</v>
      </c>
      <c r="AA261" s="662"/>
      <c r="AB261" s="219"/>
    </row>
    <row r="262" spans="1:28" s="173" customFormat="1" ht="10.15" customHeight="1" x14ac:dyDescent="0.2">
      <c r="A262" s="220"/>
      <c r="B262" s="219"/>
      <c r="C262" s="219"/>
      <c r="D262" s="300"/>
      <c r="E262" s="300"/>
      <c r="F262" s="301"/>
      <c r="G262" s="301"/>
      <c r="H262" s="253"/>
      <c r="I262" s="300"/>
      <c r="J262" s="300"/>
      <c r="K262" s="301"/>
      <c r="L262" s="301"/>
      <c r="M262" s="253"/>
      <c r="N262" s="300"/>
      <c r="O262" s="300"/>
      <c r="P262" s="301"/>
      <c r="Q262" s="301"/>
      <c r="R262" s="253"/>
      <c r="S262" s="300"/>
      <c r="T262" s="300"/>
      <c r="U262" s="301"/>
      <c r="V262" s="301"/>
      <c r="W262" s="253"/>
      <c r="X262" s="287"/>
      <c r="Y262" s="287"/>
      <c r="Z262" s="301"/>
      <c r="AA262" s="301"/>
      <c r="AB262" s="219"/>
    </row>
    <row r="263" spans="1:28" s="173" customFormat="1" ht="13.5" customHeight="1" x14ac:dyDescent="0.2">
      <c r="A263" s="220"/>
      <c r="B263" s="219"/>
      <c r="C263" s="219"/>
      <c r="D263" s="616"/>
      <c r="E263" s="617"/>
      <c r="F263" s="617"/>
      <c r="G263" s="618"/>
      <c r="H263" s="253"/>
      <c r="I263" s="616"/>
      <c r="J263" s="617"/>
      <c r="K263" s="617"/>
      <c r="L263" s="618"/>
      <c r="M263" s="253"/>
      <c r="N263" s="616"/>
      <c r="O263" s="617"/>
      <c r="P263" s="617"/>
      <c r="Q263" s="618"/>
      <c r="R263" s="253"/>
      <c r="S263" s="616"/>
      <c r="T263" s="617"/>
      <c r="U263" s="617"/>
      <c r="V263" s="618"/>
      <c r="W263" s="253"/>
      <c r="X263" s="287"/>
      <c r="Y263" s="287"/>
      <c r="Z263" s="301"/>
      <c r="AA263" s="301"/>
      <c r="AB263" s="219"/>
    </row>
    <row r="264" spans="1:28" s="173" customFormat="1" ht="13.5" customHeight="1" x14ac:dyDescent="0.2">
      <c r="A264" s="220"/>
      <c r="B264" s="219"/>
      <c r="C264" s="219"/>
      <c r="D264" s="631"/>
      <c r="E264" s="632"/>
      <c r="F264" s="632"/>
      <c r="G264" s="633"/>
      <c r="H264" s="253"/>
      <c r="I264" s="631"/>
      <c r="J264" s="632"/>
      <c r="K264" s="632"/>
      <c r="L264" s="633"/>
      <c r="M264" s="253"/>
      <c r="N264" s="631"/>
      <c r="O264" s="632"/>
      <c r="P264" s="632"/>
      <c r="Q264" s="633"/>
      <c r="R264" s="253"/>
      <c r="S264" s="631"/>
      <c r="T264" s="632"/>
      <c r="U264" s="632"/>
      <c r="V264" s="633"/>
      <c r="W264" s="253"/>
      <c r="X264" s="287"/>
      <c r="Y264" s="287"/>
      <c r="Z264" s="301"/>
      <c r="AA264" s="301"/>
      <c r="AB264" s="219"/>
    </row>
    <row r="265" spans="1:28" s="173" customFormat="1" ht="13.5" customHeight="1" x14ac:dyDescent="0.2">
      <c r="A265" s="220"/>
      <c r="B265" s="219"/>
      <c r="C265" s="219"/>
      <c r="D265" s="631"/>
      <c r="E265" s="632"/>
      <c r="F265" s="632"/>
      <c r="G265" s="633"/>
      <c r="H265" s="253"/>
      <c r="I265" s="631"/>
      <c r="J265" s="632"/>
      <c r="K265" s="632"/>
      <c r="L265" s="633"/>
      <c r="M265" s="253"/>
      <c r="N265" s="631"/>
      <c r="O265" s="632"/>
      <c r="P265" s="632"/>
      <c r="Q265" s="633"/>
      <c r="R265" s="253"/>
      <c r="S265" s="631"/>
      <c r="T265" s="632"/>
      <c r="U265" s="632"/>
      <c r="V265" s="633"/>
      <c r="W265" s="253"/>
      <c r="X265" s="287"/>
      <c r="Y265" s="287"/>
      <c r="Z265" s="301"/>
      <c r="AA265" s="301"/>
      <c r="AB265" s="219"/>
    </row>
    <row r="266" spans="1:28" s="173" customFormat="1" ht="13.5" customHeight="1" x14ac:dyDescent="0.2">
      <c r="A266" s="220"/>
      <c r="B266" s="219"/>
      <c r="C266" s="219"/>
      <c r="D266" s="272"/>
      <c r="E266" s="273"/>
      <c r="F266" s="273"/>
      <c r="G266" s="274"/>
      <c r="H266" s="253"/>
      <c r="I266" s="272"/>
      <c r="J266" s="273"/>
      <c r="K266" s="273"/>
      <c r="L266" s="274"/>
      <c r="M266" s="253"/>
      <c r="N266" s="272"/>
      <c r="O266" s="273"/>
      <c r="P266" s="273"/>
      <c r="Q266" s="274"/>
      <c r="R266" s="253"/>
      <c r="S266" s="272"/>
      <c r="T266" s="273"/>
      <c r="U266" s="273"/>
      <c r="V266" s="274"/>
      <c r="W266" s="253"/>
      <c r="X266" s="287"/>
      <c r="Y266" s="287"/>
      <c r="Z266" s="301"/>
      <c r="AA266" s="301"/>
      <c r="AB266" s="219"/>
    </row>
    <row r="267" spans="1:28" s="173" customFormat="1" ht="13.5" customHeight="1" x14ac:dyDescent="0.2">
      <c r="A267" s="220"/>
      <c r="B267" s="219"/>
      <c r="C267" s="219"/>
      <c r="D267" s="631"/>
      <c r="E267" s="632"/>
      <c r="F267" s="632"/>
      <c r="G267" s="633"/>
      <c r="H267" s="253"/>
      <c r="I267" s="631"/>
      <c r="J267" s="632"/>
      <c r="K267" s="632"/>
      <c r="L267" s="633"/>
      <c r="M267" s="253"/>
      <c r="N267" s="631"/>
      <c r="O267" s="632"/>
      <c r="P267" s="632"/>
      <c r="Q267" s="633"/>
      <c r="R267" s="253"/>
      <c r="S267" s="631"/>
      <c r="T267" s="632"/>
      <c r="U267" s="632"/>
      <c r="V267" s="633"/>
      <c r="W267" s="253"/>
      <c r="X267" s="287"/>
      <c r="Y267" s="287"/>
      <c r="Z267" s="301"/>
      <c r="AA267" s="301"/>
      <c r="AB267" s="219"/>
    </row>
    <row r="268" spans="1:28" s="173" customFormat="1" ht="13.5" customHeight="1" x14ac:dyDescent="0.2">
      <c r="A268" s="220"/>
      <c r="B268" s="219"/>
      <c r="C268" s="219"/>
      <c r="D268" s="595"/>
      <c r="E268" s="596"/>
      <c r="F268" s="596"/>
      <c r="G268" s="597"/>
      <c r="H268" s="253"/>
      <c r="I268" s="595"/>
      <c r="J268" s="596"/>
      <c r="K268" s="596"/>
      <c r="L268" s="597"/>
      <c r="M268" s="253"/>
      <c r="N268" s="595"/>
      <c r="O268" s="596"/>
      <c r="P268" s="596"/>
      <c r="Q268" s="597"/>
      <c r="R268" s="253"/>
      <c r="S268" s="595"/>
      <c r="T268" s="596"/>
      <c r="U268" s="596"/>
      <c r="V268" s="597"/>
      <c r="W268" s="253"/>
      <c r="X268" s="287"/>
      <c r="Y268" s="287"/>
      <c r="Z268" s="301"/>
      <c r="AA268" s="301"/>
      <c r="AB268" s="219"/>
    </row>
    <row r="269" spans="1:28" s="173" customFormat="1" ht="13.5" customHeight="1" x14ac:dyDescent="0.25">
      <c r="A269" s="220"/>
      <c r="B269" s="219"/>
      <c r="C269" s="219"/>
      <c r="D269" s="619" t="s">
        <v>465</v>
      </c>
      <c r="E269" s="620"/>
      <c r="F269" s="620"/>
      <c r="G269" s="621"/>
      <c r="H269" s="253"/>
      <c r="I269" s="619" t="s">
        <v>917</v>
      </c>
      <c r="J269" s="620"/>
      <c r="K269" s="620"/>
      <c r="L269" s="621"/>
      <c r="M269" s="253"/>
      <c r="N269" s="754" t="s">
        <v>916</v>
      </c>
      <c r="O269" s="755"/>
      <c r="P269" s="755"/>
      <c r="Q269" s="756"/>
      <c r="R269" s="253"/>
      <c r="S269" s="754" t="s">
        <v>311</v>
      </c>
      <c r="T269" s="755"/>
      <c r="U269" s="755"/>
      <c r="V269" s="756"/>
      <c r="W269" s="253"/>
      <c r="X269" s="287"/>
      <c r="Y269" s="287"/>
      <c r="Z269" s="301"/>
      <c r="AA269" s="301"/>
      <c r="AB269" s="219"/>
    </row>
    <row r="270" spans="1:28" s="173" customFormat="1" ht="13.5" customHeight="1" x14ac:dyDescent="0.2">
      <c r="A270" s="220"/>
      <c r="B270" s="219"/>
      <c r="C270" s="219"/>
      <c r="D270" s="657" t="s">
        <v>574</v>
      </c>
      <c r="E270" s="657"/>
      <c r="F270" s="658"/>
      <c r="G270" s="658"/>
      <c r="H270" s="253"/>
      <c r="I270" s="968" t="s">
        <v>898</v>
      </c>
      <c r="J270" s="968"/>
      <c r="K270" s="969"/>
      <c r="L270" s="969"/>
      <c r="M270" s="253"/>
      <c r="N270" s="970" t="s">
        <v>900</v>
      </c>
      <c r="O270" s="971"/>
      <c r="P270" s="971"/>
      <c r="Q270" s="972"/>
      <c r="R270" s="253"/>
      <c r="S270" s="638" t="s">
        <v>573</v>
      </c>
      <c r="T270" s="639"/>
      <c r="U270" s="639"/>
      <c r="V270" s="640"/>
      <c r="W270" s="253"/>
      <c r="X270" s="287"/>
      <c r="Y270" s="287"/>
      <c r="Z270" s="301"/>
      <c r="AA270" s="301"/>
      <c r="AB270" s="219"/>
    </row>
    <row r="271" spans="1:28" s="173" customFormat="1" ht="13.5" customHeight="1" x14ac:dyDescent="0.2">
      <c r="A271" s="220"/>
      <c r="B271" s="219"/>
      <c r="C271" s="219"/>
      <c r="D271" s="638" t="s">
        <v>636</v>
      </c>
      <c r="E271" s="639"/>
      <c r="F271" s="639"/>
      <c r="G271" s="640"/>
      <c r="H271" s="253"/>
      <c r="I271" s="638" t="s">
        <v>899</v>
      </c>
      <c r="J271" s="639"/>
      <c r="K271" s="659"/>
      <c r="L271" s="660"/>
      <c r="M271" s="253"/>
      <c r="N271" s="638" t="s">
        <v>901</v>
      </c>
      <c r="O271" s="639"/>
      <c r="P271" s="659"/>
      <c r="Q271" s="660"/>
      <c r="R271" s="253"/>
      <c r="S271" s="638" t="s">
        <v>637</v>
      </c>
      <c r="T271" s="639"/>
      <c r="U271" s="639"/>
      <c r="V271" s="640"/>
      <c r="W271" s="253"/>
      <c r="X271" s="287"/>
      <c r="Y271" s="287"/>
      <c r="Z271" s="301"/>
      <c r="AA271" s="301"/>
      <c r="AB271" s="219"/>
    </row>
    <row r="272" spans="1:28" s="173" customFormat="1" ht="16.149999999999999" customHeight="1" thickBot="1" x14ac:dyDescent="0.3">
      <c r="A272" s="220"/>
      <c r="B272" s="219"/>
      <c r="C272" s="219"/>
      <c r="D272" s="634">
        <f>I215+N215+D407+I407</f>
        <v>2.02</v>
      </c>
      <c r="E272" s="635"/>
      <c r="F272" s="636">
        <v>0</v>
      </c>
      <c r="G272" s="637"/>
      <c r="H272" s="253"/>
      <c r="I272" s="634">
        <v>2.5</v>
      </c>
      <c r="J272" s="635"/>
      <c r="K272" s="636">
        <v>0</v>
      </c>
      <c r="L272" s="637"/>
      <c r="M272" s="253"/>
      <c r="N272" s="634">
        <v>2.75</v>
      </c>
      <c r="O272" s="635"/>
      <c r="P272" s="636">
        <v>0</v>
      </c>
      <c r="Q272" s="637"/>
      <c r="R272" s="253"/>
      <c r="S272" s="634">
        <v>2.8</v>
      </c>
      <c r="T272" s="635"/>
      <c r="U272" s="636">
        <v>0</v>
      </c>
      <c r="V272" s="637"/>
      <c r="W272" s="253"/>
      <c r="X272" s="287"/>
      <c r="Y272" s="287"/>
      <c r="Z272" s="301"/>
      <c r="AA272" s="301"/>
      <c r="AB272" s="219"/>
    </row>
    <row r="273" spans="1:28" ht="27" customHeight="1" x14ac:dyDescent="0.2">
      <c r="A273" s="219"/>
      <c r="B273" s="219"/>
      <c r="C273" s="219"/>
      <c r="D273" s="382"/>
      <c r="E273" s="382"/>
      <c r="F273" s="256"/>
      <c r="G273" s="256"/>
      <c r="H273" s="250"/>
      <c r="I273" s="382"/>
      <c r="J273" s="382"/>
      <c r="K273" s="256"/>
      <c r="L273" s="256"/>
      <c r="M273" s="250"/>
      <c r="N273" s="382"/>
      <c r="O273" s="382"/>
      <c r="P273" s="256"/>
      <c r="Q273" s="256"/>
      <c r="R273" s="250"/>
      <c r="S273" s="382"/>
      <c r="T273" s="382"/>
      <c r="U273" s="256"/>
      <c r="V273" s="256"/>
      <c r="W273" s="250"/>
      <c r="X273" s="382"/>
      <c r="Y273" s="382"/>
      <c r="Z273" s="256"/>
      <c r="AA273" s="256"/>
      <c r="AB273" s="219"/>
    </row>
    <row r="274" spans="1:28" s="240" customFormat="1" ht="27" customHeight="1" x14ac:dyDescent="0.25">
      <c r="A274" s="377"/>
      <c r="B274" s="345"/>
      <c r="C274" s="345"/>
      <c r="D274" s="663" t="s">
        <v>8</v>
      </c>
      <c r="E274" s="663"/>
      <c r="F274" s="663"/>
      <c r="G274" s="663"/>
      <c r="H274" s="663"/>
      <c r="I274" s="663"/>
      <c r="J274" s="663"/>
      <c r="K274" s="663"/>
      <c r="L274" s="663"/>
      <c r="M274" s="663"/>
      <c r="N274" s="663"/>
      <c r="O274" s="663"/>
      <c r="P274" s="663"/>
      <c r="Q274" s="663"/>
      <c r="R274" s="663"/>
      <c r="S274" s="663"/>
      <c r="T274" s="663"/>
      <c r="U274" s="663"/>
      <c r="V274" s="663"/>
      <c r="W274" s="663"/>
      <c r="X274" s="663"/>
      <c r="Y274" s="663"/>
      <c r="Z274" s="663"/>
      <c r="AA274" s="663"/>
      <c r="AB274" s="345"/>
    </row>
    <row r="275" spans="1:28" s="167" customFormat="1" ht="27" customHeight="1" x14ac:dyDescent="0.3">
      <c r="A275" s="374"/>
      <c r="B275" s="223"/>
      <c r="C275" s="223"/>
      <c r="D275" s="352"/>
      <c r="E275" s="352"/>
      <c r="F275" s="352"/>
      <c r="G275" s="352"/>
      <c r="H275" s="265"/>
      <c r="I275" s="265"/>
      <c r="J275" s="265"/>
      <c r="K275" s="265"/>
      <c r="L275" s="265"/>
      <c r="M275" s="265"/>
      <c r="N275" s="265"/>
      <c r="O275" s="265"/>
      <c r="P275" s="265"/>
      <c r="Q275" s="265"/>
      <c r="R275" s="265"/>
      <c r="S275" s="352"/>
      <c r="T275" s="352"/>
      <c r="U275" s="352"/>
      <c r="V275" s="352"/>
      <c r="W275" s="265"/>
      <c r="X275" s="265"/>
      <c r="Y275" s="265"/>
      <c r="Z275" s="265"/>
      <c r="AA275" s="265"/>
      <c r="AB275" s="223"/>
    </row>
    <row r="276" spans="1:28" ht="12.75" customHeight="1" x14ac:dyDescent="0.2">
      <c r="A276" s="219"/>
      <c r="B276" s="776" t="s">
        <v>167</v>
      </c>
      <c r="C276" s="353"/>
      <c r="D276" s="632"/>
      <c r="E276" s="632"/>
      <c r="F276" s="632"/>
      <c r="G276" s="632"/>
      <c r="H276" s="302"/>
      <c r="I276" s="616"/>
      <c r="J276" s="617"/>
      <c r="K276" s="617"/>
      <c r="L276" s="617"/>
      <c r="M276" s="253"/>
      <c r="N276" s="616"/>
      <c r="O276" s="617"/>
      <c r="P276" s="617"/>
      <c r="Q276" s="618"/>
      <c r="R276" s="302"/>
      <c r="S276" s="632"/>
      <c r="T276" s="632"/>
      <c r="U276" s="632"/>
      <c r="V276" s="632"/>
      <c r="W276" s="294"/>
      <c r="X276" s="611"/>
      <c r="Y276" s="611"/>
      <c r="Z276" s="611"/>
      <c r="AA276" s="611"/>
      <c r="AB276" s="219"/>
    </row>
    <row r="277" spans="1:28" ht="14.25" x14ac:dyDescent="0.2">
      <c r="A277" s="219"/>
      <c r="B277" s="776"/>
      <c r="C277" s="353"/>
      <c r="D277" s="632"/>
      <c r="E277" s="632"/>
      <c r="F277" s="632"/>
      <c r="G277" s="632"/>
      <c r="H277" s="302"/>
      <c r="I277" s="631"/>
      <c r="J277" s="632"/>
      <c r="K277" s="632"/>
      <c r="L277" s="632"/>
      <c r="M277" s="253"/>
      <c r="N277" s="631"/>
      <c r="O277" s="632"/>
      <c r="P277" s="632"/>
      <c r="Q277" s="633"/>
      <c r="R277" s="302"/>
      <c r="S277" s="632"/>
      <c r="T277" s="632"/>
      <c r="U277" s="632"/>
      <c r="V277" s="632"/>
      <c r="W277" s="294"/>
      <c r="X277" s="611"/>
      <c r="Y277" s="611"/>
      <c r="Z277" s="611"/>
      <c r="AA277" s="611"/>
      <c r="AB277" s="219"/>
    </row>
    <row r="278" spans="1:28" ht="14.25" x14ac:dyDescent="0.2">
      <c r="A278" s="219"/>
      <c r="B278" s="776"/>
      <c r="C278" s="353"/>
      <c r="D278" s="273"/>
      <c r="E278" s="273"/>
      <c r="F278" s="273"/>
      <c r="G278" s="273"/>
      <c r="H278" s="302"/>
      <c r="I278" s="272"/>
      <c r="J278" s="273"/>
      <c r="K278" s="273"/>
      <c r="L278" s="273"/>
      <c r="M278" s="253"/>
      <c r="N278" s="272"/>
      <c r="O278" s="273"/>
      <c r="P278" s="273"/>
      <c r="Q278" s="274"/>
      <c r="R278" s="302"/>
      <c r="S278" s="273"/>
      <c r="T278" s="273"/>
      <c r="U278" s="273"/>
      <c r="V278" s="273"/>
      <c r="W278" s="294"/>
      <c r="X278" s="278"/>
      <c r="Y278" s="278"/>
      <c r="Z278" s="278"/>
      <c r="AA278" s="278"/>
      <c r="AB278" s="219"/>
    </row>
    <row r="279" spans="1:28" ht="14.25" x14ac:dyDescent="0.2">
      <c r="A279" s="219"/>
      <c r="B279" s="776"/>
      <c r="C279" s="353"/>
      <c r="D279" s="632"/>
      <c r="E279" s="632"/>
      <c r="F279" s="632"/>
      <c r="G279" s="632"/>
      <c r="H279" s="302"/>
      <c r="I279" s="631"/>
      <c r="J279" s="632"/>
      <c r="K279" s="632"/>
      <c r="L279" s="632"/>
      <c r="M279" s="253"/>
      <c r="N279" s="631"/>
      <c r="O279" s="632"/>
      <c r="P279" s="632"/>
      <c r="Q279" s="633"/>
      <c r="R279" s="302"/>
      <c r="S279" s="632"/>
      <c r="T279" s="632"/>
      <c r="U279" s="632"/>
      <c r="V279" s="632"/>
      <c r="W279" s="294"/>
      <c r="X279" s="611"/>
      <c r="Y279" s="611"/>
      <c r="Z279" s="611"/>
      <c r="AA279" s="611"/>
      <c r="AB279" s="219"/>
    </row>
    <row r="280" spans="1:28" ht="14.25" x14ac:dyDescent="0.2">
      <c r="A280" s="219"/>
      <c r="B280" s="776"/>
      <c r="C280" s="353"/>
      <c r="D280" s="632"/>
      <c r="E280" s="632"/>
      <c r="F280" s="632"/>
      <c r="G280" s="632"/>
      <c r="H280" s="302"/>
      <c r="I280" s="631"/>
      <c r="J280" s="632"/>
      <c r="K280" s="632"/>
      <c r="L280" s="632"/>
      <c r="M280" s="253"/>
      <c r="N280" s="631"/>
      <c r="O280" s="632"/>
      <c r="P280" s="632"/>
      <c r="Q280" s="633"/>
      <c r="R280" s="302"/>
      <c r="S280" s="632"/>
      <c r="T280" s="632"/>
      <c r="U280" s="632"/>
      <c r="V280" s="632"/>
      <c r="W280" s="294"/>
      <c r="X280" s="611"/>
      <c r="Y280" s="611"/>
      <c r="Z280" s="611"/>
      <c r="AA280" s="611"/>
      <c r="AB280" s="219"/>
    </row>
    <row r="281" spans="1:28" ht="14.25" x14ac:dyDescent="0.2">
      <c r="A281" s="219"/>
      <c r="B281" s="776"/>
      <c r="C281" s="353"/>
      <c r="D281" s="595"/>
      <c r="E281" s="596"/>
      <c r="F281" s="596"/>
      <c r="G281" s="597"/>
      <c r="H281" s="302"/>
      <c r="I281" s="595"/>
      <c r="J281" s="596"/>
      <c r="K281" s="596"/>
      <c r="L281" s="596"/>
      <c r="M281" s="253"/>
      <c r="N281" s="595"/>
      <c r="O281" s="596"/>
      <c r="P281" s="596"/>
      <c r="Q281" s="597"/>
      <c r="R281" s="302"/>
      <c r="S281" s="632"/>
      <c r="T281" s="632"/>
      <c r="U281" s="632"/>
      <c r="V281" s="632"/>
      <c r="W281" s="294"/>
      <c r="X281" s="611"/>
      <c r="Y281" s="611"/>
      <c r="Z281" s="611"/>
      <c r="AA281" s="611"/>
      <c r="AB281" s="219"/>
    </row>
    <row r="282" spans="1:28" ht="15" x14ac:dyDescent="0.25">
      <c r="A282" s="219"/>
      <c r="B282" s="776"/>
      <c r="C282" s="241"/>
      <c r="D282" s="673" t="s">
        <v>232</v>
      </c>
      <c r="E282" s="674"/>
      <c r="F282" s="674"/>
      <c r="G282" s="675"/>
      <c r="H282" s="253"/>
      <c r="I282" s="598" t="s">
        <v>216</v>
      </c>
      <c r="J282" s="599"/>
      <c r="K282" s="599"/>
      <c r="L282" s="600"/>
      <c r="M282" s="253"/>
      <c r="N282" s="619" t="s">
        <v>442</v>
      </c>
      <c r="O282" s="620"/>
      <c r="P282" s="620"/>
      <c r="Q282" s="621"/>
      <c r="R282" s="253"/>
      <c r="S282" s="619" t="s">
        <v>219</v>
      </c>
      <c r="T282" s="620"/>
      <c r="U282" s="620"/>
      <c r="V282" s="621"/>
      <c r="W282" s="253"/>
      <c r="X282" s="630"/>
      <c r="Y282" s="630"/>
      <c r="Z282" s="630"/>
      <c r="AA282" s="630"/>
      <c r="AB282" s="219"/>
    </row>
    <row r="283" spans="1:28" s="175" customFormat="1" ht="27" customHeight="1" thickBot="1" x14ac:dyDescent="0.3">
      <c r="A283" s="224"/>
      <c r="B283" s="776"/>
      <c r="C283" s="241"/>
      <c r="D283" s="625" t="s">
        <v>638</v>
      </c>
      <c r="E283" s="626"/>
      <c r="F283" s="626"/>
      <c r="G283" s="627"/>
      <c r="H283" s="266"/>
      <c r="I283" s="625" t="s">
        <v>280</v>
      </c>
      <c r="J283" s="626"/>
      <c r="K283" s="626"/>
      <c r="L283" s="627"/>
      <c r="M283" s="266"/>
      <c r="N283" s="625" t="s">
        <v>443</v>
      </c>
      <c r="O283" s="626"/>
      <c r="P283" s="626"/>
      <c r="Q283" s="627"/>
      <c r="R283" s="266"/>
      <c r="S283" s="625" t="s">
        <v>639</v>
      </c>
      <c r="T283" s="626"/>
      <c r="U283" s="626"/>
      <c r="V283" s="627"/>
      <c r="W283" s="266"/>
      <c r="X283" s="827"/>
      <c r="Y283" s="827"/>
      <c r="Z283" s="827"/>
      <c r="AA283" s="827"/>
      <c r="AB283" s="224"/>
    </row>
    <row r="284" spans="1:28" ht="16.149999999999999" customHeight="1" thickBot="1" x14ac:dyDescent="0.3">
      <c r="A284" s="219"/>
      <c r="B284" s="776"/>
      <c r="C284" s="241"/>
      <c r="D284" s="671">
        <v>0.13</v>
      </c>
      <c r="E284" s="629"/>
      <c r="F284" s="644"/>
      <c r="G284" s="645"/>
      <c r="H284" s="302"/>
      <c r="I284" s="1015">
        <v>0.95</v>
      </c>
      <c r="J284" s="896"/>
      <c r="K284" s="850">
        <v>0</v>
      </c>
      <c r="L284" s="851"/>
      <c r="M284" s="302"/>
      <c r="N284" s="628">
        <v>0.95</v>
      </c>
      <c r="O284" s="629"/>
      <c r="P284" s="644">
        <v>0</v>
      </c>
      <c r="Q284" s="645"/>
      <c r="R284" s="302"/>
      <c r="S284" s="628">
        <v>0.25</v>
      </c>
      <c r="T284" s="629"/>
      <c r="U284" s="644">
        <v>0</v>
      </c>
      <c r="V284" s="791"/>
      <c r="W284" s="294"/>
      <c r="X284" s="805"/>
      <c r="Y284" s="805"/>
      <c r="Z284" s="771"/>
      <c r="AA284" s="771"/>
      <c r="AB284" s="219"/>
    </row>
    <row r="285" spans="1:28" s="460" customFormat="1" ht="16.149999999999999" customHeight="1" x14ac:dyDescent="0.2">
      <c r="A285" s="456"/>
      <c r="B285" s="776"/>
      <c r="C285" s="241"/>
      <c r="D285" s="490">
        <f>D284*G285</f>
        <v>52</v>
      </c>
      <c r="E285" s="463"/>
      <c r="F285" s="464" t="s">
        <v>293</v>
      </c>
      <c r="G285" s="465">
        <v>400</v>
      </c>
      <c r="H285" s="466"/>
      <c r="I285" s="491">
        <f>I284*L285</f>
        <v>95</v>
      </c>
      <c r="J285" s="463"/>
      <c r="K285" s="464" t="s">
        <v>293</v>
      </c>
      <c r="L285" s="465">
        <v>100</v>
      </c>
      <c r="M285" s="466"/>
      <c r="N285" s="491">
        <f>N284*Q285</f>
        <v>95</v>
      </c>
      <c r="O285" s="463"/>
      <c r="P285" s="464" t="s">
        <v>293</v>
      </c>
      <c r="Q285" s="465">
        <v>100</v>
      </c>
      <c r="R285" s="466"/>
      <c r="S285" s="491">
        <f>S284*V285</f>
        <v>37.5</v>
      </c>
      <c r="T285" s="463"/>
      <c r="U285" s="464" t="s">
        <v>293</v>
      </c>
      <c r="V285" s="465">
        <v>150</v>
      </c>
      <c r="W285" s="524"/>
      <c r="X285" s="520"/>
      <c r="Y285" s="521"/>
      <c r="Z285" s="522"/>
      <c r="AA285" s="523"/>
      <c r="AB285" s="456"/>
    </row>
    <row r="286" spans="1:28" s="173" customFormat="1" ht="10.15" customHeight="1" x14ac:dyDescent="0.2">
      <c r="A286" s="220"/>
      <c r="B286" s="229"/>
      <c r="C286" s="229"/>
      <c r="D286" s="349"/>
      <c r="E286" s="349"/>
      <c r="F286" s="350"/>
      <c r="G286" s="351"/>
      <c r="H286" s="253"/>
      <c r="I286" s="349"/>
      <c r="J286" s="349"/>
      <c r="K286" s="350"/>
      <c r="L286" s="351"/>
      <c r="M286" s="253"/>
      <c r="N286" s="349"/>
      <c r="O286" s="349"/>
      <c r="P286" s="350"/>
      <c r="Q286" s="351"/>
      <c r="R286" s="253"/>
      <c r="S286" s="349"/>
      <c r="T286" s="349"/>
      <c r="U286" s="350"/>
      <c r="V286" s="351"/>
      <c r="W286" s="253"/>
      <c r="X286" s="305"/>
      <c r="Y286" s="305"/>
      <c r="Z286" s="525"/>
      <c r="AA286" s="526"/>
      <c r="AB286" s="220"/>
    </row>
    <row r="287" spans="1:28" ht="12.75" customHeight="1" x14ac:dyDescent="0.2">
      <c r="A287" s="219"/>
      <c r="B287" s="776" t="s">
        <v>281</v>
      </c>
      <c r="C287" s="241"/>
      <c r="D287" s="641"/>
      <c r="E287" s="632"/>
      <c r="F287" s="632"/>
      <c r="G287" s="632"/>
      <c r="H287" s="302"/>
      <c r="I287" s="632"/>
      <c r="J287" s="632"/>
      <c r="K287" s="632"/>
      <c r="L287" s="632"/>
      <c r="M287" s="302"/>
      <c r="N287" s="632"/>
      <c r="O287" s="632"/>
      <c r="P287" s="632"/>
      <c r="Q287" s="632"/>
      <c r="R287" s="302"/>
      <c r="S287" s="632"/>
      <c r="T287" s="632"/>
      <c r="U287" s="632"/>
      <c r="V287" s="632"/>
      <c r="W287" s="302"/>
      <c r="X287" s="632"/>
      <c r="Y287" s="632"/>
      <c r="Z287" s="632"/>
      <c r="AA287" s="632"/>
      <c r="AB287" s="383"/>
    </row>
    <row r="288" spans="1:28" ht="14.25" x14ac:dyDescent="0.2">
      <c r="A288" s="219"/>
      <c r="B288" s="776"/>
      <c r="C288" s="241"/>
      <c r="D288" s="641"/>
      <c r="E288" s="632"/>
      <c r="F288" s="632"/>
      <c r="G288" s="632"/>
      <c r="H288" s="302"/>
      <c r="I288" s="632"/>
      <c r="J288" s="632"/>
      <c r="K288" s="632"/>
      <c r="L288" s="632"/>
      <c r="M288" s="302"/>
      <c r="N288" s="632"/>
      <c r="O288" s="632"/>
      <c r="P288" s="632"/>
      <c r="Q288" s="632"/>
      <c r="R288" s="302"/>
      <c r="S288" s="632"/>
      <c r="T288" s="632"/>
      <c r="U288" s="632"/>
      <c r="V288" s="632"/>
      <c r="W288" s="302"/>
      <c r="X288" s="632"/>
      <c r="Y288" s="632"/>
      <c r="Z288" s="632"/>
      <c r="AA288" s="632"/>
      <c r="AB288" s="383"/>
    </row>
    <row r="289" spans="1:28" ht="14.25" x14ac:dyDescent="0.2">
      <c r="A289" s="219"/>
      <c r="B289" s="776"/>
      <c r="C289" s="241"/>
      <c r="D289" s="295"/>
      <c r="E289" s="273"/>
      <c r="F289" s="273"/>
      <c r="G289" s="273"/>
      <c r="H289" s="302"/>
      <c r="I289" s="273"/>
      <c r="J289" s="273"/>
      <c r="K289" s="273"/>
      <c r="L289" s="273"/>
      <c r="M289" s="302"/>
      <c r="N289" s="273"/>
      <c r="O289" s="273"/>
      <c r="P289" s="273"/>
      <c r="Q289" s="273"/>
      <c r="R289" s="302"/>
      <c r="S289" s="632"/>
      <c r="T289" s="632"/>
      <c r="U289" s="632"/>
      <c r="V289" s="632"/>
      <c r="W289" s="302"/>
      <c r="X289" s="632"/>
      <c r="Y289" s="632"/>
      <c r="Z289" s="632"/>
      <c r="AA289" s="632"/>
      <c r="AB289" s="383"/>
    </row>
    <row r="290" spans="1:28" ht="14.25" x14ac:dyDescent="0.2">
      <c r="A290" s="219"/>
      <c r="B290" s="776"/>
      <c r="C290" s="241"/>
      <c r="D290" s="641"/>
      <c r="E290" s="632"/>
      <c r="F290" s="632"/>
      <c r="G290" s="632"/>
      <c r="H290" s="302"/>
      <c r="I290" s="632"/>
      <c r="J290" s="632"/>
      <c r="K290" s="632"/>
      <c r="L290" s="632"/>
      <c r="M290" s="302"/>
      <c r="N290" s="632"/>
      <c r="O290" s="632"/>
      <c r="P290" s="632"/>
      <c r="Q290" s="632"/>
      <c r="R290" s="302"/>
      <c r="S290" s="632"/>
      <c r="T290" s="632"/>
      <c r="U290" s="632"/>
      <c r="V290" s="632"/>
      <c r="W290" s="302"/>
      <c r="X290" s="632"/>
      <c r="Y290" s="632"/>
      <c r="Z290" s="632"/>
      <c r="AA290" s="632"/>
      <c r="AB290" s="383"/>
    </row>
    <row r="291" spans="1:28" ht="14.25" x14ac:dyDescent="0.2">
      <c r="A291" s="219"/>
      <c r="B291" s="776"/>
      <c r="C291" s="241"/>
      <c r="D291" s="641"/>
      <c r="E291" s="632"/>
      <c r="F291" s="632"/>
      <c r="G291" s="632"/>
      <c r="H291" s="302"/>
      <c r="I291" s="632"/>
      <c r="J291" s="632"/>
      <c r="K291" s="632"/>
      <c r="L291" s="632"/>
      <c r="M291" s="302"/>
      <c r="N291" s="632"/>
      <c r="O291" s="632"/>
      <c r="P291" s="632"/>
      <c r="Q291" s="632"/>
      <c r="R291" s="302"/>
      <c r="S291" s="632"/>
      <c r="T291" s="632"/>
      <c r="U291" s="632"/>
      <c r="V291" s="632"/>
      <c r="W291" s="302"/>
      <c r="X291" s="632"/>
      <c r="Y291" s="632"/>
      <c r="Z291" s="632"/>
      <c r="AA291" s="632"/>
      <c r="AB291" s="383"/>
    </row>
    <row r="292" spans="1:28" ht="14.25" x14ac:dyDescent="0.2">
      <c r="A292" s="219"/>
      <c r="B292" s="776"/>
      <c r="C292" s="241"/>
      <c r="D292" s="641"/>
      <c r="E292" s="632"/>
      <c r="F292" s="632"/>
      <c r="G292" s="632"/>
      <c r="H292" s="302"/>
      <c r="I292" s="632"/>
      <c r="J292" s="632"/>
      <c r="K292" s="632"/>
      <c r="L292" s="632"/>
      <c r="M292" s="302"/>
      <c r="N292" s="632"/>
      <c r="O292" s="632"/>
      <c r="P292" s="632"/>
      <c r="Q292" s="632"/>
      <c r="R292" s="302"/>
      <c r="S292" s="632"/>
      <c r="T292" s="632"/>
      <c r="U292" s="632"/>
      <c r="V292" s="632"/>
      <c r="W292" s="302"/>
      <c r="X292" s="632"/>
      <c r="Y292" s="632"/>
      <c r="Z292" s="632"/>
      <c r="AA292" s="632"/>
      <c r="AB292" s="383"/>
    </row>
    <row r="293" spans="1:28" ht="15" x14ac:dyDescent="0.25">
      <c r="A293" s="219"/>
      <c r="B293" s="776"/>
      <c r="C293" s="241"/>
      <c r="D293" s="619" t="s">
        <v>217</v>
      </c>
      <c r="E293" s="620"/>
      <c r="F293" s="620"/>
      <c r="G293" s="621"/>
      <c r="H293" s="253"/>
      <c r="I293" s="619" t="s">
        <v>218</v>
      </c>
      <c r="J293" s="620"/>
      <c r="K293" s="620"/>
      <c r="L293" s="621"/>
      <c r="M293" s="253"/>
      <c r="N293" s="619" t="s">
        <v>180</v>
      </c>
      <c r="O293" s="620"/>
      <c r="P293" s="620"/>
      <c r="Q293" s="621"/>
      <c r="R293" s="253"/>
      <c r="S293" s="619" t="s">
        <v>445</v>
      </c>
      <c r="T293" s="620"/>
      <c r="U293" s="620"/>
      <c r="V293" s="621"/>
      <c r="W293" s="253"/>
      <c r="X293" s="619" t="s">
        <v>457</v>
      </c>
      <c r="Y293" s="620"/>
      <c r="Z293" s="620"/>
      <c r="AA293" s="621"/>
      <c r="AB293" s="219"/>
    </row>
    <row r="294" spans="1:28" s="175" customFormat="1" ht="27" customHeight="1" thickBot="1" x14ac:dyDescent="0.3">
      <c r="A294" s="224"/>
      <c r="B294" s="776"/>
      <c r="C294" s="241"/>
      <c r="D294" s="1011" t="s">
        <v>640</v>
      </c>
      <c r="E294" s="626"/>
      <c r="F294" s="626"/>
      <c r="G294" s="627"/>
      <c r="H294" s="266"/>
      <c r="I294" s="625" t="s">
        <v>641</v>
      </c>
      <c r="J294" s="626"/>
      <c r="K294" s="626"/>
      <c r="L294" s="627"/>
      <c r="M294" s="266"/>
      <c r="N294" s="625" t="s">
        <v>282</v>
      </c>
      <c r="O294" s="626"/>
      <c r="P294" s="626"/>
      <c r="Q294" s="627"/>
      <c r="R294" s="266"/>
      <c r="S294" s="625" t="s">
        <v>444</v>
      </c>
      <c r="T294" s="626"/>
      <c r="U294" s="626"/>
      <c r="V294" s="627"/>
      <c r="W294" s="266"/>
      <c r="X294" s="625" t="s">
        <v>458</v>
      </c>
      <c r="Y294" s="626"/>
      <c r="Z294" s="626"/>
      <c r="AA294" s="627"/>
      <c r="AB294" s="224"/>
    </row>
    <row r="295" spans="1:28" ht="16.149999999999999" customHeight="1" thickBot="1" x14ac:dyDescent="0.3">
      <c r="A295" s="219"/>
      <c r="B295" s="776"/>
      <c r="C295" s="241"/>
      <c r="D295" s="664">
        <v>2.4</v>
      </c>
      <c r="E295" s="665"/>
      <c r="F295" s="644"/>
      <c r="G295" s="645"/>
      <c r="H295" s="302"/>
      <c r="I295" s="628">
        <v>2.4</v>
      </c>
      <c r="J295" s="629"/>
      <c r="K295" s="644">
        <v>0</v>
      </c>
      <c r="L295" s="645"/>
      <c r="M295" s="302"/>
      <c r="N295" s="628">
        <v>0.7</v>
      </c>
      <c r="O295" s="629"/>
      <c r="P295" s="644">
        <v>0</v>
      </c>
      <c r="Q295" s="645"/>
      <c r="R295" s="302"/>
      <c r="S295" s="628">
        <v>5</v>
      </c>
      <c r="T295" s="629"/>
      <c r="U295" s="644">
        <v>0</v>
      </c>
      <c r="V295" s="645"/>
      <c r="W295" s="302"/>
      <c r="X295" s="628">
        <v>5</v>
      </c>
      <c r="Y295" s="629"/>
      <c r="Z295" s="644">
        <v>0</v>
      </c>
      <c r="AA295" s="791"/>
      <c r="AB295" s="219"/>
    </row>
    <row r="296" spans="1:28" s="460" customFormat="1" ht="16.149999999999999" customHeight="1" x14ac:dyDescent="0.2">
      <c r="A296" s="456"/>
      <c r="B296" s="776"/>
      <c r="C296" s="241"/>
      <c r="D296" s="490">
        <f>D295*G296</f>
        <v>240</v>
      </c>
      <c r="E296" s="463"/>
      <c r="F296" s="464" t="s">
        <v>293</v>
      </c>
      <c r="G296" s="465">
        <v>100</v>
      </c>
      <c r="H296" s="466"/>
      <c r="I296" s="491">
        <f>I295*L296</f>
        <v>240</v>
      </c>
      <c r="J296" s="463"/>
      <c r="K296" s="464" t="s">
        <v>293</v>
      </c>
      <c r="L296" s="465">
        <v>100</v>
      </c>
      <c r="M296" s="466"/>
      <c r="N296" s="491">
        <f>N295*Q296</f>
        <v>70</v>
      </c>
      <c r="O296" s="463"/>
      <c r="P296" s="464" t="s">
        <v>293</v>
      </c>
      <c r="Q296" s="465">
        <v>100</v>
      </c>
      <c r="R296" s="466"/>
      <c r="S296" s="491">
        <f>S295*V296</f>
        <v>75</v>
      </c>
      <c r="T296" s="463"/>
      <c r="U296" s="464" t="s">
        <v>293</v>
      </c>
      <c r="V296" s="465">
        <v>15</v>
      </c>
      <c r="W296" s="466"/>
      <c r="X296" s="491">
        <f>X295*AA296</f>
        <v>50</v>
      </c>
      <c r="Y296" s="463"/>
      <c r="Z296" s="464" t="s">
        <v>293</v>
      </c>
      <c r="AA296" s="465">
        <v>10</v>
      </c>
      <c r="AB296" s="467"/>
    </row>
    <row r="297" spans="1:28" s="173" customFormat="1" ht="10.15" customHeight="1" x14ac:dyDescent="0.2">
      <c r="A297" s="220"/>
      <c r="B297" s="220"/>
      <c r="C297" s="220"/>
      <c r="D297" s="346"/>
      <c r="E297" s="346"/>
      <c r="F297" s="347"/>
      <c r="G297" s="348"/>
      <c r="H297" s="253"/>
      <c r="I297" s="346"/>
      <c r="J297" s="346"/>
      <c r="K297" s="347"/>
      <c r="L297" s="348"/>
      <c r="M297" s="253"/>
      <c r="N297" s="346"/>
      <c r="O297" s="346"/>
      <c r="P297" s="347"/>
      <c r="Q297" s="348"/>
      <c r="R297" s="253"/>
      <c r="S297" s="346"/>
      <c r="T297" s="346"/>
      <c r="U297" s="347"/>
      <c r="V297" s="348"/>
      <c r="W297" s="253"/>
      <c r="X297" s="346"/>
      <c r="Y297" s="346"/>
      <c r="Z297" s="347"/>
      <c r="AA297" s="348"/>
      <c r="AB297" s="220"/>
    </row>
    <row r="298" spans="1:28" ht="12.75" customHeight="1" x14ac:dyDescent="0.2">
      <c r="A298" s="219"/>
      <c r="B298" s="776" t="s">
        <v>181</v>
      </c>
      <c r="C298" s="241"/>
      <c r="D298" s="616"/>
      <c r="E298" s="617"/>
      <c r="F298" s="617"/>
      <c r="G298" s="618"/>
      <c r="H298" s="253"/>
      <c r="I298" s="616"/>
      <c r="J298" s="617"/>
      <c r="K298" s="617"/>
      <c r="L298" s="618"/>
      <c r="M298" s="253"/>
      <c r="N298" s="616"/>
      <c r="O298" s="617"/>
      <c r="P298" s="617"/>
      <c r="Q298" s="618"/>
      <c r="R298" s="253"/>
      <c r="S298" s="616"/>
      <c r="T298" s="617"/>
      <c r="U298" s="617"/>
      <c r="V298" s="618"/>
      <c r="W298" s="253"/>
      <c r="X298" s="611"/>
      <c r="Y298" s="611"/>
      <c r="Z298" s="611"/>
      <c r="AA298" s="611"/>
      <c r="AB298" s="219"/>
    </row>
    <row r="299" spans="1:28" ht="14.25" x14ac:dyDescent="0.2">
      <c r="A299" s="219"/>
      <c r="B299" s="776"/>
      <c r="C299" s="241"/>
      <c r="D299" s="631"/>
      <c r="E299" s="632"/>
      <c r="F299" s="632"/>
      <c r="G299" s="633"/>
      <c r="H299" s="253"/>
      <c r="I299" s="631"/>
      <c r="J299" s="632"/>
      <c r="K299" s="632"/>
      <c r="L299" s="633"/>
      <c r="M299" s="253"/>
      <c r="N299" s="631"/>
      <c r="O299" s="632"/>
      <c r="P299" s="632"/>
      <c r="Q299" s="633"/>
      <c r="R299" s="253"/>
      <c r="S299" s="631"/>
      <c r="T299" s="632"/>
      <c r="U299" s="632"/>
      <c r="V299" s="633"/>
      <c r="W299" s="253"/>
      <c r="X299" s="611"/>
      <c r="Y299" s="611"/>
      <c r="Z299" s="611"/>
      <c r="AA299" s="611"/>
      <c r="AB299" s="219"/>
    </row>
    <row r="300" spans="1:28" ht="14.25" x14ac:dyDescent="0.2">
      <c r="A300" s="219"/>
      <c r="B300" s="776"/>
      <c r="C300" s="241"/>
      <c r="D300" s="631"/>
      <c r="E300" s="632"/>
      <c r="F300" s="632"/>
      <c r="G300" s="633"/>
      <c r="H300" s="253"/>
      <c r="I300" s="631"/>
      <c r="J300" s="632"/>
      <c r="K300" s="632"/>
      <c r="L300" s="633"/>
      <c r="M300" s="253"/>
      <c r="N300" s="631"/>
      <c r="O300" s="632"/>
      <c r="P300" s="632"/>
      <c r="Q300" s="633"/>
      <c r="R300" s="253"/>
      <c r="S300" s="631"/>
      <c r="T300" s="632"/>
      <c r="U300" s="632"/>
      <c r="V300" s="633"/>
      <c r="W300" s="253"/>
      <c r="X300" s="611"/>
      <c r="Y300" s="611"/>
      <c r="Z300" s="611"/>
      <c r="AA300" s="611"/>
      <c r="AB300" s="219"/>
    </row>
    <row r="301" spans="1:28" ht="14.25" x14ac:dyDescent="0.2">
      <c r="A301" s="219"/>
      <c r="B301" s="776"/>
      <c r="C301" s="241"/>
      <c r="D301" s="272"/>
      <c r="E301" s="273"/>
      <c r="F301" s="273"/>
      <c r="G301" s="274"/>
      <c r="H301" s="253"/>
      <c r="I301" s="272"/>
      <c r="J301" s="273"/>
      <c r="K301" s="273"/>
      <c r="L301" s="274"/>
      <c r="M301" s="253"/>
      <c r="N301" s="272"/>
      <c r="O301" s="273"/>
      <c r="P301" s="273"/>
      <c r="Q301" s="274"/>
      <c r="R301" s="253"/>
      <c r="S301" s="272"/>
      <c r="T301" s="273"/>
      <c r="U301" s="273"/>
      <c r="V301" s="274"/>
      <c r="W301" s="253"/>
      <c r="X301" s="278"/>
      <c r="Y301" s="278"/>
      <c r="Z301" s="278"/>
      <c r="AA301" s="278"/>
      <c r="AB301" s="219"/>
    </row>
    <row r="302" spans="1:28" ht="14.25" x14ac:dyDescent="0.2">
      <c r="A302" s="219"/>
      <c r="B302" s="776"/>
      <c r="C302" s="241"/>
      <c r="D302" s="631"/>
      <c r="E302" s="632"/>
      <c r="F302" s="632"/>
      <c r="G302" s="633"/>
      <c r="H302" s="253"/>
      <c r="I302" s="631"/>
      <c r="J302" s="632"/>
      <c r="K302" s="632"/>
      <c r="L302" s="633"/>
      <c r="M302" s="253"/>
      <c r="N302" s="631"/>
      <c r="O302" s="632"/>
      <c r="P302" s="632"/>
      <c r="Q302" s="633"/>
      <c r="R302" s="253"/>
      <c r="S302" s="631"/>
      <c r="T302" s="632"/>
      <c r="U302" s="632"/>
      <c r="V302" s="633"/>
      <c r="W302" s="253"/>
      <c r="X302" s="611"/>
      <c r="Y302" s="611"/>
      <c r="Z302" s="611"/>
      <c r="AA302" s="611"/>
      <c r="AB302" s="219"/>
    </row>
    <row r="303" spans="1:28" ht="14.25" x14ac:dyDescent="0.2">
      <c r="A303" s="219"/>
      <c r="B303" s="776"/>
      <c r="C303" s="241"/>
      <c r="D303" s="595"/>
      <c r="E303" s="596"/>
      <c r="F303" s="596"/>
      <c r="G303" s="597"/>
      <c r="H303" s="253"/>
      <c r="I303" s="595"/>
      <c r="J303" s="596"/>
      <c r="K303" s="596"/>
      <c r="L303" s="597"/>
      <c r="M303" s="253"/>
      <c r="N303" s="595"/>
      <c r="O303" s="596"/>
      <c r="P303" s="596"/>
      <c r="Q303" s="597"/>
      <c r="R303" s="253"/>
      <c r="S303" s="595"/>
      <c r="T303" s="596"/>
      <c r="U303" s="596"/>
      <c r="V303" s="597"/>
      <c r="W303" s="253"/>
      <c r="X303" s="611"/>
      <c r="Y303" s="611"/>
      <c r="Z303" s="611"/>
      <c r="AA303" s="611"/>
      <c r="AB303" s="219"/>
    </row>
    <row r="304" spans="1:28" ht="15" x14ac:dyDescent="0.25">
      <c r="A304" s="219"/>
      <c r="B304" s="776"/>
      <c r="C304" s="241"/>
      <c r="D304" s="673" t="s">
        <v>186</v>
      </c>
      <c r="E304" s="674"/>
      <c r="F304" s="674"/>
      <c r="G304" s="675"/>
      <c r="H304" s="253"/>
      <c r="I304" s="673" t="s">
        <v>187</v>
      </c>
      <c r="J304" s="674"/>
      <c r="K304" s="674"/>
      <c r="L304" s="675"/>
      <c r="M304" s="253"/>
      <c r="N304" s="646" t="s">
        <v>188</v>
      </c>
      <c r="O304" s="647"/>
      <c r="P304" s="647"/>
      <c r="Q304" s="648"/>
      <c r="R304" s="253"/>
      <c r="S304" s="646" t="s">
        <v>189</v>
      </c>
      <c r="T304" s="647"/>
      <c r="U304" s="647"/>
      <c r="V304" s="648"/>
      <c r="W304" s="253"/>
      <c r="X304" s="630"/>
      <c r="Y304" s="630"/>
      <c r="Z304" s="630"/>
      <c r="AA304" s="630"/>
      <c r="AB304" s="219"/>
    </row>
    <row r="305" spans="1:28" s="175" customFormat="1" ht="27" customHeight="1" x14ac:dyDescent="0.25">
      <c r="A305" s="224"/>
      <c r="B305" s="776"/>
      <c r="C305" s="241"/>
      <c r="D305" s="601" t="s">
        <v>642</v>
      </c>
      <c r="E305" s="602"/>
      <c r="F305" s="602"/>
      <c r="G305" s="605"/>
      <c r="H305" s="266"/>
      <c r="I305" s="601" t="s">
        <v>165</v>
      </c>
      <c r="J305" s="602"/>
      <c r="K305" s="602"/>
      <c r="L305" s="605"/>
      <c r="M305" s="266"/>
      <c r="N305" s="601" t="s">
        <v>9</v>
      </c>
      <c r="O305" s="602"/>
      <c r="P305" s="602"/>
      <c r="Q305" s="605"/>
      <c r="R305" s="266"/>
      <c r="S305" s="601" t="s">
        <v>10</v>
      </c>
      <c r="T305" s="602"/>
      <c r="U305" s="602"/>
      <c r="V305" s="605"/>
      <c r="W305" s="266"/>
      <c r="X305" s="827"/>
      <c r="Y305" s="827"/>
      <c r="Z305" s="827"/>
      <c r="AA305" s="827"/>
      <c r="AB305" s="224"/>
    </row>
    <row r="306" spans="1:28" ht="16.149999999999999" customHeight="1" thickBot="1" x14ac:dyDescent="0.3">
      <c r="A306" s="219"/>
      <c r="B306" s="776"/>
      <c r="C306" s="241"/>
      <c r="D306" s="634">
        <v>0.13</v>
      </c>
      <c r="E306" s="635"/>
      <c r="F306" s="636">
        <v>0</v>
      </c>
      <c r="G306" s="637"/>
      <c r="H306" s="253"/>
      <c r="I306" s="634">
        <v>0.5</v>
      </c>
      <c r="J306" s="635"/>
      <c r="K306" s="636">
        <v>0</v>
      </c>
      <c r="L306" s="637"/>
      <c r="M306" s="253"/>
      <c r="N306" s="848">
        <v>0.2</v>
      </c>
      <c r="O306" s="849"/>
      <c r="P306" s="666">
        <v>0</v>
      </c>
      <c r="Q306" s="667"/>
      <c r="R306" s="253"/>
      <c r="S306" s="848">
        <v>0.23</v>
      </c>
      <c r="T306" s="849"/>
      <c r="U306" s="666">
        <v>0</v>
      </c>
      <c r="V306" s="667"/>
      <c r="W306" s="253"/>
      <c r="X306" s="973"/>
      <c r="Y306" s="973"/>
      <c r="Z306" s="672"/>
      <c r="AA306" s="672"/>
      <c r="AB306" s="219"/>
    </row>
    <row r="307" spans="1:28" s="460" customFormat="1" ht="16.149999999999999" customHeight="1" x14ac:dyDescent="0.2">
      <c r="A307" s="456"/>
      <c r="B307" s="776"/>
      <c r="C307" s="241"/>
      <c r="D307" s="486">
        <f>D306*G307</f>
        <v>39</v>
      </c>
      <c r="E307" s="450"/>
      <c r="F307" s="457" t="s">
        <v>293</v>
      </c>
      <c r="G307" s="458">
        <v>300</v>
      </c>
      <c r="H307" s="449"/>
      <c r="I307" s="486">
        <f>I306*L307</f>
        <v>50</v>
      </c>
      <c r="J307" s="450"/>
      <c r="K307" s="457" t="s">
        <v>293</v>
      </c>
      <c r="L307" s="458">
        <v>100</v>
      </c>
      <c r="M307" s="449"/>
      <c r="N307" s="486">
        <f>N306*Q307</f>
        <v>46</v>
      </c>
      <c r="O307" s="450"/>
      <c r="P307" s="457" t="s">
        <v>293</v>
      </c>
      <c r="Q307" s="458">
        <v>230</v>
      </c>
      <c r="R307" s="449"/>
      <c r="S307" s="486">
        <f>S306*V307</f>
        <v>46</v>
      </c>
      <c r="T307" s="450"/>
      <c r="U307" s="457" t="s">
        <v>293</v>
      </c>
      <c r="V307" s="458">
        <v>200</v>
      </c>
      <c r="W307" s="449"/>
      <c r="X307" s="461"/>
      <c r="Y307" s="461"/>
      <c r="Z307" s="453"/>
      <c r="AA307" s="462"/>
      <c r="AB307" s="456"/>
    </row>
    <row r="308" spans="1:28" s="173" customFormat="1" ht="10.15" customHeight="1" x14ac:dyDescent="0.2">
      <c r="A308" s="220"/>
      <c r="B308" s="220"/>
      <c r="C308" s="220"/>
      <c r="D308" s="287"/>
      <c r="E308" s="287"/>
      <c r="F308" s="281"/>
      <c r="G308" s="277"/>
      <c r="H308" s="253"/>
      <c r="I308" s="287"/>
      <c r="J308" s="287"/>
      <c r="K308" s="281"/>
      <c r="L308" s="277"/>
      <c r="M308" s="253"/>
      <c r="N308" s="287"/>
      <c r="O308" s="287"/>
      <c r="P308" s="281"/>
      <c r="Q308" s="277"/>
      <c r="R308" s="253"/>
      <c r="S308" s="287"/>
      <c r="T308" s="287"/>
      <c r="U308" s="281"/>
      <c r="V308" s="277"/>
      <c r="W308" s="253"/>
      <c r="X308" s="287"/>
      <c r="Y308" s="287"/>
      <c r="Z308" s="281"/>
      <c r="AA308" s="277"/>
      <c r="AB308" s="220"/>
    </row>
    <row r="309" spans="1:28" ht="12.75" customHeight="1" x14ac:dyDescent="0.2">
      <c r="A309" s="219"/>
      <c r="B309" s="776" t="s">
        <v>182</v>
      </c>
      <c r="C309" s="241"/>
      <c r="D309" s="616"/>
      <c r="E309" s="617"/>
      <c r="F309" s="617"/>
      <c r="G309" s="618"/>
      <c r="H309" s="253"/>
      <c r="I309" s="616"/>
      <c r="J309" s="617"/>
      <c r="K309" s="617"/>
      <c r="L309" s="618"/>
      <c r="M309" s="253"/>
      <c r="N309" s="616"/>
      <c r="O309" s="617"/>
      <c r="P309" s="617"/>
      <c r="Q309" s="618"/>
      <c r="R309" s="253"/>
      <c r="S309" s="616"/>
      <c r="T309" s="617"/>
      <c r="U309" s="617"/>
      <c r="V309" s="618"/>
      <c r="W309" s="253"/>
      <c r="X309" s="616"/>
      <c r="Y309" s="617"/>
      <c r="Z309" s="617"/>
      <c r="AA309" s="618"/>
      <c r="AB309" s="219"/>
    </row>
    <row r="310" spans="1:28" ht="14.25" x14ac:dyDescent="0.2">
      <c r="A310" s="219"/>
      <c r="B310" s="776"/>
      <c r="C310" s="241"/>
      <c r="D310" s="631"/>
      <c r="E310" s="632"/>
      <c r="F310" s="632"/>
      <c r="G310" s="633"/>
      <c r="H310" s="253"/>
      <c r="I310" s="631"/>
      <c r="J310" s="632"/>
      <c r="K310" s="632"/>
      <c r="L310" s="633"/>
      <c r="M310" s="253"/>
      <c r="N310" s="631"/>
      <c r="O310" s="632"/>
      <c r="P310" s="632"/>
      <c r="Q310" s="633"/>
      <c r="R310" s="253"/>
      <c r="S310" s="631"/>
      <c r="T310" s="632"/>
      <c r="U310" s="632"/>
      <c r="V310" s="633"/>
      <c r="W310" s="253"/>
      <c r="X310" s="631"/>
      <c r="Y310" s="632"/>
      <c r="Z310" s="632"/>
      <c r="AA310" s="633"/>
      <c r="AB310" s="219"/>
    </row>
    <row r="311" spans="1:28" ht="14.25" x14ac:dyDescent="0.2">
      <c r="A311" s="219"/>
      <c r="B311" s="776"/>
      <c r="C311" s="241"/>
      <c r="D311" s="631"/>
      <c r="E311" s="632"/>
      <c r="F311" s="632"/>
      <c r="G311" s="633"/>
      <c r="H311" s="253"/>
      <c r="I311" s="631"/>
      <c r="J311" s="632"/>
      <c r="K311" s="632"/>
      <c r="L311" s="633"/>
      <c r="M311" s="253"/>
      <c r="N311" s="631"/>
      <c r="O311" s="632"/>
      <c r="P311" s="632"/>
      <c r="Q311" s="633"/>
      <c r="R311" s="253"/>
      <c r="S311" s="631"/>
      <c r="T311" s="632"/>
      <c r="U311" s="632"/>
      <c r="V311" s="633"/>
      <c r="W311" s="253"/>
      <c r="X311" s="631"/>
      <c r="Y311" s="632"/>
      <c r="Z311" s="632"/>
      <c r="AA311" s="633"/>
      <c r="AB311" s="219"/>
    </row>
    <row r="312" spans="1:28" ht="14.25" x14ac:dyDescent="0.2">
      <c r="A312" s="219"/>
      <c r="B312" s="776"/>
      <c r="C312" s="241"/>
      <c r="D312" s="272"/>
      <c r="E312" s="273"/>
      <c r="F312" s="273"/>
      <c r="G312" s="274"/>
      <c r="H312" s="253"/>
      <c r="I312" s="631"/>
      <c r="J312" s="632"/>
      <c r="K312" s="632"/>
      <c r="L312" s="633"/>
      <c r="M312" s="253"/>
      <c r="N312" s="272"/>
      <c r="O312" s="273"/>
      <c r="P312" s="273"/>
      <c r="Q312" s="274"/>
      <c r="R312" s="253"/>
      <c r="S312" s="272"/>
      <c r="T312" s="273"/>
      <c r="U312" s="273"/>
      <c r="V312" s="274"/>
      <c r="W312" s="253"/>
      <c r="X312" s="272"/>
      <c r="Y312" s="273"/>
      <c r="Z312" s="273"/>
      <c r="AA312" s="274"/>
      <c r="AB312" s="219"/>
    </row>
    <row r="313" spans="1:28" ht="14.25" x14ac:dyDescent="0.2">
      <c r="A313" s="219"/>
      <c r="B313" s="776"/>
      <c r="C313" s="241"/>
      <c r="D313" s="631"/>
      <c r="E313" s="632"/>
      <c r="F313" s="632"/>
      <c r="G313" s="633"/>
      <c r="H313" s="253"/>
      <c r="I313" s="631"/>
      <c r="J313" s="632"/>
      <c r="K313" s="632"/>
      <c r="L313" s="633"/>
      <c r="M313" s="253"/>
      <c r="N313" s="631"/>
      <c r="O313" s="632"/>
      <c r="P313" s="632"/>
      <c r="Q313" s="633"/>
      <c r="R313" s="253"/>
      <c r="S313" s="631"/>
      <c r="T313" s="632"/>
      <c r="U313" s="632"/>
      <c r="V313" s="633"/>
      <c r="W313" s="253"/>
      <c r="X313" s="631"/>
      <c r="Y313" s="632"/>
      <c r="Z313" s="632"/>
      <c r="AA313" s="633"/>
      <c r="AB313" s="219"/>
    </row>
    <row r="314" spans="1:28" ht="14.25" x14ac:dyDescent="0.2">
      <c r="A314" s="219"/>
      <c r="B314" s="776"/>
      <c r="C314" s="241"/>
      <c r="D314" s="595"/>
      <c r="E314" s="596"/>
      <c r="F314" s="596"/>
      <c r="G314" s="597"/>
      <c r="H314" s="253"/>
      <c r="I314" s="595"/>
      <c r="J314" s="596"/>
      <c r="K314" s="596"/>
      <c r="L314" s="597"/>
      <c r="M314" s="253"/>
      <c r="N314" s="595"/>
      <c r="O314" s="596"/>
      <c r="P314" s="596"/>
      <c r="Q314" s="597"/>
      <c r="R314" s="253"/>
      <c r="S314" s="595"/>
      <c r="T314" s="596"/>
      <c r="U314" s="596"/>
      <c r="V314" s="597"/>
      <c r="W314" s="253"/>
      <c r="X314" s="595"/>
      <c r="Y314" s="596"/>
      <c r="Z314" s="596"/>
      <c r="AA314" s="597"/>
      <c r="AB314" s="219"/>
    </row>
    <row r="315" spans="1:28" ht="15" x14ac:dyDescent="0.25">
      <c r="A315" s="219"/>
      <c r="B315" s="776"/>
      <c r="C315" s="241"/>
      <c r="D315" s="619" t="s">
        <v>226</v>
      </c>
      <c r="E315" s="620"/>
      <c r="F315" s="620"/>
      <c r="G315" s="621"/>
      <c r="H315" s="253"/>
      <c r="I315" s="619" t="s">
        <v>235</v>
      </c>
      <c r="J315" s="620"/>
      <c r="K315" s="620"/>
      <c r="L315" s="621"/>
      <c r="M315" s="253"/>
      <c r="N315" s="619" t="s">
        <v>227</v>
      </c>
      <c r="O315" s="620"/>
      <c r="P315" s="620"/>
      <c r="Q315" s="621"/>
      <c r="R315" s="253"/>
      <c r="S315" s="619" t="s">
        <v>933</v>
      </c>
      <c r="T315" s="620"/>
      <c r="U315" s="620"/>
      <c r="V315" s="621"/>
      <c r="W315" s="253"/>
      <c r="X315" s="619" t="s">
        <v>919</v>
      </c>
      <c r="Y315" s="620"/>
      <c r="Z315" s="620"/>
      <c r="AA315" s="621"/>
      <c r="AB315" s="219"/>
    </row>
    <row r="316" spans="1:28" s="175" customFormat="1" ht="27" customHeight="1" x14ac:dyDescent="0.25">
      <c r="A316" s="224"/>
      <c r="B316" s="776"/>
      <c r="C316" s="241"/>
      <c r="D316" s="601" t="s">
        <v>308</v>
      </c>
      <c r="E316" s="602"/>
      <c r="F316" s="602"/>
      <c r="G316" s="605"/>
      <c r="H316" s="266"/>
      <c r="I316" s="601" t="s">
        <v>805</v>
      </c>
      <c r="J316" s="602"/>
      <c r="K316" s="602"/>
      <c r="L316" s="605"/>
      <c r="M316" s="266"/>
      <c r="N316" s="601" t="s">
        <v>804</v>
      </c>
      <c r="O316" s="602"/>
      <c r="P316" s="602"/>
      <c r="Q316" s="605"/>
      <c r="R316" s="266"/>
      <c r="S316" s="601" t="s">
        <v>954</v>
      </c>
      <c r="T316" s="602"/>
      <c r="U316" s="602"/>
      <c r="V316" s="605"/>
      <c r="W316" s="266"/>
      <c r="X316" s="601" t="s">
        <v>955</v>
      </c>
      <c r="Y316" s="602"/>
      <c r="Z316" s="602"/>
      <c r="AA316" s="605"/>
      <c r="AB316" s="224"/>
    </row>
    <row r="317" spans="1:28" ht="16.149999999999999" customHeight="1" x14ac:dyDescent="0.25">
      <c r="A317" s="219"/>
      <c r="B317" s="776"/>
      <c r="C317" s="241"/>
      <c r="D317" s="852">
        <v>0.9</v>
      </c>
      <c r="E317" s="853"/>
      <c r="F317" s="642"/>
      <c r="G317" s="643"/>
      <c r="H317" s="253"/>
      <c r="I317" s="852">
        <v>0.8</v>
      </c>
      <c r="J317" s="853"/>
      <c r="K317" s="642">
        <v>0</v>
      </c>
      <c r="L317" s="643"/>
      <c r="M317" s="253"/>
      <c r="N317" s="634">
        <v>1.8</v>
      </c>
      <c r="O317" s="635"/>
      <c r="P317" s="642"/>
      <c r="Q317" s="643"/>
      <c r="R317" s="253"/>
      <c r="S317" s="634">
        <v>1.9</v>
      </c>
      <c r="T317" s="635"/>
      <c r="U317" s="642">
        <v>0</v>
      </c>
      <c r="V317" s="643"/>
      <c r="W317" s="253"/>
      <c r="X317" s="634">
        <v>2.25</v>
      </c>
      <c r="Y317" s="635"/>
      <c r="Z317" s="642">
        <v>0</v>
      </c>
      <c r="AA317" s="643"/>
      <c r="AB317" s="219"/>
    </row>
    <row r="318" spans="1:28" s="460" customFormat="1" ht="16.149999999999999" customHeight="1" x14ac:dyDescent="0.2">
      <c r="A318" s="456"/>
      <c r="B318" s="776"/>
      <c r="C318" s="241"/>
      <c r="D318" s="486">
        <f>D317*G318</f>
        <v>54</v>
      </c>
      <c r="E318" s="450"/>
      <c r="F318" s="457" t="s">
        <v>293</v>
      </c>
      <c r="G318" s="458">
        <v>60</v>
      </c>
      <c r="H318" s="449"/>
      <c r="I318" s="486">
        <f>I317*L318</f>
        <v>80</v>
      </c>
      <c r="J318" s="450"/>
      <c r="K318" s="457" t="s">
        <v>293</v>
      </c>
      <c r="L318" s="458">
        <v>100</v>
      </c>
      <c r="M318" s="449"/>
      <c r="N318" s="486">
        <f>N317*Q318</f>
        <v>108</v>
      </c>
      <c r="O318" s="450"/>
      <c r="P318" s="457" t="s">
        <v>293</v>
      </c>
      <c r="Q318" s="458">
        <v>60</v>
      </c>
      <c r="R318" s="449"/>
      <c r="S318" s="486">
        <f>S317*V318</f>
        <v>313.5</v>
      </c>
      <c r="T318" s="450"/>
      <c r="U318" s="457" t="s">
        <v>293</v>
      </c>
      <c r="V318" s="458">
        <v>165</v>
      </c>
      <c r="W318" s="449"/>
      <c r="X318" s="486">
        <f>X317*AA318</f>
        <v>202.5</v>
      </c>
      <c r="Y318" s="450"/>
      <c r="Z318" s="457" t="s">
        <v>293</v>
      </c>
      <c r="AA318" s="458">
        <v>90</v>
      </c>
      <c r="AB318" s="456"/>
    </row>
    <row r="319" spans="1:28" ht="10.15" customHeight="1" x14ac:dyDescent="0.2">
      <c r="A319" s="219"/>
      <c r="B319" s="219"/>
      <c r="C319" s="219"/>
      <c r="D319" s="253"/>
      <c r="E319" s="253"/>
      <c r="F319" s="253"/>
      <c r="G319" s="253"/>
      <c r="H319" s="253"/>
      <c r="I319" s="253"/>
      <c r="J319" s="253"/>
      <c r="K319" s="253"/>
      <c r="L319" s="253"/>
      <c r="M319" s="253"/>
      <c r="N319" s="253"/>
      <c r="O319" s="253"/>
      <c r="P319" s="253"/>
      <c r="Q319" s="253"/>
      <c r="R319" s="253"/>
      <c r="S319" s="253"/>
      <c r="T319" s="253"/>
      <c r="U319" s="253"/>
      <c r="V319" s="253"/>
      <c r="W319" s="253"/>
      <c r="X319" s="253"/>
      <c r="Y319" s="253"/>
      <c r="Z319" s="253"/>
      <c r="AA319" s="253"/>
      <c r="AB319" s="219"/>
    </row>
    <row r="320" spans="1:28" ht="12.75" customHeight="1" x14ac:dyDescent="0.2">
      <c r="A320" s="219"/>
      <c r="B320" s="776" t="s">
        <v>168</v>
      </c>
      <c r="C320" s="248"/>
      <c r="D320" s="616"/>
      <c r="E320" s="617"/>
      <c r="F320" s="617"/>
      <c r="G320" s="618"/>
      <c r="H320" s="253"/>
      <c r="I320" s="616"/>
      <c r="J320" s="617"/>
      <c r="K320" s="617"/>
      <c r="L320" s="618"/>
      <c r="M320" s="253"/>
      <c r="N320" s="616"/>
      <c r="O320" s="617"/>
      <c r="P320" s="617"/>
      <c r="Q320" s="618"/>
      <c r="R320" s="253"/>
      <c r="S320" s="616"/>
      <c r="T320" s="617"/>
      <c r="U320" s="617"/>
      <c r="V320" s="618"/>
      <c r="W320" s="253"/>
      <c r="X320" s="611"/>
      <c r="Y320" s="611"/>
      <c r="Z320" s="611"/>
      <c r="AA320" s="611"/>
      <c r="AB320" s="219"/>
    </row>
    <row r="321" spans="1:28" ht="14.25" x14ac:dyDescent="0.2">
      <c r="A321" s="219"/>
      <c r="B321" s="776"/>
      <c r="C321" s="248"/>
      <c r="D321" s="631"/>
      <c r="E321" s="632"/>
      <c r="F321" s="632"/>
      <c r="G321" s="633"/>
      <c r="H321" s="253"/>
      <c r="I321" s="631"/>
      <c r="J321" s="632"/>
      <c r="K321" s="632"/>
      <c r="L321" s="633"/>
      <c r="M321" s="253"/>
      <c r="N321" s="631"/>
      <c r="O321" s="632"/>
      <c r="P321" s="632"/>
      <c r="Q321" s="633"/>
      <c r="R321" s="253"/>
      <c r="S321" s="631"/>
      <c r="T321" s="632"/>
      <c r="U321" s="632"/>
      <c r="V321" s="633"/>
      <c r="W321" s="253"/>
      <c r="X321" s="611"/>
      <c r="Y321" s="611"/>
      <c r="Z321" s="611"/>
      <c r="AA321" s="611"/>
      <c r="AB321" s="219"/>
    </row>
    <row r="322" spans="1:28" ht="14.25" x14ac:dyDescent="0.2">
      <c r="A322" s="219"/>
      <c r="B322" s="776"/>
      <c r="C322" s="248"/>
      <c r="D322" s="272"/>
      <c r="E322" s="273"/>
      <c r="F322" s="273"/>
      <c r="G322" s="274"/>
      <c r="H322" s="253"/>
      <c r="I322" s="272"/>
      <c r="J322" s="273"/>
      <c r="K322" s="273"/>
      <c r="L322" s="274"/>
      <c r="M322" s="253"/>
      <c r="N322" s="272"/>
      <c r="O322" s="273"/>
      <c r="P322" s="273"/>
      <c r="Q322" s="274"/>
      <c r="R322" s="253"/>
      <c r="S322" s="272"/>
      <c r="T322" s="273"/>
      <c r="U322" s="273"/>
      <c r="V322" s="274"/>
      <c r="W322" s="253"/>
      <c r="X322" s="278"/>
      <c r="Y322" s="278"/>
      <c r="Z322" s="278"/>
      <c r="AA322" s="278"/>
      <c r="AB322" s="219"/>
    </row>
    <row r="323" spans="1:28" ht="14.25" x14ac:dyDescent="0.2">
      <c r="A323" s="219"/>
      <c r="B323" s="776"/>
      <c r="C323" s="248"/>
      <c r="D323" s="631"/>
      <c r="E323" s="632"/>
      <c r="F323" s="632"/>
      <c r="G323" s="633"/>
      <c r="H323" s="253"/>
      <c r="I323" s="631"/>
      <c r="J323" s="632"/>
      <c r="K323" s="632"/>
      <c r="L323" s="633"/>
      <c r="M323" s="253"/>
      <c r="N323" s="631"/>
      <c r="O323" s="632"/>
      <c r="P323" s="632"/>
      <c r="Q323" s="633"/>
      <c r="R323" s="253"/>
      <c r="S323" s="631"/>
      <c r="T323" s="632"/>
      <c r="U323" s="632"/>
      <c r="V323" s="633"/>
      <c r="W323" s="253"/>
      <c r="X323" s="611"/>
      <c r="Y323" s="611"/>
      <c r="Z323" s="611"/>
      <c r="AA323" s="611"/>
      <c r="AB323" s="219"/>
    </row>
    <row r="324" spans="1:28" ht="14.25" x14ac:dyDescent="0.2">
      <c r="A324" s="219"/>
      <c r="B324" s="776"/>
      <c r="C324" s="248"/>
      <c r="D324" s="631"/>
      <c r="E324" s="632"/>
      <c r="F324" s="632"/>
      <c r="G324" s="633"/>
      <c r="H324" s="253"/>
      <c r="I324" s="631"/>
      <c r="J324" s="632"/>
      <c r="K324" s="632"/>
      <c r="L324" s="633"/>
      <c r="M324" s="253"/>
      <c r="N324" s="631"/>
      <c r="O324" s="632"/>
      <c r="P324" s="632"/>
      <c r="Q324" s="633"/>
      <c r="R324" s="253"/>
      <c r="S324" s="631"/>
      <c r="T324" s="632"/>
      <c r="U324" s="632"/>
      <c r="V324" s="633"/>
      <c r="W324" s="253"/>
      <c r="X324" s="611"/>
      <c r="Y324" s="611"/>
      <c r="Z324" s="611"/>
      <c r="AA324" s="611"/>
      <c r="AB324" s="219"/>
    </row>
    <row r="325" spans="1:28" ht="14.25" x14ac:dyDescent="0.2">
      <c r="A325" s="219"/>
      <c r="B325" s="776"/>
      <c r="C325" s="248"/>
      <c r="D325" s="595"/>
      <c r="E325" s="596"/>
      <c r="F325" s="596"/>
      <c r="G325" s="597"/>
      <c r="H325" s="253"/>
      <c r="I325" s="595"/>
      <c r="J325" s="596"/>
      <c r="K325" s="596"/>
      <c r="L325" s="597"/>
      <c r="M325" s="253"/>
      <c r="N325" s="595"/>
      <c r="O325" s="596"/>
      <c r="P325" s="596"/>
      <c r="Q325" s="597"/>
      <c r="R325" s="253"/>
      <c r="S325" s="595"/>
      <c r="T325" s="596"/>
      <c r="U325" s="596"/>
      <c r="V325" s="597"/>
      <c r="W325" s="253"/>
      <c r="X325" s="611"/>
      <c r="Y325" s="611"/>
      <c r="Z325" s="611"/>
      <c r="AA325" s="611"/>
      <c r="AB325" s="219"/>
    </row>
    <row r="326" spans="1:28" ht="15" x14ac:dyDescent="0.25">
      <c r="A326" s="219"/>
      <c r="B326" s="776"/>
      <c r="C326" s="248"/>
      <c r="D326" s="619" t="s">
        <v>228</v>
      </c>
      <c r="E326" s="620"/>
      <c r="F326" s="620"/>
      <c r="G326" s="621"/>
      <c r="H326" s="253"/>
      <c r="I326" s="619" t="s">
        <v>220</v>
      </c>
      <c r="J326" s="620"/>
      <c r="K326" s="620"/>
      <c r="L326" s="621"/>
      <c r="M326" s="253"/>
      <c r="N326" s="619" t="s">
        <v>190</v>
      </c>
      <c r="O326" s="620"/>
      <c r="P326" s="620"/>
      <c r="Q326" s="621"/>
      <c r="R326" s="253"/>
      <c r="S326" s="619" t="s">
        <v>918</v>
      </c>
      <c r="T326" s="620"/>
      <c r="U326" s="620"/>
      <c r="V326" s="621"/>
      <c r="W326" s="253"/>
      <c r="X326" s="630"/>
      <c r="Y326" s="630"/>
      <c r="Z326" s="630"/>
      <c r="AA326" s="630"/>
      <c r="AB326" s="219"/>
    </row>
    <row r="327" spans="1:28" s="175" customFormat="1" ht="27" customHeight="1" x14ac:dyDescent="0.25">
      <c r="A327" s="224"/>
      <c r="B327" s="776"/>
      <c r="C327" s="248"/>
      <c r="D327" s="601" t="s">
        <v>643</v>
      </c>
      <c r="E327" s="602"/>
      <c r="F327" s="602"/>
      <c r="G327" s="605"/>
      <c r="H327" s="266"/>
      <c r="I327" s="601" t="s">
        <v>11</v>
      </c>
      <c r="J327" s="602"/>
      <c r="K327" s="602"/>
      <c r="L327" s="605"/>
      <c r="M327" s="266"/>
      <c r="N327" s="601" t="s">
        <v>0</v>
      </c>
      <c r="O327" s="602"/>
      <c r="P327" s="602"/>
      <c r="Q327" s="605"/>
      <c r="R327" s="266"/>
      <c r="S327" s="601" t="s">
        <v>956</v>
      </c>
      <c r="T327" s="602"/>
      <c r="U327" s="602"/>
      <c r="V327" s="605"/>
      <c r="W327" s="266"/>
      <c r="X327" s="827"/>
      <c r="Y327" s="827"/>
      <c r="Z327" s="827"/>
      <c r="AA327" s="827"/>
      <c r="AB327" s="224"/>
    </row>
    <row r="328" spans="1:28" ht="16.149999999999999" customHeight="1" x14ac:dyDescent="0.25">
      <c r="A328" s="219"/>
      <c r="B328" s="776"/>
      <c r="C328" s="248"/>
      <c r="D328" s="634">
        <v>1</v>
      </c>
      <c r="E328" s="635"/>
      <c r="F328" s="642">
        <v>0</v>
      </c>
      <c r="G328" s="643"/>
      <c r="H328" s="253"/>
      <c r="I328" s="634">
        <v>6.5</v>
      </c>
      <c r="J328" s="635"/>
      <c r="K328" s="642">
        <v>0</v>
      </c>
      <c r="L328" s="643"/>
      <c r="M328" s="253"/>
      <c r="N328" s="634">
        <v>3</v>
      </c>
      <c r="O328" s="635"/>
      <c r="P328" s="642">
        <v>0</v>
      </c>
      <c r="Q328" s="643"/>
      <c r="R328" s="253"/>
      <c r="S328" s="634">
        <v>3.1</v>
      </c>
      <c r="T328" s="635"/>
      <c r="U328" s="642">
        <v>0</v>
      </c>
      <c r="V328" s="643"/>
      <c r="W328" s="253"/>
      <c r="X328" s="973"/>
      <c r="Y328" s="973"/>
      <c r="Z328" s="672"/>
      <c r="AA328" s="672"/>
      <c r="AB328" s="219"/>
    </row>
    <row r="329" spans="1:28" s="460" customFormat="1" ht="16.149999999999999" customHeight="1" x14ac:dyDescent="0.2">
      <c r="A329" s="456"/>
      <c r="B329" s="776"/>
      <c r="C329" s="248"/>
      <c r="D329" s="486">
        <f>D328*G329</f>
        <v>200</v>
      </c>
      <c r="E329" s="450"/>
      <c r="F329" s="457" t="s">
        <v>293</v>
      </c>
      <c r="G329" s="458">
        <v>200</v>
      </c>
      <c r="H329" s="449"/>
      <c r="I329" s="486">
        <f>I328*L329</f>
        <v>650</v>
      </c>
      <c r="J329" s="450"/>
      <c r="K329" s="457" t="s">
        <v>293</v>
      </c>
      <c r="L329" s="458">
        <v>100</v>
      </c>
      <c r="M329" s="449"/>
      <c r="N329" s="486">
        <f>N328*Q329</f>
        <v>315</v>
      </c>
      <c r="O329" s="450"/>
      <c r="P329" s="457" t="s">
        <v>293</v>
      </c>
      <c r="Q329" s="458">
        <v>105</v>
      </c>
      <c r="R329" s="449"/>
      <c r="S329" s="486">
        <f>S328*V329</f>
        <v>325.5</v>
      </c>
      <c r="T329" s="450"/>
      <c r="U329" s="457" t="s">
        <v>293</v>
      </c>
      <c r="V329" s="458">
        <v>105</v>
      </c>
      <c r="W329" s="449"/>
      <c r="X329" s="461"/>
      <c r="Y329" s="461"/>
      <c r="Z329" s="453"/>
      <c r="AA329" s="462"/>
      <c r="AB329" s="456"/>
    </row>
    <row r="330" spans="1:28" s="173" customFormat="1" ht="10.15" customHeight="1" x14ac:dyDescent="0.2">
      <c r="A330" s="220"/>
      <c r="B330" s="220"/>
      <c r="C330" s="220"/>
      <c r="D330" s="287"/>
      <c r="E330" s="287"/>
      <c r="F330" s="281"/>
      <c r="G330" s="277"/>
      <c r="H330" s="253"/>
      <c r="I330" s="287"/>
      <c r="J330" s="287"/>
      <c r="K330" s="281"/>
      <c r="L330" s="277"/>
      <c r="M330" s="253"/>
      <c r="N330" s="287"/>
      <c r="O330" s="287"/>
      <c r="P330" s="281"/>
      <c r="Q330" s="277"/>
      <c r="R330" s="253"/>
      <c r="S330" s="287"/>
      <c r="T330" s="287"/>
      <c r="U330" s="281"/>
      <c r="V330" s="277"/>
      <c r="W330" s="253"/>
      <c r="X330" s="287"/>
      <c r="Y330" s="287"/>
      <c r="Z330" s="281"/>
      <c r="AA330" s="277"/>
      <c r="AB330" s="220"/>
    </row>
    <row r="331" spans="1:28" ht="14.25" x14ac:dyDescent="0.2">
      <c r="A331" s="219"/>
      <c r="B331" s="776" t="s">
        <v>476</v>
      </c>
      <c r="C331" s="241"/>
      <c r="D331" s="616"/>
      <c r="E331" s="617"/>
      <c r="F331" s="617"/>
      <c r="G331" s="618"/>
      <c r="H331" s="253"/>
      <c r="I331" s="616"/>
      <c r="J331" s="617"/>
      <c r="K331" s="617"/>
      <c r="L331" s="618"/>
      <c r="M331" s="253"/>
      <c r="N331" s="616"/>
      <c r="O331" s="617"/>
      <c r="P331" s="617"/>
      <c r="Q331" s="618"/>
      <c r="R331" s="253"/>
      <c r="S331" s="616"/>
      <c r="T331" s="617"/>
      <c r="U331" s="617"/>
      <c r="V331" s="618"/>
      <c r="W331" s="253"/>
      <c r="X331" s="632"/>
      <c r="Y331" s="632"/>
      <c r="Z331" s="632"/>
      <c r="AA331" s="632"/>
      <c r="AB331" s="219"/>
    </row>
    <row r="332" spans="1:28" ht="14.25" x14ac:dyDescent="0.2">
      <c r="A332" s="219"/>
      <c r="B332" s="776"/>
      <c r="C332" s="241"/>
      <c r="D332" s="631"/>
      <c r="E332" s="632"/>
      <c r="F332" s="632"/>
      <c r="G332" s="633"/>
      <c r="H332" s="253"/>
      <c r="I332" s="631"/>
      <c r="J332" s="632"/>
      <c r="K332" s="632"/>
      <c r="L332" s="633"/>
      <c r="M332" s="253"/>
      <c r="N332" s="631"/>
      <c r="O332" s="632"/>
      <c r="P332" s="632"/>
      <c r="Q332" s="633"/>
      <c r="R332" s="253"/>
      <c r="S332" s="631"/>
      <c r="T332" s="632"/>
      <c r="U332" s="632"/>
      <c r="V332" s="633"/>
      <c r="W332" s="253"/>
      <c r="X332" s="632"/>
      <c r="Y332" s="632"/>
      <c r="Z332" s="632"/>
      <c r="AA332" s="632"/>
      <c r="AB332" s="219"/>
    </row>
    <row r="333" spans="1:28" ht="14.25" x14ac:dyDescent="0.2">
      <c r="A333" s="219"/>
      <c r="B333" s="776"/>
      <c r="C333" s="241"/>
      <c r="D333" s="272"/>
      <c r="E333" s="273"/>
      <c r="F333" s="273"/>
      <c r="G333" s="274"/>
      <c r="H333" s="253"/>
      <c r="I333" s="272"/>
      <c r="J333" s="273"/>
      <c r="K333" s="273"/>
      <c r="L333" s="274"/>
      <c r="M333" s="253"/>
      <c r="N333" s="272"/>
      <c r="O333" s="273"/>
      <c r="P333" s="273"/>
      <c r="Q333" s="274"/>
      <c r="R333" s="253"/>
      <c r="S333" s="272"/>
      <c r="T333" s="273"/>
      <c r="U333" s="273"/>
      <c r="V333" s="274"/>
      <c r="W333" s="253"/>
      <c r="X333" s="632"/>
      <c r="Y333" s="632"/>
      <c r="Z333" s="632"/>
      <c r="AA333" s="632"/>
      <c r="AB333" s="219"/>
    </row>
    <row r="334" spans="1:28" ht="14.25" x14ac:dyDescent="0.2">
      <c r="A334" s="219"/>
      <c r="B334" s="776"/>
      <c r="C334" s="241"/>
      <c r="D334" s="631"/>
      <c r="E334" s="632"/>
      <c r="F334" s="632"/>
      <c r="G334" s="633"/>
      <c r="H334" s="253"/>
      <c r="I334" s="631"/>
      <c r="J334" s="632"/>
      <c r="K334" s="632"/>
      <c r="L334" s="633"/>
      <c r="M334" s="253"/>
      <c r="N334" s="631"/>
      <c r="O334" s="632"/>
      <c r="P334" s="632"/>
      <c r="Q334" s="633"/>
      <c r="R334" s="253"/>
      <c r="S334" s="631"/>
      <c r="T334" s="632"/>
      <c r="U334" s="632"/>
      <c r="V334" s="633"/>
      <c r="W334" s="253"/>
      <c r="X334" s="632"/>
      <c r="Y334" s="632"/>
      <c r="Z334" s="632"/>
      <c r="AA334" s="632"/>
      <c r="AB334" s="219"/>
    </row>
    <row r="335" spans="1:28" ht="14.25" x14ac:dyDescent="0.2">
      <c r="A335" s="219"/>
      <c r="B335" s="776"/>
      <c r="C335" s="241"/>
      <c r="D335" s="631"/>
      <c r="E335" s="632"/>
      <c r="F335" s="632"/>
      <c r="G335" s="633"/>
      <c r="H335" s="253"/>
      <c r="I335" s="631"/>
      <c r="J335" s="632"/>
      <c r="K335" s="632"/>
      <c r="L335" s="633"/>
      <c r="M335" s="253"/>
      <c r="N335" s="631"/>
      <c r="O335" s="632"/>
      <c r="P335" s="632"/>
      <c r="Q335" s="633"/>
      <c r="R335" s="253"/>
      <c r="S335" s="631"/>
      <c r="T335" s="632"/>
      <c r="U335" s="632"/>
      <c r="V335" s="633"/>
      <c r="W335" s="253"/>
      <c r="X335" s="632"/>
      <c r="Y335" s="632"/>
      <c r="Z335" s="632"/>
      <c r="AA335" s="632"/>
      <c r="AB335" s="219"/>
    </row>
    <row r="336" spans="1:28" ht="14.25" x14ac:dyDescent="0.2">
      <c r="A336" s="219"/>
      <c r="B336" s="776"/>
      <c r="C336" s="241"/>
      <c r="D336" s="595"/>
      <c r="E336" s="596"/>
      <c r="F336" s="596"/>
      <c r="G336" s="597"/>
      <c r="H336" s="253"/>
      <c r="I336" s="595"/>
      <c r="J336" s="596"/>
      <c r="K336" s="596"/>
      <c r="L336" s="597"/>
      <c r="M336" s="253"/>
      <c r="N336" s="595"/>
      <c r="O336" s="596"/>
      <c r="P336" s="596"/>
      <c r="Q336" s="597"/>
      <c r="R336" s="253"/>
      <c r="S336" s="595"/>
      <c r="T336" s="596"/>
      <c r="U336" s="596"/>
      <c r="V336" s="597"/>
      <c r="W336" s="253"/>
      <c r="X336" s="632"/>
      <c r="Y336" s="632"/>
      <c r="Z336" s="632"/>
      <c r="AA336" s="632"/>
      <c r="AB336" s="219"/>
    </row>
    <row r="337" spans="1:28" ht="15" x14ac:dyDescent="0.25">
      <c r="A337" s="219"/>
      <c r="B337" s="776"/>
      <c r="C337" s="241"/>
      <c r="D337" s="619" t="s">
        <v>420</v>
      </c>
      <c r="E337" s="620"/>
      <c r="F337" s="620"/>
      <c r="G337" s="621"/>
      <c r="H337" s="253"/>
      <c r="I337" s="619" t="s">
        <v>191</v>
      </c>
      <c r="J337" s="620"/>
      <c r="K337" s="620"/>
      <c r="L337" s="621"/>
      <c r="M337" s="253"/>
      <c r="N337" s="598" t="s">
        <v>380</v>
      </c>
      <c r="O337" s="599"/>
      <c r="P337" s="599"/>
      <c r="Q337" s="600"/>
      <c r="R337" s="253"/>
      <c r="S337" s="619" t="s">
        <v>229</v>
      </c>
      <c r="T337" s="620"/>
      <c r="U337" s="620"/>
      <c r="V337" s="621"/>
      <c r="W337" s="253"/>
      <c r="X337" s="619" t="s">
        <v>558</v>
      </c>
      <c r="Y337" s="620"/>
      <c r="Z337" s="620"/>
      <c r="AA337" s="621"/>
      <c r="AB337" s="219"/>
    </row>
    <row r="338" spans="1:28" s="175" customFormat="1" ht="27" customHeight="1" thickBot="1" x14ac:dyDescent="0.3">
      <c r="A338" s="224"/>
      <c r="B338" s="776"/>
      <c r="C338" s="241"/>
      <c r="D338" s="601" t="s">
        <v>797</v>
      </c>
      <c r="E338" s="602"/>
      <c r="F338" s="602"/>
      <c r="G338" s="605"/>
      <c r="H338" s="266"/>
      <c r="I338" s="601" t="s">
        <v>645</v>
      </c>
      <c r="J338" s="602"/>
      <c r="K338" s="602"/>
      <c r="L338" s="605"/>
      <c r="M338" s="266"/>
      <c r="N338" s="601" t="s">
        <v>647</v>
      </c>
      <c r="O338" s="602"/>
      <c r="P338" s="602"/>
      <c r="Q338" s="605"/>
      <c r="R338" s="266"/>
      <c r="S338" s="601" t="s">
        <v>646</v>
      </c>
      <c r="T338" s="602"/>
      <c r="U338" s="602"/>
      <c r="V338" s="605"/>
      <c r="W338" s="266"/>
      <c r="X338" s="625" t="s">
        <v>648</v>
      </c>
      <c r="Y338" s="626"/>
      <c r="Z338" s="626"/>
      <c r="AA338" s="627"/>
      <c r="AB338" s="224"/>
    </row>
    <row r="339" spans="1:28" ht="16.149999999999999" customHeight="1" thickBot="1" x14ac:dyDescent="0.3">
      <c r="A339" s="219"/>
      <c r="B339" s="776"/>
      <c r="C339" s="241"/>
      <c r="D339" s="634">
        <v>3.5</v>
      </c>
      <c r="E339" s="635"/>
      <c r="F339" s="642">
        <v>0</v>
      </c>
      <c r="G339" s="643"/>
      <c r="H339" s="253"/>
      <c r="I339" s="634">
        <v>7.25</v>
      </c>
      <c r="J339" s="635"/>
      <c r="K339" s="642">
        <v>0</v>
      </c>
      <c r="L339" s="643"/>
      <c r="M339" s="253"/>
      <c r="N339" s="622">
        <v>1.5</v>
      </c>
      <c r="O339" s="770"/>
      <c r="P339" s="771">
        <v>0</v>
      </c>
      <c r="Q339" s="772"/>
      <c r="R339" s="253"/>
      <c r="S339" s="634">
        <v>1.5</v>
      </c>
      <c r="T339" s="635"/>
      <c r="U339" s="642">
        <v>0</v>
      </c>
      <c r="V339" s="643"/>
      <c r="W339" s="253"/>
      <c r="X339" s="628">
        <v>3.95</v>
      </c>
      <c r="Y339" s="629"/>
      <c r="Z339" s="644">
        <v>0</v>
      </c>
      <c r="AA339" s="791"/>
      <c r="AB339" s="219"/>
    </row>
    <row r="340" spans="1:28" s="460" customFormat="1" ht="16.149999999999999" customHeight="1" x14ac:dyDescent="0.2">
      <c r="A340" s="456"/>
      <c r="B340" s="776"/>
      <c r="C340" s="241"/>
      <c r="D340" s="486">
        <f>D339*G340</f>
        <v>70</v>
      </c>
      <c r="E340" s="450"/>
      <c r="F340" s="457" t="s">
        <v>293</v>
      </c>
      <c r="G340" s="458">
        <v>20</v>
      </c>
      <c r="H340" s="449"/>
      <c r="I340" s="486">
        <f>I339*L340</f>
        <v>362.5</v>
      </c>
      <c r="J340" s="450"/>
      <c r="K340" s="457" t="s">
        <v>293</v>
      </c>
      <c r="L340" s="458">
        <v>50</v>
      </c>
      <c r="M340" s="449"/>
      <c r="N340" s="492">
        <f>N339*Q340</f>
        <v>67.5</v>
      </c>
      <c r="O340" s="450"/>
      <c r="P340" s="457" t="s">
        <v>293</v>
      </c>
      <c r="Q340" s="458">
        <v>45</v>
      </c>
      <c r="R340" s="449"/>
      <c r="S340" s="486">
        <f>S339*V340</f>
        <v>135</v>
      </c>
      <c r="T340" s="450"/>
      <c r="U340" s="457" t="s">
        <v>293</v>
      </c>
      <c r="V340" s="458">
        <v>90</v>
      </c>
      <c r="W340" s="449"/>
      <c r="X340" s="491">
        <f>X339*AA340</f>
        <v>395</v>
      </c>
      <c r="Y340" s="463"/>
      <c r="Z340" s="464" t="s">
        <v>293</v>
      </c>
      <c r="AA340" s="465">
        <v>100</v>
      </c>
      <c r="AB340" s="456"/>
    </row>
    <row r="341" spans="1:28" s="173" customFormat="1" ht="10.15" customHeight="1" x14ac:dyDescent="0.2">
      <c r="A341" s="220"/>
      <c r="B341" s="229"/>
      <c r="C341" s="229"/>
      <c r="D341" s="287"/>
      <c r="E341" s="287"/>
      <c r="F341" s="281"/>
      <c r="G341" s="277"/>
      <c r="H341" s="253"/>
      <c r="I341" s="287"/>
      <c r="J341" s="287"/>
      <c r="K341" s="281"/>
      <c r="L341" s="277"/>
      <c r="M341" s="253"/>
      <c r="N341" s="281"/>
      <c r="O341" s="281"/>
      <c r="P341" s="281"/>
      <c r="Q341" s="296"/>
      <c r="R341" s="253"/>
      <c r="S341" s="281"/>
      <c r="T341" s="281"/>
      <c r="U341" s="281"/>
      <c r="V341" s="296"/>
      <c r="W341" s="253"/>
      <c r="X341" s="287"/>
      <c r="Y341" s="287"/>
      <c r="Z341" s="281"/>
      <c r="AA341" s="277"/>
      <c r="AB341" s="220"/>
    </row>
    <row r="342" spans="1:28" ht="14.25" x14ac:dyDescent="0.2">
      <c r="A342" s="219"/>
      <c r="B342" s="776" t="s">
        <v>166</v>
      </c>
      <c r="C342" s="241"/>
      <c r="D342" s="616"/>
      <c r="E342" s="617"/>
      <c r="F342" s="617"/>
      <c r="G342" s="618"/>
      <c r="H342" s="253"/>
      <c r="I342" s="616"/>
      <c r="J342" s="617"/>
      <c r="K342" s="617"/>
      <c r="L342" s="618"/>
      <c r="M342" s="253"/>
      <c r="N342" s="616"/>
      <c r="O342" s="617"/>
      <c r="P342" s="617"/>
      <c r="Q342" s="618"/>
      <c r="R342" s="253"/>
      <c r="S342" s="694"/>
      <c r="T342" s="695"/>
      <c r="U342" s="695"/>
      <c r="V342" s="696"/>
      <c r="W342" s="556"/>
      <c r="X342" s="694"/>
      <c r="Y342" s="695"/>
      <c r="Z342" s="695"/>
      <c r="AA342" s="696"/>
      <c r="AB342" s="219"/>
    </row>
    <row r="343" spans="1:28" ht="14.25" x14ac:dyDescent="0.2">
      <c r="A343" s="219"/>
      <c r="B343" s="776"/>
      <c r="C343" s="241"/>
      <c r="D343" s="631"/>
      <c r="E343" s="632"/>
      <c r="F343" s="632"/>
      <c r="G343" s="633"/>
      <c r="H343" s="253"/>
      <c r="I343" s="631"/>
      <c r="J343" s="632"/>
      <c r="K343" s="632"/>
      <c r="L343" s="633"/>
      <c r="M343" s="253"/>
      <c r="N343" s="631"/>
      <c r="O343" s="632"/>
      <c r="P343" s="632"/>
      <c r="Q343" s="633"/>
      <c r="R343" s="253"/>
      <c r="S343" s="697"/>
      <c r="T343" s="698"/>
      <c r="U343" s="698"/>
      <c r="V343" s="699"/>
      <c r="W343" s="556"/>
      <c r="X343" s="697"/>
      <c r="Y343" s="698"/>
      <c r="Z343" s="698"/>
      <c r="AA343" s="699"/>
      <c r="AB343" s="219"/>
    </row>
    <row r="344" spans="1:28" ht="14.25" x14ac:dyDescent="0.2">
      <c r="A344" s="219"/>
      <c r="B344" s="776"/>
      <c r="C344" s="241"/>
      <c r="D344" s="272"/>
      <c r="E344" s="273"/>
      <c r="F344" s="273"/>
      <c r="G344" s="274"/>
      <c r="H344" s="253"/>
      <c r="I344" s="272"/>
      <c r="J344" s="273"/>
      <c r="K344" s="273"/>
      <c r="L344" s="274"/>
      <c r="M344" s="253"/>
      <c r="N344" s="272"/>
      <c r="O344" s="273"/>
      <c r="P344" s="273"/>
      <c r="Q344" s="274"/>
      <c r="R344" s="253"/>
      <c r="S344" s="564"/>
      <c r="T344" s="565"/>
      <c r="U344" s="565"/>
      <c r="V344" s="566"/>
      <c r="W344" s="556"/>
      <c r="X344" s="564"/>
      <c r="Y344" s="565"/>
      <c r="Z344" s="565"/>
      <c r="AA344" s="566"/>
      <c r="AB344" s="219"/>
    </row>
    <row r="345" spans="1:28" ht="14.25" x14ac:dyDescent="0.2">
      <c r="A345" s="219"/>
      <c r="B345" s="776"/>
      <c r="C345" s="241"/>
      <c r="D345" s="631"/>
      <c r="E345" s="632"/>
      <c r="F345" s="632"/>
      <c r="G345" s="633"/>
      <c r="H345" s="253"/>
      <c r="I345" s="631"/>
      <c r="J345" s="632"/>
      <c r="K345" s="632"/>
      <c r="L345" s="633"/>
      <c r="M345" s="253"/>
      <c r="N345" s="631"/>
      <c r="O345" s="632"/>
      <c r="P345" s="632"/>
      <c r="Q345" s="633"/>
      <c r="R345" s="253"/>
      <c r="S345" s="697"/>
      <c r="T345" s="698"/>
      <c r="U345" s="698"/>
      <c r="V345" s="699"/>
      <c r="W345" s="556"/>
      <c r="X345" s="697"/>
      <c r="Y345" s="698"/>
      <c r="Z345" s="698"/>
      <c r="AA345" s="699"/>
      <c r="AB345" s="219"/>
    </row>
    <row r="346" spans="1:28" ht="14.25" x14ac:dyDescent="0.2">
      <c r="A346" s="219"/>
      <c r="B346" s="776"/>
      <c r="C346" s="241"/>
      <c r="D346" s="631"/>
      <c r="E346" s="632"/>
      <c r="F346" s="632"/>
      <c r="G346" s="633"/>
      <c r="H346" s="253"/>
      <c r="I346" s="631"/>
      <c r="J346" s="632"/>
      <c r="K346" s="632"/>
      <c r="L346" s="633"/>
      <c r="M346" s="253"/>
      <c r="N346" s="631"/>
      <c r="O346" s="632"/>
      <c r="P346" s="632"/>
      <c r="Q346" s="633"/>
      <c r="R346" s="253"/>
      <c r="S346" s="697"/>
      <c r="T346" s="698"/>
      <c r="U346" s="698"/>
      <c r="V346" s="699"/>
      <c r="W346" s="556"/>
      <c r="X346" s="697"/>
      <c r="Y346" s="698"/>
      <c r="Z346" s="698"/>
      <c r="AA346" s="699"/>
      <c r="AB346" s="219"/>
    </row>
    <row r="347" spans="1:28" ht="14.25" x14ac:dyDescent="0.2">
      <c r="A347" s="219"/>
      <c r="B347" s="776"/>
      <c r="C347" s="241"/>
      <c r="D347" s="595"/>
      <c r="E347" s="596"/>
      <c r="F347" s="596"/>
      <c r="G347" s="597"/>
      <c r="H347" s="253"/>
      <c r="I347" s="595"/>
      <c r="J347" s="596"/>
      <c r="K347" s="596"/>
      <c r="L347" s="597"/>
      <c r="M347" s="253"/>
      <c r="N347" s="595"/>
      <c r="O347" s="596"/>
      <c r="P347" s="596"/>
      <c r="Q347" s="597"/>
      <c r="R347" s="253"/>
      <c r="S347" s="700"/>
      <c r="T347" s="701"/>
      <c r="U347" s="701"/>
      <c r="V347" s="702"/>
      <c r="W347" s="556"/>
      <c r="X347" s="700"/>
      <c r="Y347" s="701"/>
      <c r="Z347" s="701"/>
      <c r="AA347" s="702"/>
      <c r="AB347" s="219"/>
    </row>
    <row r="348" spans="1:28" ht="14.1" customHeight="1" x14ac:dyDescent="0.25">
      <c r="A348" s="219"/>
      <c r="B348" s="776"/>
      <c r="C348" s="241"/>
      <c r="D348" s="619" t="s">
        <v>192</v>
      </c>
      <c r="E348" s="620"/>
      <c r="F348" s="620"/>
      <c r="G348" s="621"/>
      <c r="H348" s="253"/>
      <c r="I348" s="619" t="s">
        <v>185</v>
      </c>
      <c r="J348" s="620"/>
      <c r="K348" s="620"/>
      <c r="L348" s="621"/>
      <c r="M348" s="253"/>
      <c r="N348" s="619" t="s">
        <v>183</v>
      </c>
      <c r="O348" s="620"/>
      <c r="P348" s="620"/>
      <c r="Q348" s="621"/>
      <c r="R348" s="253"/>
      <c r="S348" s="854" t="s">
        <v>969</v>
      </c>
      <c r="T348" s="855"/>
      <c r="U348" s="855"/>
      <c r="V348" s="856"/>
      <c r="W348" s="556"/>
      <c r="X348" s="854" t="s">
        <v>970</v>
      </c>
      <c r="Y348" s="855"/>
      <c r="Z348" s="855"/>
      <c r="AA348" s="856"/>
      <c r="AB348" s="219"/>
    </row>
    <row r="349" spans="1:28" s="175" customFormat="1" ht="27" customHeight="1" x14ac:dyDescent="0.25">
      <c r="A349" s="224"/>
      <c r="B349" s="776"/>
      <c r="C349" s="241"/>
      <c r="D349" s="601" t="s">
        <v>649</v>
      </c>
      <c r="E349" s="602"/>
      <c r="F349" s="602"/>
      <c r="G349" s="605"/>
      <c r="H349" s="266"/>
      <c r="I349" s="601" t="s">
        <v>644</v>
      </c>
      <c r="J349" s="602"/>
      <c r="K349" s="602"/>
      <c r="L349" s="605"/>
      <c r="M349" s="266"/>
      <c r="N349" s="601" t="s">
        <v>236</v>
      </c>
      <c r="O349" s="602"/>
      <c r="P349" s="602"/>
      <c r="Q349" s="605"/>
      <c r="R349" s="266"/>
      <c r="S349" s="688" t="s">
        <v>971</v>
      </c>
      <c r="T349" s="689"/>
      <c r="U349" s="689"/>
      <c r="V349" s="974"/>
      <c r="W349" s="557"/>
      <c r="X349" s="688" t="s">
        <v>972</v>
      </c>
      <c r="Y349" s="689"/>
      <c r="Z349" s="689"/>
      <c r="AA349" s="974"/>
      <c r="AB349" s="224"/>
    </row>
    <row r="350" spans="1:28" ht="16.149999999999999" customHeight="1" x14ac:dyDescent="0.25">
      <c r="A350" s="219"/>
      <c r="B350" s="776"/>
      <c r="C350" s="241"/>
      <c r="D350" s="852">
        <v>0.9</v>
      </c>
      <c r="E350" s="853"/>
      <c r="F350" s="642">
        <v>0</v>
      </c>
      <c r="G350" s="643"/>
      <c r="H350" s="253"/>
      <c r="I350" s="634">
        <v>2.5</v>
      </c>
      <c r="J350" s="635"/>
      <c r="K350" s="642">
        <v>0</v>
      </c>
      <c r="L350" s="643"/>
      <c r="M350" s="253"/>
      <c r="N350" s="634">
        <v>9</v>
      </c>
      <c r="O350" s="635"/>
      <c r="P350" s="642">
        <v>0</v>
      </c>
      <c r="Q350" s="643"/>
      <c r="R350" s="253"/>
      <c r="S350" s="792">
        <v>1375</v>
      </c>
      <c r="T350" s="793"/>
      <c r="U350" s="642">
        <v>0</v>
      </c>
      <c r="V350" s="643"/>
      <c r="W350" s="556"/>
      <c r="X350" s="792">
        <v>930</v>
      </c>
      <c r="Y350" s="793"/>
      <c r="Z350" s="642">
        <v>0</v>
      </c>
      <c r="AA350" s="643"/>
      <c r="AB350" s="219"/>
    </row>
    <row r="351" spans="1:28" s="460" customFormat="1" ht="15.95" customHeight="1" x14ac:dyDescent="0.2">
      <c r="A351" s="456"/>
      <c r="B351" s="776"/>
      <c r="C351" s="241"/>
      <c r="D351" s="486">
        <f>D350*G351</f>
        <v>180</v>
      </c>
      <c r="E351" s="450"/>
      <c r="F351" s="457" t="s">
        <v>293</v>
      </c>
      <c r="G351" s="458">
        <v>200</v>
      </c>
      <c r="H351" s="449"/>
      <c r="I351" s="486">
        <f>I350*L351</f>
        <v>100</v>
      </c>
      <c r="J351" s="450"/>
      <c r="K351" s="457" t="s">
        <v>293</v>
      </c>
      <c r="L351" s="458">
        <v>40</v>
      </c>
      <c r="M351" s="449"/>
      <c r="N351" s="486">
        <f>N350*Q351</f>
        <v>180</v>
      </c>
      <c r="O351" s="450"/>
      <c r="P351" s="457" t="s">
        <v>293</v>
      </c>
      <c r="Q351" s="458">
        <v>20</v>
      </c>
      <c r="R351" s="449"/>
      <c r="S351" s="558"/>
      <c r="T351" s="559"/>
      <c r="U351" s="560" t="s">
        <v>973</v>
      </c>
      <c r="V351" s="561">
        <v>1</v>
      </c>
      <c r="W351" s="562"/>
      <c r="X351" s="563">
        <v>985</v>
      </c>
      <c r="Y351" s="559"/>
      <c r="Z351" s="560" t="s">
        <v>973</v>
      </c>
      <c r="AA351" s="561">
        <v>1</v>
      </c>
      <c r="AB351" s="456"/>
    </row>
    <row r="352" spans="1:28" s="173" customFormat="1" ht="10.15" customHeight="1" x14ac:dyDescent="0.2">
      <c r="A352" s="220"/>
      <c r="B352" s="220"/>
      <c r="C352" s="220"/>
      <c r="D352" s="287"/>
      <c r="E352" s="287"/>
      <c r="F352" s="281"/>
      <c r="G352" s="277"/>
      <c r="H352" s="253"/>
      <c r="I352" s="287"/>
      <c r="J352" s="287"/>
      <c r="K352" s="281"/>
      <c r="L352" s="277"/>
      <c r="M352" s="253"/>
      <c r="N352" s="287"/>
      <c r="O352" s="287"/>
      <c r="P352" s="281"/>
      <c r="Q352" s="277"/>
      <c r="R352" s="253"/>
      <c r="S352" s="287"/>
      <c r="T352" s="287"/>
      <c r="U352" s="281"/>
      <c r="V352" s="277"/>
      <c r="W352" s="253"/>
      <c r="X352" s="287"/>
      <c r="Y352" s="287"/>
      <c r="Z352" s="281"/>
      <c r="AA352" s="277"/>
      <c r="AB352" s="220"/>
    </row>
    <row r="353" spans="1:28" s="173" customFormat="1" ht="13.5" customHeight="1" x14ac:dyDescent="0.2">
      <c r="A353" s="220"/>
      <c r="B353" s="776" t="s">
        <v>463</v>
      </c>
      <c r="C353" s="241"/>
      <c r="D353" s="616"/>
      <c r="E353" s="617"/>
      <c r="F353" s="617"/>
      <c r="G353" s="618"/>
      <c r="H353" s="253"/>
      <c r="I353" s="616"/>
      <c r="J353" s="617"/>
      <c r="K353" s="617"/>
      <c r="L353" s="618"/>
      <c r="M353" s="253"/>
      <c r="N353" s="616"/>
      <c r="O353" s="617"/>
      <c r="P353" s="617"/>
      <c r="Q353" s="618"/>
      <c r="R353" s="253"/>
      <c r="S353" s="616"/>
      <c r="T353" s="617"/>
      <c r="U353" s="617"/>
      <c r="V353" s="618"/>
      <c r="W353" s="253"/>
      <c r="X353" s="616"/>
      <c r="Y353" s="617"/>
      <c r="Z353" s="617"/>
      <c r="AA353" s="618"/>
      <c r="AB353" s="220"/>
    </row>
    <row r="354" spans="1:28" s="173" customFormat="1" ht="13.5" customHeight="1" x14ac:dyDescent="0.2">
      <c r="A354" s="220"/>
      <c r="B354" s="776"/>
      <c r="C354" s="241"/>
      <c r="D354" s="631"/>
      <c r="E354" s="632"/>
      <c r="F354" s="632"/>
      <c r="G354" s="633"/>
      <c r="H354" s="253"/>
      <c r="I354" s="631"/>
      <c r="J354" s="632"/>
      <c r="K354" s="632"/>
      <c r="L354" s="633"/>
      <c r="M354" s="253"/>
      <c r="N354" s="631"/>
      <c r="O354" s="632"/>
      <c r="P354" s="632"/>
      <c r="Q354" s="633"/>
      <c r="R354" s="253"/>
      <c r="S354" s="631"/>
      <c r="T354" s="632"/>
      <c r="U354" s="632"/>
      <c r="V354" s="633"/>
      <c r="W354" s="253"/>
      <c r="X354" s="631"/>
      <c r="Y354" s="632"/>
      <c r="Z354" s="632"/>
      <c r="AA354" s="633"/>
      <c r="AB354" s="220"/>
    </row>
    <row r="355" spans="1:28" s="173" customFormat="1" ht="13.5" customHeight="1" x14ac:dyDescent="0.2">
      <c r="A355" s="220"/>
      <c r="B355" s="776"/>
      <c r="C355" s="241"/>
      <c r="D355" s="631"/>
      <c r="E355" s="632"/>
      <c r="F355" s="632"/>
      <c r="G355" s="633"/>
      <c r="H355" s="253"/>
      <c r="I355" s="631"/>
      <c r="J355" s="632"/>
      <c r="K355" s="632"/>
      <c r="L355" s="633"/>
      <c r="M355" s="253"/>
      <c r="N355" s="631"/>
      <c r="O355" s="632"/>
      <c r="P355" s="632"/>
      <c r="Q355" s="633"/>
      <c r="R355" s="253"/>
      <c r="S355" s="631"/>
      <c r="T355" s="632"/>
      <c r="U355" s="632"/>
      <c r="V355" s="633"/>
      <c r="W355" s="253"/>
      <c r="X355" s="272"/>
      <c r="Y355" s="273"/>
      <c r="Z355" s="273"/>
      <c r="AA355" s="274"/>
      <c r="AB355" s="220"/>
    </row>
    <row r="356" spans="1:28" s="173" customFormat="1" ht="13.5" customHeight="1" x14ac:dyDescent="0.2">
      <c r="A356" s="220"/>
      <c r="B356" s="776"/>
      <c r="C356" s="241"/>
      <c r="D356" s="631"/>
      <c r="E356" s="632"/>
      <c r="F356" s="632"/>
      <c r="G356" s="633"/>
      <c r="H356" s="253"/>
      <c r="I356" s="631"/>
      <c r="J356" s="632"/>
      <c r="K356" s="632"/>
      <c r="L356" s="633"/>
      <c r="M356" s="253"/>
      <c r="N356" s="631"/>
      <c r="O356" s="632"/>
      <c r="P356" s="632"/>
      <c r="Q356" s="633"/>
      <c r="R356" s="253"/>
      <c r="S356" s="631"/>
      <c r="T356" s="632"/>
      <c r="U356" s="632"/>
      <c r="V356" s="633"/>
      <c r="W356" s="253"/>
      <c r="X356" s="631"/>
      <c r="Y356" s="632"/>
      <c r="Z356" s="632"/>
      <c r="AA356" s="633"/>
      <c r="AB356" s="220"/>
    </row>
    <row r="357" spans="1:28" s="173" customFormat="1" ht="13.5" customHeight="1" x14ac:dyDescent="0.2">
      <c r="A357" s="220"/>
      <c r="B357" s="776"/>
      <c r="C357" s="241"/>
      <c r="D357" s="631"/>
      <c r="E357" s="632"/>
      <c r="F357" s="632"/>
      <c r="G357" s="633"/>
      <c r="H357" s="253"/>
      <c r="I357" s="631"/>
      <c r="J357" s="632"/>
      <c r="K357" s="632"/>
      <c r="L357" s="633"/>
      <c r="M357" s="253"/>
      <c r="N357" s="631"/>
      <c r="O357" s="632"/>
      <c r="P357" s="632"/>
      <c r="Q357" s="633"/>
      <c r="R357" s="253"/>
      <c r="S357" s="631"/>
      <c r="T357" s="632"/>
      <c r="U357" s="632"/>
      <c r="V357" s="633"/>
      <c r="W357" s="253"/>
      <c r="X357" s="631"/>
      <c r="Y357" s="632"/>
      <c r="Z357" s="632"/>
      <c r="AA357" s="633"/>
      <c r="AB357" s="220"/>
    </row>
    <row r="358" spans="1:28" s="173" customFormat="1" ht="13.5" customHeight="1" x14ac:dyDescent="0.2">
      <c r="A358" s="220"/>
      <c r="B358" s="776"/>
      <c r="C358" s="241"/>
      <c r="D358" s="595"/>
      <c r="E358" s="596"/>
      <c r="F358" s="596"/>
      <c r="G358" s="597"/>
      <c r="H358" s="253"/>
      <c r="I358" s="595"/>
      <c r="J358" s="596"/>
      <c r="K358" s="596"/>
      <c r="L358" s="597"/>
      <c r="M358" s="253"/>
      <c r="N358" s="595"/>
      <c r="O358" s="596"/>
      <c r="P358" s="596"/>
      <c r="Q358" s="597"/>
      <c r="R358" s="253"/>
      <c r="S358" s="595"/>
      <c r="T358" s="596"/>
      <c r="U358" s="596"/>
      <c r="V358" s="597"/>
      <c r="W358" s="253"/>
      <c r="X358" s="595"/>
      <c r="Y358" s="596"/>
      <c r="Z358" s="596"/>
      <c r="AA358" s="597"/>
      <c r="AB358" s="220"/>
    </row>
    <row r="359" spans="1:28" s="173" customFormat="1" ht="13.5" customHeight="1" x14ac:dyDescent="0.25">
      <c r="A359" s="220"/>
      <c r="B359" s="776"/>
      <c r="C359" s="241"/>
      <c r="D359" s="619" t="s">
        <v>462</v>
      </c>
      <c r="E359" s="620"/>
      <c r="F359" s="620"/>
      <c r="G359" s="621"/>
      <c r="H359" s="253"/>
      <c r="I359" s="619" t="s">
        <v>460</v>
      </c>
      <c r="J359" s="620"/>
      <c r="K359" s="620"/>
      <c r="L359" s="621"/>
      <c r="M359" s="253"/>
      <c r="N359" s="619" t="s">
        <v>461</v>
      </c>
      <c r="O359" s="620"/>
      <c r="P359" s="620"/>
      <c r="Q359" s="621"/>
      <c r="R359" s="253"/>
      <c r="S359" s="619" t="s">
        <v>459</v>
      </c>
      <c r="T359" s="620"/>
      <c r="U359" s="620"/>
      <c r="V359" s="621"/>
      <c r="W359" s="253"/>
      <c r="X359" s="754" t="s">
        <v>184</v>
      </c>
      <c r="Y359" s="755"/>
      <c r="Z359" s="755"/>
      <c r="AA359" s="756"/>
      <c r="AB359" s="220"/>
    </row>
    <row r="360" spans="1:28" s="173" customFormat="1" ht="27" customHeight="1" x14ac:dyDescent="0.2">
      <c r="A360" s="220"/>
      <c r="B360" s="776"/>
      <c r="C360" s="241"/>
      <c r="D360" s="601" t="s">
        <v>870</v>
      </c>
      <c r="E360" s="602"/>
      <c r="F360" s="602"/>
      <c r="G360" s="605"/>
      <c r="H360" s="266"/>
      <c r="I360" s="601" t="s">
        <v>871</v>
      </c>
      <c r="J360" s="602"/>
      <c r="K360" s="602"/>
      <c r="L360" s="605"/>
      <c r="M360" s="266"/>
      <c r="N360" s="601" t="s">
        <v>872</v>
      </c>
      <c r="O360" s="602"/>
      <c r="P360" s="602"/>
      <c r="Q360" s="605"/>
      <c r="R360" s="253"/>
      <c r="S360" s="601" t="s">
        <v>651</v>
      </c>
      <c r="T360" s="602"/>
      <c r="U360" s="602"/>
      <c r="V360" s="605"/>
      <c r="W360" s="253"/>
      <c r="X360" s="601" t="s">
        <v>650</v>
      </c>
      <c r="Y360" s="602"/>
      <c r="Z360" s="602"/>
      <c r="AA360" s="605"/>
      <c r="AB360" s="220"/>
    </row>
    <row r="361" spans="1:28" s="173" customFormat="1" ht="16.149999999999999" customHeight="1" x14ac:dyDescent="0.25">
      <c r="A361" s="220"/>
      <c r="B361" s="776"/>
      <c r="C361" s="241"/>
      <c r="D361" s="634">
        <v>24</v>
      </c>
      <c r="E361" s="635"/>
      <c r="F361" s="642">
        <v>0</v>
      </c>
      <c r="G361" s="643"/>
      <c r="H361" s="253"/>
      <c r="I361" s="634">
        <v>24</v>
      </c>
      <c r="J361" s="635"/>
      <c r="K361" s="642">
        <v>0</v>
      </c>
      <c r="L361" s="643"/>
      <c r="M361" s="253"/>
      <c r="N361" s="634">
        <v>26</v>
      </c>
      <c r="O361" s="635"/>
      <c r="P361" s="642">
        <v>0</v>
      </c>
      <c r="Q361" s="643"/>
      <c r="R361" s="253"/>
      <c r="S361" s="634">
        <v>0.6</v>
      </c>
      <c r="T361" s="635"/>
      <c r="U361" s="642">
        <v>0</v>
      </c>
      <c r="V361" s="643"/>
      <c r="W361" s="253"/>
      <c r="X361" s="612">
        <v>7.5</v>
      </c>
      <c r="Y361" s="613"/>
      <c r="Z361" s="614">
        <v>0</v>
      </c>
      <c r="AA361" s="615"/>
      <c r="AB361" s="220"/>
    </row>
    <row r="362" spans="1:28" s="460" customFormat="1" ht="15.95" customHeight="1" x14ac:dyDescent="0.2">
      <c r="A362" s="456"/>
      <c r="B362" s="776"/>
      <c r="C362" s="241"/>
      <c r="D362" s="486">
        <f>D361*G362</f>
        <v>240</v>
      </c>
      <c r="E362" s="450"/>
      <c r="F362" s="457" t="s">
        <v>293</v>
      </c>
      <c r="G362" s="458">
        <v>10</v>
      </c>
      <c r="H362" s="449"/>
      <c r="I362" s="486">
        <f>I361*L362</f>
        <v>240</v>
      </c>
      <c r="J362" s="450"/>
      <c r="K362" s="457" t="s">
        <v>293</v>
      </c>
      <c r="L362" s="458">
        <v>10</v>
      </c>
      <c r="M362" s="449"/>
      <c r="N362" s="486">
        <f>N361*Q362</f>
        <v>260</v>
      </c>
      <c r="O362" s="450"/>
      <c r="P362" s="457" t="s">
        <v>293</v>
      </c>
      <c r="Q362" s="458">
        <v>10</v>
      </c>
      <c r="R362" s="449"/>
      <c r="S362" s="486">
        <f>S361*V362</f>
        <v>240</v>
      </c>
      <c r="T362" s="450"/>
      <c r="U362" s="457" t="s">
        <v>293</v>
      </c>
      <c r="V362" s="458">
        <v>400</v>
      </c>
      <c r="W362" s="459"/>
      <c r="X362" s="486">
        <f>X361*AA362</f>
        <v>262.5</v>
      </c>
      <c r="Y362" s="450"/>
      <c r="Z362" s="457" t="s">
        <v>293</v>
      </c>
      <c r="AA362" s="458">
        <v>35</v>
      </c>
      <c r="AB362" s="456"/>
    </row>
    <row r="363" spans="1:28" s="173" customFormat="1" ht="10.15" customHeight="1" x14ac:dyDescent="0.2">
      <c r="A363" s="220"/>
      <c r="B363" s="220"/>
      <c r="C363" s="220"/>
      <c r="D363" s="287"/>
      <c r="E363" s="287"/>
      <c r="F363" s="281"/>
      <c r="G363" s="277"/>
      <c r="H363" s="253"/>
      <c r="I363" s="287"/>
      <c r="J363" s="287"/>
      <c r="K363" s="281"/>
      <c r="L363" s="277"/>
      <c r="M363" s="253"/>
      <c r="N363" s="287"/>
      <c r="O363" s="287"/>
      <c r="P363" s="281"/>
      <c r="Q363" s="277"/>
      <c r="R363" s="253"/>
      <c r="S363" s="287"/>
      <c r="T363" s="287"/>
      <c r="U363" s="281"/>
      <c r="V363" s="277"/>
      <c r="W363" s="253"/>
      <c r="X363" s="287"/>
      <c r="Y363" s="287"/>
      <c r="Z363" s="281"/>
      <c r="AA363" s="277"/>
      <c r="AB363" s="220"/>
    </row>
    <row r="364" spans="1:28" ht="13.9" customHeight="1" x14ac:dyDescent="0.2">
      <c r="A364" s="219"/>
      <c r="B364" s="219"/>
      <c r="C364" s="219"/>
      <c r="D364" s="616"/>
      <c r="E364" s="617"/>
      <c r="F364" s="617"/>
      <c r="G364" s="618"/>
      <c r="H364" s="253"/>
      <c r="I364" s="676"/>
      <c r="J364" s="677"/>
      <c r="K364" s="677"/>
      <c r="L364" s="678"/>
      <c r="M364" s="253"/>
      <c r="N364" s="567"/>
      <c r="O364" s="568"/>
      <c r="P364" s="568"/>
      <c r="Q364" s="569"/>
      <c r="R364" s="556"/>
      <c r="S364" s="567"/>
      <c r="T364" s="568"/>
      <c r="U364" s="568"/>
      <c r="V364" s="569"/>
      <c r="W364" s="253"/>
      <c r="X364" s="253"/>
      <c r="Y364" s="253"/>
      <c r="Z364" s="253"/>
      <c r="AA364" s="253"/>
      <c r="AB364" s="219"/>
    </row>
    <row r="365" spans="1:28" ht="13.9" customHeight="1" x14ac:dyDescent="0.2">
      <c r="A365" s="219"/>
      <c r="B365" s="219"/>
      <c r="C365" s="219"/>
      <c r="D365" s="631"/>
      <c r="E365" s="632"/>
      <c r="F365" s="632"/>
      <c r="G365" s="633"/>
      <c r="H365" s="253"/>
      <c r="I365" s="679"/>
      <c r="J365" s="680"/>
      <c r="K365" s="680"/>
      <c r="L365" s="681"/>
      <c r="M365" s="253"/>
      <c r="N365" s="570"/>
      <c r="O365" s="571"/>
      <c r="P365" s="571"/>
      <c r="Q365" s="572"/>
      <c r="R365" s="556"/>
      <c r="S365" s="570"/>
      <c r="T365" s="571"/>
      <c r="U365" s="571"/>
      <c r="V365" s="572"/>
      <c r="W365" s="253"/>
      <c r="X365" s="253"/>
      <c r="Y365" s="253"/>
      <c r="Z365" s="253"/>
      <c r="AA365" s="253"/>
      <c r="AB365" s="219"/>
    </row>
    <row r="366" spans="1:28" ht="13.9" customHeight="1" x14ac:dyDescent="0.2">
      <c r="A366" s="219"/>
      <c r="B366" s="219"/>
      <c r="C366" s="219"/>
      <c r="D366" s="631"/>
      <c r="E366" s="632"/>
      <c r="F366" s="632"/>
      <c r="G366" s="633"/>
      <c r="H366" s="253"/>
      <c r="I366" s="679"/>
      <c r="J366" s="680"/>
      <c r="K366" s="680"/>
      <c r="L366" s="681"/>
      <c r="M366" s="253"/>
      <c r="N366" s="570"/>
      <c r="O366" s="571"/>
      <c r="P366" s="571"/>
      <c r="Q366" s="572"/>
      <c r="R366" s="556"/>
      <c r="S366" s="570"/>
      <c r="T366" s="571"/>
      <c r="U366" s="571"/>
      <c r="V366" s="572"/>
      <c r="W366" s="253"/>
      <c r="X366" s="253"/>
      <c r="Y366" s="253"/>
      <c r="Z366" s="253"/>
      <c r="AA366" s="253"/>
      <c r="AB366" s="219"/>
    </row>
    <row r="367" spans="1:28" ht="13.9" customHeight="1" x14ac:dyDescent="0.2">
      <c r="A367" s="219"/>
      <c r="B367" s="219"/>
      <c r="C367" s="219"/>
      <c r="D367" s="631"/>
      <c r="E367" s="632"/>
      <c r="F367" s="632"/>
      <c r="G367" s="633"/>
      <c r="H367" s="253"/>
      <c r="I367" s="679"/>
      <c r="J367" s="680"/>
      <c r="K367" s="680"/>
      <c r="L367" s="681"/>
      <c r="M367" s="253"/>
      <c r="N367" s="570"/>
      <c r="O367" s="571"/>
      <c r="P367" s="571"/>
      <c r="Q367" s="572"/>
      <c r="R367" s="556"/>
      <c r="S367" s="570"/>
      <c r="T367" s="571"/>
      <c r="U367" s="571"/>
      <c r="V367" s="572"/>
      <c r="W367" s="253"/>
      <c r="X367" s="253"/>
      <c r="Y367" s="253"/>
      <c r="Z367" s="253"/>
      <c r="AA367" s="253"/>
      <c r="AB367" s="219"/>
    </row>
    <row r="368" spans="1:28" ht="13.9" customHeight="1" x14ac:dyDescent="0.2">
      <c r="A368" s="219"/>
      <c r="B368" s="219"/>
      <c r="C368" s="219"/>
      <c r="D368" s="631"/>
      <c r="E368" s="632"/>
      <c r="F368" s="632"/>
      <c r="G368" s="633"/>
      <c r="H368" s="253"/>
      <c r="I368" s="679"/>
      <c r="J368" s="680"/>
      <c r="K368" s="680"/>
      <c r="L368" s="681"/>
      <c r="M368" s="253"/>
      <c r="N368" s="570"/>
      <c r="O368" s="571"/>
      <c r="P368" s="571"/>
      <c r="Q368" s="572"/>
      <c r="R368" s="556"/>
      <c r="S368" s="570"/>
      <c r="T368" s="571"/>
      <c r="U368" s="571"/>
      <c r="V368" s="572"/>
      <c r="W368" s="253"/>
      <c r="X368" s="253"/>
      <c r="Y368" s="253"/>
      <c r="Z368" s="253"/>
      <c r="AA368" s="253"/>
      <c r="AB368" s="219"/>
    </row>
    <row r="369" spans="1:28" ht="13.9" customHeight="1" x14ac:dyDescent="0.2">
      <c r="A369" s="219"/>
      <c r="B369" s="219"/>
      <c r="C369" s="219"/>
      <c r="D369" s="595"/>
      <c r="E369" s="596"/>
      <c r="F369" s="596"/>
      <c r="G369" s="597"/>
      <c r="H369" s="253"/>
      <c r="I369" s="682"/>
      <c r="J369" s="683"/>
      <c r="K369" s="683"/>
      <c r="L369" s="684"/>
      <c r="M369" s="253"/>
      <c r="N369" s="573"/>
      <c r="O369" s="574"/>
      <c r="P369" s="574"/>
      <c r="Q369" s="575"/>
      <c r="R369" s="556"/>
      <c r="S369" s="573"/>
      <c r="T369" s="574"/>
      <c r="U369" s="574"/>
      <c r="V369" s="575"/>
      <c r="W369" s="253"/>
      <c r="X369" s="253"/>
      <c r="Y369" s="253"/>
      <c r="Z369" s="253"/>
      <c r="AA369" s="253"/>
      <c r="AB369" s="219"/>
    </row>
    <row r="370" spans="1:28" ht="13.9" customHeight="1" x14ac:dyDescent="0.25">
      <c r="A370" s="219"/>
      <c r="B370" s="219"/>
      <c r="C370" s="219"/>
      <c r="D370" s="598" t="s">
        <v>523</v>
      </c>
      <c r="E370" s="599"/>
      <c r="F370" s="599"/>
      <c r="G370" s="600"/>
      <c r="H370" s="253"/>
      <c r="I370" s="598" t="s">
        <v>524</v>
      </c>
      <c r="J370" s="599"/>
      <c r="K370" s="599"/>
      <c r="L370" s="600"/>
      <c r="M370" s="253"/>
      <c r="N370" s="598" t="s">
        <v>525</v>
      </c>
      <c r="O370" s="599"/>
      <c r="P370" s="599"/>
      <c r="Q370" s="600"/>
      <c r="R370" s="253"/>
      <c r="S370" s="598" t="s">
        <v>526</v>
      </c>
      <c r="T370" s="599"/>
      <c r="U370" s="599"/>
      <c r="V370" s="600"/>
      <c r="W370" s="253"/>
      <c r="X370" s="253"/>
      <c r="Y370" s="253"/>
      <c r="Z370" s="253"/>
      <c r="AA370" s="253"/>
      <c r="AB370" s="219"/>
    </row>
    <row r="371" spans="1:28" ht="27" customHeight="1" x14ac:dyDescent="0.2">
      <c r="A371" s="219"/>
      <c r="B371" s="219"/>
      <c r="C371" s="219"/>
      <c r="D371" s="601" t="s">
        <v>527</v>
      </c>
      <c r="E371" s="602"/>
      <c r="F371" s="603"/>
      <c r="G371" s="604"/>
      <c r="H371" s="266"/>
      <c r="I371" s="601" t="s">
        <v>528</v>
      </c>
      <c r="J371" s="602"/>
      <c r="K371" s="603"/>
      <c r="L371" s="604"/>
      <c r="M371" s="266"/>
      <c r="N371" s="601" t="s">
        <v>529</v>
      </c>
      <c r="O371" s="602"/>
      <c r="P371" s="603"/>
      <c r="Q371" s="604"/>
      <c r="R371" s="266"/>
      <c r="S371" s="601" t="s">
        <v>530</v>
      </c>
      <c r="T371" s="602"/>
      <c r="U371" s="603"/>
      <c r="V371" s="604"/>
      <c r="W371" s="266"/>
      <c r="X371" s="253"/>
      <c r="Y371" s="253"/>
      <c r="Z371" s="253"/>
      <c r="AA371" s="253"/>
      <c r="AB371" s="219"/>
    </row>
    <row r="372" spans="1:28" ht="16.149999999999999" customHeight="1" x14ac:dyDescent="0.25">
      <c r="A372" s="219"/>
      <c r="B372" s="219"/>
      <c r="C372" s="219"/>
      <c r="D372" s="612">
        <v>47</v>
      </c>
      <c r="E372" s="613"/>
      <c r="F372" s="623">
        <v>0</v>
      </c>
      <c r="G372" s="624"/>
      <c r="H372" s="253"/>
      <c r="I372" s="612">
        <v>100</v>
      </c>
      <c r="J372" s="613"/>
      <c r="K372" s="623">
        <v>0</v>
      </c>
      <c r="L372" s="624"/>
      <c r="M372" s="253"/>
      <c r="N372" s="612">
        <v>48</v>
      </c>
      <c r="O372" s="613"/>
      <c r="P372" s="623">
        <v>0</v>
      </c>
      <c r="Q372" s="624"/>
      <c r="R372" s="253"/>
      <c r="S372" s="612">
        <v>155</v>
      </c>
      <c r="T372" s="613"/>
      <c r="U372" s="623">
        <v>0</v>
      </c>
      <c r="V372" s="624"/>
      <c r="W372" s="253"/>
      <c r="X372" s="253"/>
      <c r="Y372" s="253"/>
      <c r="Z372" s="253"/>
      <c r="AA372" s="253"/>
      <c r="AB372" s="219"/>
    </row>
    <row r="373" spans="1:28" s="173" customFormat="1" ht="27" customHeight="1" x14ac:dyDescent="0.2">
      <c r="A373" s="220"/>
      <c r="B373" s="590"/>
      <c r="C373" s="590"/>
      <c r="D373" s="579"/>
      <c r="E373" s="580"/>
      <c r="F373" s="591"/>
      <c r="G373" s="592"/>
      <c r="H373" s="593"/>
      <c r="I373" s="594"/>
      <c r="J373" s="594"/>
      <c r="K373" s="594"/>
      <c r="L373" s="594"/>
      <c r="M373" s="593"/>
      <c r="N373" s="594"/>
      <c r="O373" s="594"/>
      <c r="P373" s="594"/>
      <c r="Q373" s="594"/>
      <c r="R373" s="593"/>
      <c r="S373" s="594"/>
      <c r="T373" s="594"/>
      <c r="U373" s="594"/>
      <c r="V373" s="594"/>
      <c r="W373" s="593"/>
      <c r="X373" s="594"/>
      <c r="Y373" s="594"/>
      <c r="Z373" s="594"/>
      <c r="AA373" s="594"/>
      <c r="AB373" s="590"/>
    </row>
    <row r="374" spans="1:28" s="176" customFormat="1" ht="27" customHeight="1" x14ac:dyDescent="0.3">
      <c r="A374" s="378"/>
      <c r="B374" s="232"/>
      <c r="C374" s="232"/>
      <c r="D374" s="769" t="s">
        <v>111</v>
      </c>
      <c r="E374" s="769"/>
      <c r="F374" s="769"/>
      <c r="G374" s="769"/>
      <c r="H374" s="769"/>
      <c r="I374" s="769"/>
      <c r="J374" s="769"/>
      <c r="K374" s="769"/>
      <c r="L374" s="769"/>
      <c r="M374" s="769"/>
      <c r="N374" s="769"/>
      <c r="O374" s="769"/>
      <c r="P374" s="769"/>
      <c r="Q374" s="769"/>
      <c r="R374" s="769"/>
      <c r="S374" s="769"/>
      <c r="T374" s="769"/>
      <c r="U374" s="769"/>
      <c r="V374" s="769"/>
      <c r="W374" s="769"/>
      <c r="X374" s="769"/>
      <c r="Y374" s="769"/>
      <c r="Z374" s="769"/>
      <c r="AA374" s="769"/>
      <c r="AB374" s="232"/>
    </row>
    <row r="375" spans="1:28" s="176" customFormat="1" ht="19.899999999999999" customHeight="1" x14ac:dyDescent="0.3">
      <c r="A375" s="378"/>
      <c r="B375" s="225"/>
      <c r="C375" s="225"/>
      <c r="D375" s="290"/>
      <c r="E375" s="290"/>
      <c r="F375" s="290"/>
      <c r="G375" s="290"/>
      <c r="H375" s="290"/>
      <c r="I375" s="290"/>
      <c r="J375" s="290"/>
      <c r="K375" s="290"/>
      <c r="L375" s="290"/>
      <c r="M375" s="290"/>
      <c r="N375" s="290"/>
      <c r="O375" s="290"/>
      <c r="P375" s="290"/>
      <c r="Q375" s="290"/>
      <c r="R375" s="290"/>
      <c r="S375" s="290"/>
      <c r="T375" s="290"/>
      <c r="U375" s="290"/>
      <c r="V375" s="290"/>
      <c r="W375" s="269"/>
      <c r="X375" s="269"/>
      <c r="Y375" s="269"/>
      <c r="Z375" s="269"/>
      <c r="AA375" s="269"/>
      <c r="AB375" s="225"/>
    </row>
    <row r="376" spans="1:28" ht="14.25" x14ac:dyDescent="0.2">
      <c r="A376" s="219"/>
      <c r="B376" s="219"/>
      <c r="C376" s="219"/>
      <c r="D376" s="616"/>
      <c r="E376" s="617"/>
      <c r="F376" s="617"/>
      <c r="G376" s="618"/>
      <c r="H376" s="253"/>
      <c r="I376" s="616"/>
      <c r="J376" s="617"/>
      <c r="K376" s="617"/>
      <c r="L376" s="618"/>
      <c r="M376" s="253"/>
      <c r="N376" s="616"/>
      <c r="O376" s="617"/>
      <c r="P376" s="617"/>
      <c r="Q376" s="618"/>
      <c r="R376" s="253"/>
      <c r="S376" s="616"/>
      <c r="T376" s="617"/>
      <c r="U376" s="617"/>
      <c r="V376" s="618"/>
      <c r="W376" s="250"/>
      <c r="X376" s="611"/>
      <c r="Y376" s="611"/>
      <c r="Z376" s="611"/>
      <c r="AA376" s="611"/>
      <c r="AB376" s="219"/>
    </row>
    <row r="377" spans="1:28" ht="14.25" x14ac:dyDescent="0.2">
      <c r="A377" s="219"/>
      <c r="B377" s="219"/>
      <c r="C377" s="219"/>
      <c r="D377" s="631"/>
      <c r="E377" s="632"/>
      <c r="F377" s="632"/>
      <c r="G377" s="633"/>
      <c r="H377" s="253"/>
      <c r="I377" s="631"/>
      <c r="J377" s="632"/>
      <c r="K377" s="632"/>
      <c r="L377" s="633"/>
      <c r="M377" s="253"/>
      <c r="N377" s="631"/>
      <c r="O377" s="632"/>
      <c r="P377" s="632"/>
      <c r="Q377" s="633"/>
      <c r="R377" s="253"/>
      <c r="S377" s="631"/>
      <c r="T377" s="632"/>
      <c r="U377" s="632"/>
      <c r="V377" s="633"/>
      <c r="W377" s="250"/>
      <c r="X377" s="611"/>
      <c r="Y377" s="611"/>
      <c r="Z377" s="611"/>
      <c r="AA377" s="611"/>
      <c r="AB377" s="219"/>
    </row>
    <row r="378" spans="1:28" ht="14.25" x14ac:dyDescent="0.2">
      <c r="A378" s="219"/>
      <c r="B378" s="219"/>
      <c r="C378" s="219"/>
      <c r="D378" s="272"/>
      <c r="E378" s="273"/>
      <c r="F378" s="273"/>
      <c r="G378" s="274"/>
      <c r="H378" s="253"/>
      <c r="I378" s="272"/>
      <c r="J378" s="273"/>
      <c r="K378" s="273"/>
      <c r="L378" s="274"/>
      <c r="M378" s="253"/>
      <c r="N378" s="272"/>
      <c r="O378" s="273"/>
      <c r="P378" s="273"/>
      <c r="Q378" s="274"/>
      <c r="R378" s="253"/>
      <c r="S378" s="272"/>
      <c r="T378" s="273"/>
      <c r="U378" s="273"/>
      <c r="V378" s="274"/>
      <c r="W378" s="250"/>
      <c r="X378" s="278"/>
      <c r="Y378" s="278"/>
      <c r="Z378" s="278"/>
      <c r="AA378" s="278"/>
      <c r="AB378" s="219"/>
    </row>
    <row r="379" spans="1:28" ht="14.25" x14ac:dyDescent="0.2">
      <c r="A379" s="219"/>
      <c r="B379" s="219"/>
      <c r="C379" s="219"/>
      <c r="D379" s="631"/>
      <c r="E379" s="632"/>
      <c r="F379" s="632"/>
      <c r="G379" s="633"/>
      <c r="H379" s="253"/>
      <c r="I379" s="631"/>
      <c r="J379" s="632"/>
      <c r="K379" s="632"/>
      <c r="L379" s="633"/>
      <c r="M379" s="253"/>
      <c r="N379" s="631"/>
      <c r="O379" s="632"/>
      <c r="P379" s="632"/>
      <c r="Q379" s="633"/>
      <c r="R379" s="253"/>
      <c r="S379" s="631"/>
      <c r="T379" s="632"/>
      <c r="U379" s="632"/>
      <c r="V379" s="633"/>
      <c r="W379" s="250"/>
      <c r="X379" s="611"/>
      <c r="Y379" s="611"/>
      <c r="Z379" s="611"/>
      <c r="AA379" s="611"/>
      <c r="AB379" s="219"/>
    </row>
    <row r="380" spans="1:28" ht="14.25" x14ac:dyDescent="0.2">
      <c r="A380" s="219"/>
      <c r="B380" s="219"/>
      <c r="C380" s="219"/>
      <c r="D380" s="631"/>
      <c r="E380" s="632"/>
      <c r="F380" s="632"/>
      <c r="G380" s="633"/>
      <c r="H380" s="253"/>
      <c r="I380" s="631"/>
      <c r="J380" s="632"/>
      <c r="K380" s="632"/>
      <c r="L380" s="633"/>
      <c r="M380" s="253"/>
      <c r="N380" s="631"/>
      <c r="O380" s="632"/>
      <c r="P380" s="632"/>
      <c r="Q380" s="633"/>
      <c r="R380" s="253"/>
      <c r="S380" s="631"/>
      <c r="T380" s="632"/>
      <c r="U380" s="632"/>
      <c r="V380" s="633"/>
      <c r="W380" s="250"/>
      <c r="X380" s="611"/>
      <c r="Y380" s="611"/>
      <c r="Z380" s="611"/>
      <c r="AA380" s="611"/>
      <c r="AB380" s="219"/>
    </row>
    <row r="381" spans="1:28" s="174" customFormat="1" ht="15" x14ac:dyDescent="0.25">
      <c r="A381" s="221"/>
      <c r="B381" s="219"/>
      <c r="C381" s="219"/>
      <c r="D381" s="595"/>
      <c r="E381" s="596"/>
      <c r="F381" s="596"/>
      <c r="G381" s="597"/>
      <c r="H381" s="253"/>
      <c r="I381" s="595"/>
      <c r="J381" s="596"/>
      <c r="K381" s="596"/>
      <c r="L381" s="597"/>
      <c r="M381" s="253"/>
      <c r="N381" s="595"/>
      <c r="O381" s="596"/>
      <c r="P381" s="596"/>
      <c r="Q381" s="597"/>
      <c r="R381" s="253"/>
      <c r="S381" s="595"/>
      <c r="T381" s="596"/>
      <c r="U381" s="596"/>
      <c r="V381" s="597"/>
      <c r="W381" s="250"/>
      <c r="X381" s="611"/>
      <c r="Y381" s="611"/>
      <c r="Z381" s="611"/>
      <c r="AA381" s="611"/>
      <c r="AB381" s="219"/>
    </row>
    <row r="382" spans="1:28" ht="15" x14ac:dyDescent="0.25">
      <c r="A382" s="219"/>
      <c r="B382" s="219"/>
      <c r="C382" s="219"/>
      <c r="D382" s="598" t="s">
        <v>193</v>
      </c>
      <c r="E382" s="599"/>
      <c r="F382" s="599"/>
      <c r="G382" s="600"/>
      <c r="H382" s="253"/>
      <c r="I382" s="598" t="s">
        <v>194</v>
      </c>
      <c r="J382" s="599"/>
      <c r="K382" s="599"/>
      <c r="L382" s="600"/>
      <c r="M382" s="253"/>
      <c r="N382" s="598" t="s">
        <v>561</v>
      </c>
      <c r="O382" s="599"/>
      <c r="P382" s="599"/>
      <c r="Q382" s="600"/>
      <c r="R382" s="253"/>
      <c r="S382" s="598" t="s">
        <v>564</v>
      </c>
      <c r="T382" s="599"/>
      <c r="U382" s="599"/>
      <c r="V382" s="600"/>
      <c r="W382" s="250"/>
      <c r="X382" s="630"/>
      <c r="Y382" s="630"/>
      <c r="Z382" s="630"/>
      <c r="AA382" s="630"/>
      <c r="AB382" s="219"/>
    </row>
    <row r="383" spans="1:28" s="169" customFormat="1" ht="27" customHeight="1" x14ac:dyDescent="0.25">
      <c r="A383" s="226"/>
      <c r="B383" s="224"/>
      <c r="C383" s="224"/>
      <c r="D383" s="601" t="s">
        <v>407</v>
      </c>
      <c r="E383" s="602"/>
      <c r="F383" s="603"/>
      <c r="G383" s="604"/>
      <c r="H383" s="266"/>
      <c r="I383" s="601" t="s">
        <v>513</v>
      </c>
      <c r="J383" s="602"/>
      <c r="K383" s="603"/>
      <c r="L383" s="604"/>
      <c r="M383" s="266"/>
      <c r="N383" s="601" t="s">
        <v>562</v>
      </c>
      <c r="O383" s="602"/>
      <c r="P383" s="603"/>
      <c r="Q383" s="604"/>
      <c r="R383" s="266"/>
      <c r="S383" s="601" t="s">
        <v>563</v>
      </c>
      <c r="T383" s="602"/>
      <c r="U383" s="603"/>
      <c r="V383" s="604"/>
      <c r="W383" s="266"/>
      <c r="X383" s="827"/>
      <c r="Y383" s="827"/>
      <c r="Z383" s="827"/>
      <c r="AA383" s="827"/>
      <c r="AB383" s="224"/>
    </row>
    <row r="384" spans="1:28" ht="16.149999999999999" customHeight="1" x14ac:dyDescent="0.25">
      <c r="A384" s="219"/>
      <c r="B384" s="219"/>
      <c r="C384" s="219"/>
      <c r="D384" s="622">
        <v>210</v>
      </c>
      <c r="E384" s="607"/>
      <c r="F384" s="623">
        <v>0</v>
      </c>
      <c r="G384" s="624"/>
      <c r="H384" s="253"/>
      <c r="I384" s="622">
        <v>110</v>
      </c>
      <c r="J384" s="607"/>
      <c r="K384" s="623">
        <v>0</v>
      </c>
      <c r="L384" s="624"/>
      <c r="M384" s="253"/>
      <c r="N384" s="622">
        <v>170</v>
      </c>
      <c r="O384" s="607"/>
      <c r="P384" s="623">
        <v>0</v>
      </c>
      <c r="Q384" s="624"/>
      <c r="R384" s="253"/>
      <c r="S384" s="622">
        <v>85</v>
      </c>
      <c r="T384" s="607"/>
      <c r="U384" s="623">
        <v>0</v>
      </c>
      <c r="V384" s="624"/>
      <c r="W384" s="250"/>
      <c r="X384" s="805"/>
      <c r="Y384" s="805"/>
      <c r="Z384" s="771"/>
      <c r="AA384" s="771"/>
      <c r="AB384" s="219"/>
    </row>
    <row r="385" spans="1:28" ht="27" customHeight="1" thickBot="1" x14ac:dyDescent="0.25">
      <c r="A385" s="219"/>
      <c r="B385" s="219"/>
      <c r="C385" s="219"/>
      <c r="D385" s="270"/>
      <c r="E385" s="270"/>
      <c r="F385" s="270"/>
      <c r="G385" s="270"/>
      <c r="H385" s="262"/>
      <c r="I385" s="270"/>
      <c r="J385" s="270"/>
      <c r="K385" s="270"/>
      <c r="L385" s="270"/>
      <c r="M385" s="262"/>
      <c r="N385" s="270"/>
      <c r="O385" s="270"/>
      <c r="P385" s="270"/>
      <c r="Q385" s="270"/>
      <c r="R385" s="262"/>
      <c r="S385" s="270"/>
      <c r="T385" s="270"/>
      <c r="U385" s="270"/>
      <c r="V385" s="270"/>
      <c r="W385" s="262"/>
      <c r="X385" s="270"/>
      <c r="Y385" s="270"/>
      <c r="Z385" s="270"/>
      <c r="AA385" s="270"/>
      <c r="AB385" s="219"/>
    </row>
    <row r="386" spans="1:28" s="177" customFormat="1" ht="27" customHeight="1" thickTop="1" x14ac:dyDescent="0.2">
      <c r="A386" s="379"/>
      <c r="B386" s="233"/>
      <c r="C386" s="233"/>
      <c r="D386" s="833" t="s">
        <v>109</v>
      </c>
      <c r="E386" s="833"/>
      <c r="F386" s="833"/>
      <c r="G386" s="833"/>
      <c r="H386" s="833"/>
      <c r="I386" s="833"/>
      <c r="J386" s="833"/>
      <c r="K386" s="833"/>
      <c r="L386" s="833"/>
      <c r="M386" s="833"/>
      <c r="N386" s="833"/>
      <c r="O386" s="833"/>
      <c r="P386" s="833"/>
      <c r="Q386" s="833"/>
      <c r="R386" s="833"/>
      <c r="S386" s="833"/>
      <c r="T386" s="833"/>
      <c r="U386" s="833"/>
      <c r="V386" s="833"/>
      <c r="W386" s="833"/>
      <c r="X386" s="833"/>
      <c r="Y386" s="833"/>
      <c r="Z386" s="833"/>
      <c r="AA386" s="833"/>
      <c r="AB386" s="233"/>
    </row>
    <row r="387" spans="1:28" s="176" customFormat="1" ht="20.65" customHeight="1" x14ac:dyDescent="0.3">
      <c r="A387" s="378"/>
      <c r="B387" s="225"/>
      <c r="C387" s="225"/>
      <c r="D387" s="290"/>
      <c r="E387" s="290"/>
      <c r="F387" s="290"/>
      <c r="G387" s="290"/>
      <c r="H387" s="290"/>
      <c r="I387" s="290"/>
      <c r="J387" s="290"/>
      <c r="K387" s="290"/>
      <c r="L387" s="290"/>
      <c r="M387" s="290"/>
      <c r="N387" s="290"/>
      <c r="O387" s="290"/>
      <c r="P387" s="290"/>
      <c r="Q387" s="290"/>
      <c r="R387" s="290"/>
      <c r="S387" s="290"/>
      <c r="T387" s="290"/>
      <c r="U387" s="290"/>
      <c r="V387" s="290"/>
      <c r="W387" s="290"/>
      <c r="X387" s="290"/>
      <c r="Y387" s="290"/>
      <c r="Z387" s="290"/>
      <c r="AA387" s="290"/>
      <c r="AB387" s="225"/>
    </row>
    <row r="388" spans="1:28" ht="14.25" x14ac:dyDescent="0.2">
      <c r="A388" s="219"/>
      <c r="B388" s="830" t="s">
        <v>239</v>
      </c>
      <c r="C388" s="229"/>
      <c r="D388" s="616"/>
      <c r="E388" s="617"/>
      <c r="F388" s="617"/>
      <c r="G388" s="618"/>
      <c r="H388" s="253"/>
      <c r="I388" s="616"/>
      <c r="J388" s="617"/>
      <c r="K388" s="617"/>
      <c r="L388" s="618"/>
      <c r="M388" s="253"/>
      <c r="N388" s="616"/>
      <c r="O388" s="617"/>
      <c r="P388" s="617"/>
      <c r="Q388" s="618"/>
      <c r="R388" s="253"/>
      <c r="S388" s="616"/>
      <c r="T388" s="617"/>
      <c r="U388" s="617"/>
      <c r="V388" s="618"/>
      <c r="W388" s="253"/>
      <c r="X388" s="616"/>
      <c r="Y388" s="617"/>
      <c r="Z388" s="617"/>
      <c r="AA388" s="618"/>
      <c r="AB388" s="219"/>
    </row>
    <row r="389" spans="1:28" ht="14.25" x14ac:dyDescent="0.2">
      <c r="A389" s="219"/>
      <c r="B389" s="830"/>
      <c r="C389" s="229"/>
      <c r="D389" s="631"/>
      <c r="E389" s="632"/>
      <c r="F389" s="632"/>
      <c r="G389" s="633"/>
      <c r="H389" s="253"/>
      <c r="I389" s="631"/>
      <c r="J389" s="632"/>
      <c r="K389" s="632"/>
      <c r="L389" s="633"/>
      <c r="M389" s="253"/>
      <c r="N389" s="631"/>
      <c r="O389" s="632"/>
      <c r="P389" s="632"/>
      <c r="Q389" s="633"/>
      <c r="R389" s="253"/>
      <c r="S389" s="631"/>
      <c r="T389" s="632"/>
      <c r="U389" s="632"/>
      <c r="V389" s="633"/>
      <c r="W389" s="253"/>
      <c r="X389" s="631"/>
      <c r="Y389" s="632"/>
      <c r="Z389" s="632"/>
      <c r="AA389" s="633"/>
      <c r="AB389" s="219"/>
    </row>
    <row r="390" spans="1:28" ht="14.25" x14ac:dyDescent="0.2">
      <c r="A390" s="219"/>
      <c r="B390" s="830"/>
      <c r="C390" s="229"/>
      <c r="D390" s="272"/>
      <c r="E390" s="273"/>
      <c r="F390" s="273"/>
      <c r="G390" s="274"/>
      <c r="H390" s="253"/>
      <c r="I390" s="272"/>
      <c r="J390" s="273"/>
      <c r="K390" s="273"/>
      <c r="L390" s="274"/>
      <c r="M390" s="253"/>
      <c r="N390" s="272"/>
      <c r="O390" s="273"/>
      <c r="P390" s="273"/>
      <c r="Q390" s="274"/>
      <c r="R390" s="253"/>
      <c r="S390" s="272"/>
      <c r="T390" s="273"/>
      <c r="U390" s="273"/>
      <c r="V390" s="274"/>
      <c r="W390" s="253"/>
      <c r="X390" s="272"/>
      <c r="Y390" s="273"/>
      <c r="Z390" s="273"/>
      <c r="AA390" s="274"/>
      <c r="AB390" s="219"/>
    </row>
    <row r="391" spans="1:28" ht="14.25" x14ac:dyDescent="0.2">
      <c r="A391" s="219"/>
      <c r="B391" s="830"/>
      <c r="C391" s="229"/>
      <c r="D391" s="631"/>
      <c r="E391" s="632"/>
      <c r="F391" s="632"/>
      <c r="G391" s="633"/>
      <c r="H391" s="253"/>
      <c r="I391" s="631"/>
      <c r="J391" s="632"/>
      <c r="K391" s="632"/>
      <c r="L391" s="633"/>
      <c r="M391" s="253"/>
      <c r="N391" s="631"/>
      <c r="O391" s="632"/>
      <c r="P391" s="632"/>
      <c r="Q391" s="633"/>
      <c r="R391" s="253"/>
      <c r="S391" s="631"/>
      <c r="T391" s="632"/>
      <c r="U391" s="632"/>
      <c r="V391" s="633"/>
      <c r="W391" s="253"/>
      <c r="X391" s="631"/>
      <c r="Y391" s="632"/>
      <c r="Z391" s="632"/>
      <c r="AA391" s="633"/>
      <c r="AB391" s="219"/>
    </row>
    <row r="392" spans="1:28" ht="14.25" x14ac:dyDescent="0.2">
      <c r="A392" s="219"/>
      <c r="B392" s="830"/>
      <c r="C392" s="229"/>
      <c r="D392" s="631"/>
      <c r="E392" s="632"/>
      <c r="F392" s="632"/>
      <c r="G392" s="633"/>
      <c r="H392" s="253"/>
      <c r="I392" s="631"/>
      <c r="J392" s="632"/>
      <c r="K392" s="632"/>
      <c r="L392" s="633"/>
      <c r="M392" s="253"/>
      <c r="N392" s="631"/>
      <c r="O392" s="632"/>
      <c r="P392" s="632"/>
      <c r="Q392" s="633"/>
      <c r="R392" s="253"/>
      <c r="S392" s="631"/>
      <c r="T392" s="632"/>
      <c r="U392" s="632"/>
      <c r="V392" s="633"/>
      <c r="W392" s="253"/>
      <c r="X392" s="631"/>
      <c r="Y392" s="632"/>
      <c r="Z392" s="632"/>
      <c r="AA392" s="633"/>
      <c r="AB392" s="219"/>
    </row>
    <row r="393" spans="1:28" ht="14.25" x14ac:dyDescent="0.2">
      <c r="A393" s="219"/>
      <c r="B393" s="830"/>
      <c r="C393" s="229"/>
      <c r="D393" s="631"/>
      <c r="E393" s="632"/>
      <c r="F393" s="632"/>
      <c r="G393" s="633"/>
      <c r="H393" s="253"/>
      <c r="I393" s="631"/>
      <c r="J393" s="632"/>
      <c r="K393" s="632"/>
      <c r="L393" s="633"/>
      <c r="M393" s="253"/>
      <c r="N393" s="631"/>
      <c r="O393" s="632"/>
      <c r="P393" s="632"/>
      <c r="Q393" s="633"/>
      <c r="R393" s="253"/>
      <c r="S393" s="631"/>
      <c r="T393" s="632"/>
      <c r="U393" s="632"/>
      <c r="V393" s="633"/>
      <c r="W393" s="253"/>
      <c r="X393" s="631"/>
      <c r="Y393" s="632"/>
      <c r="Z393" s="632"/>
      <c r="AA393" s="633"/>
      <c r="AB393" s="219"/>
    </row>
    <row r="394" spans="1:28" ht="15" x14ac:dyDescent="0.25">
      <c r="A394" s="219"/>
      <c r="B394" s="830"/>
      <c r="C394" s="229"/>
      <c r="D394" s="598" t="s">
        <v>231</v>
      </c>
      <c r="E394" s="599"/>
      <c r="F394" s="599"/>
      <c r="G394" s="600"/>
      <c r="H394" s="253"/>
      <c r="I394" s="598" t="s">
        <v>215</v>
      </c>
      <c r="J394" s="599"/>
      <c r="K394" s="599"/>
      <c r="L394" s="600"/>
      <c r="M394" s="253"/>
      <c r="N394" s="598" t="s">
        <v>233</v>
      </c>
      <c r="O394" s="599"/>
      <c r="P394" s="599"/>
      <c r="Q394" s="600"/>
      <c r="R394" s="253"/>
      <c r="S394" s="598" t="s">
        <v>598</v>
      </c>
      <c r="T394" s="599"/>
      <c r="U394" s="599"/>
      <c r="V394" s="600"/>
      <c r="W394" s="253"/>
      <c r="X394" s="598" t="s">
        <v>921</v>
      </c>
      <c r="Y394" s="599"/>
      <c r="Z394" s="599"/>
      <c r="AA394" s="600"/>
      <c r="AB394" s="219"/>
    </row>
    <row r="395" spans="1:28" s="178" customFormat="1" ht="27" customHeight="1" x14ac:dyDescent="0.2">
      <c r="A395" s="380"/>
      <c r="B395" s="830"/>
      <c r="C395" s="229"/>
      <c r="D395" s="601" t="s">
        <v>653</v>
      </c>
      <c r="E395" s="602"/>
      <c r="F395" s="603"/>
      <c r="G395" s="604"/>
      <c r="H395" s="266"/>
      <c r="I395" s="601" t="s">
        <v>654</v>
      </c>
      <c r="J395" s="602"/>
      <c r="K395" s="603"/>
      <c r="L395" s="604"/>
      <c r="M395" s="266"/>
      <c r="N395" s="601" t="s">
        <v>655</v>
      </c>
      <c r="O395" s="602"/>
      <c r="P395" s="603"/>
      <c r="Q395" s="604"/>
      <c r="R395" s="266"/>
      <c r="S395" s="601" t="s">
        <v>656</v>
      </c>
      <c r="T395" s="602"/>
      <c r="U395" s="603"/>
      <c r="V395" s="604"/>
      <c r="W395" s="266"/>
      <c r="X395" s="601" t="s">
        <v>957</v>
      </c>
      <c r="Y395" s="602"/>
      <c r="Z395" s="603"/>
      <c r="AA395" s="604"/>
      <c r="AB395" s="226"/>
    </row>
    <row r="396" spans="1:28" s="169" customFormat="1" ht="16.149999999999999" customHeight="1" x14ac:dyDescent="0.25">
      <c r="A396" s="226"/>
      <c r="B396" s="830"/>
      <c r="C396" s="229"/>
      <c r="D396" s="622">
        <v>0.08</v>
      </c>
      <c r="E396" s="607"/>
      <c r="F396" s="623">
        <v>0</v>
      </c>
      <c r="G396" s="624"/>
      <c r="H396" s="253"/>
      <c r="I396" s="622">
        <v>7.0000000000000007E-2</v>
      </c>
      <c r="J396" s="607"/>
      <c r="K396" s="623">
        <v>0</v>
      </c>
      <c r="L396" s="624"/>
      <c r="M396" s="253"/>
      <c r="N396" s="622">
        <v>0.09</v>
      </c>
      <c r="O396" s="607"/>
      <c r="P396" s="623">
        <v>0</v>
      </c>
      <c r="Q396" s="624"/>
      <c r="R396" s="253"/>
      <c r="S396" s="622">
        <v>0.11</v>
      </c>
      <c r="T396" s="607"/>
      <c r="U396" s="623">
        <v>0</v>
      </c>
      <c r="V396" s="624"/>
      <c r="W396" s="253"/>
      <c r="X396" s="622">
        <v>5.5</v>
      </c>
      <c r="Y396" s="607"/>
      <c r="Z396" s="623">
        <v>0</v>
      </c>
      <c r="AA396" s="624"/>
      <c r="AB396" s="219"/>
    </row>
    <row r="397" spans="1:28" s="386" customFormat="1" ht="16.149999999999999" customHeight="1" x14ac:dyDescent="0.2">
      <c r="A397" s="384"/>
      <c r="B397" s="830"/>
      <c r="C397" s="229"/>
      <c r="D397" s="486">
        <f>D396*G397</f>
        <v>16</v>
      </c>
      <c r="E397" s="450"/>
      <c r="F397" s="447" t="s">
        <v>293</v>
      </c>
      <c r="G397" s="448">
        <v>200</v>
      </c>
      <c r="H397" s="449"/>
      <c r="I397" s="486">
        <f>I396*L397</f>
        <v>14.000000000000002</v>
      </c>
      <c r="J397" s="450"/>
      <c r="K397" s="447" t="s">
        <v>293</v>
      </c>
      <c r="L397" s="448">
        <v>200</v>
      </c>
      <c r="M397" s="449"/>
      <c r="N397" s="486">
        <f>N396*Q397</f>
        <v>18</v>
      </c>
      <c r="O397" s="450"/>
      <c r="P397" s="447" t="s">
        <v>293</v>
      </c>
      <c r="Q397" s="448">
        <v>200</v>
      </c>
      <c r="R397" s="449"/>
      <c r="S397" s="486">
        <f>S396*V397</f>
        <v>22</v>
      </c>
      <c r="T397" s="450"/>
      <c r="U397" s="447" t="s">
        <v>293</v>
      </c>
      <c r="V397" s="448">
        <v>200</v>
      </c>
      <c r="W397" s="449"/>
      <c r="X397" s="486"/>
      <c r="Y397" s="450"/>
      <c r="Z397" s="447" t="s">
        <v>293</v>
      </c>
      <c r="AA397" s="448">
        <v>500</v>
      </c>
      <c r="AB397" s="384"/>
    </row>
    <row r="398" spans="1:28" ht="14.25" x14ac:dyDescent="0.2">
      <c r="A398" s="219"/>
      <c r="B398" s="229"/>
      <c r="C398" s="229"/>
      <c r="D398" s="279"/>
      <c r="E398" s="280"/>
      <c r="F398" s="281"/>
      <c r="G398" s="282"/>
      <c r="H398" s="253"/>
      <c r="I398" s="279"/>
      <c r="J398" s="280"/>
      <c r="K398" s="281"/>
      <c r="L398" s="282"/>
      <c r="M398" s="253"/>
      <c r="N398" s="279"/>
      <c r="O398" s="280"/>
      <c r="P398" s="281"/>
      <c r="Q398" s="282"/>
      <c r="R398" s="253"/>
      <c r="S398" s="279"/>
      <c r="T398" s="280"/>
      <c r="U398" s="281"/>
      <c r="V398" s="282"/>
      <c r="W398" s="253"/>
      <c r="X398" s="279"/>
      <c r="Y398" s="280"/>
      <c r="Z398" s="281"/>
      <c r="AA398" s="282"/>
      <c r="AB398" s="219"/>
    </row>
    <row r="399" spans="1:28" ht="14.25" x14ac:dyDescent="0.2">
      <c r="A399" s="219"/>
      <c r="B399" s="830" t="s">
        <v>466</v>
      </c>
      <c r="C399" s="230"/>
      <c r="D399" s="616"/>
      <c r="E399" s="617"/>
      <c r="F399" s="617"/>
      <c r="G399" s="618"/>
      <c r="H399" s="253"/>
      <c r="I399" s="616"/>
      <c r="J399" s="617"/>
      <c r="K399" s="617"/>
      <c r="L399" s="618"/>
      <c r="M399" s="253"/>
      <c r="N399" s="616"/>
      <c r="O399" s="617"/>
      <c r="P399" s="617"/>
      <c r="Q399" s="618"/>
      <c r="R399" s="253"/>
      <c r="S399" s="616"/>
      <c r="T399" s="617"/>
      <c r="U399" s="617"/>
      <c r="V399" s="618"/>
      <c r="W399" s="253"/>
      <c r="X399" s="279"/>
      <c r="Y399" s="280"/>
      <c r="Z399" s="281"/>
      <c r="AA399" s="282"/>
      <c r="AB399" s="219"/>
    </row>
    <row r="400" spans="1:28" ht="14.25" x14ac:dyDescent="0.2">
      <c r="A400" s="219"/>
      <c r="B400" s="830"/>
      <c r="C400" s="230"/>
      <c r="D400" s="631"/>
      <c r="E400" s="632"/>
      <c r="F400" s="632"/>
      <c r="G400" s="633"/>
      <c r="H400" s="253"/>
      <c r="I400" s="631"/>
      <c r="J400" s="632"/>
      <c r="K400" s="632"/>
      <c r="L400" s="633"/>
      <c r="M400" s="253"/>
      <c r="N400" s="631"/>
      <c r="O400" s="632"/>
      <c r="P400" s="632"/>
      <c r="Q400" s="633"/>
      <c r="R400" s="253"/>
      <c r="S400" s="631"/>
      <c r="T400" s="632"/>
      <c r="U400" s="632"/>
      <c r="V400" s="633"/>
      <c r="W400" s="253"/>
      <c r="X400" s="279"/>
      <c r="Y400" s="280"/>
      <c r="Z400" s="281"/>
      <c r="AA400" s="282"/>
      <c r="AB400" s="219"/>
    </row>
    <row r="401" spans="1:28" ht="14.25" x14ac:dyDescent="0.2">
      <c r="A401" s="219"/>
      <c r="B401" s="830"/>
      <c r="C401" s="230"/>
      <c r="D401" s="272"/>
      <c r="E401" s="273"/>
      <c r="F401" s="273"/>
      <c r="G401" s="274"/>
      <c r="H401" s="253"/>
      <c r="I401" s="272"/>
      <c r="J401" s="273"/>
      <c r="K401" s="273"/>
      <c r="L401" s="274"/>
      <c r="M401" s="253"/>
      <c r="N401" s="631"/>
      <c r="O401" s="632"/>
      <c r="P401" s="632"/>
      <c r="Q401" s="633"/>
      <c r="R401" s="253"/>
      <c r="S401" s="272"/>
      <c r="T401" s="273"/>
      <c r="U401" s="273"/>
      <c r="V401" s="274"/>
      <c r="W401" s="253"/>
      <c r="X401" s="279"/>
      <c r="Y401" s="280"/>
      <c r="Z401" s="281"/>
      <c r="AA401" s="282"/>
      <c r="AB401" s="219"/>
    </row>
    <row r="402" spans="1:28" ht="14.25" x14ac:dyDescent="0.2">
      <c r="A402" s="219"/>
      <c r="B402" s="830"/>
      <c r="C402" s="230"/>
      <c r="D402" s="631"/>
      <c r="E402" s="632"/>
      <c r="F402" s="632"/>
      <c r="G402" s="633"/>
      <c r="H402" s="253"/>
      <c r="I402" s="631"/>
      <c r="J402" s="632"/>
      <c r="K402" s="632"/>
      <c r="L402" s="633"/>
      <c r="M402" s="253"/>
      <c r="N402" s="631"/>
      <c r="O402" s="632"/>
      <c r="P402" s="632"/>
      <c r="Q402" s="633"/>
      <c r="R402" s="253"/>
      <c r="S402" s="631"/>
      <c r="T402" s="632"/>
      <c r="U402" s="632"/>
      <c r="V402" s="633"/>
      <c r="W402" s="253"/>
      <c r="X402" s="279"/>
      <c r="Y402" s="280"/>
      <c r="Z402" s="281"/>
      <c r="AA402" s="282"/>
      <c r="AB402" s="219"/>
    </row>
    <row r="403" spans="1:28" ht="14.25" x14ac:dyDescent="0.2">
      <c r="A403" s="219"/>
      <c r="B403" s="830"/>
      <c r="C403" s="230"/>
      <c r="D403" s="631"/>
      <c r="E403" s="632"/>
      <c r="F403" s="632"/>
      <c r="G403" s="633"/>
      <c r="H403" s="253"/>
      <c r="I403" s="631"/>
      <c r="J403" s="632"/>
      <c r="K403" s="632"/>
      <c r="L403" s="633"/>
      <c r="M403" s="253"/>
      <c r="N403" s="631"/>
      <c r="O403" s="632"/>
      <c r="P403" s="632"/>
      <c r="Q403" s="633"/>
      <c r="R403" s="253"/>
      <c r="S403" s="631"/>
      <c r="T403" s="632"/>
      <c r="U403" s="632"/>
      <c r="V403" s="633"/>
      <c r="W403" s="253"/>
      <c r="X403" s="279"/>
      <c r="Y403" s="280"/>
      <c r="Z403" s="281"/>
      <c r="AA403" s="282"/>
      <c r="AB403" s="219"/>
    </row>
    <row r="404" spans="1:28" ht="14.25" x14ac:dyDescent="0.2">
      <c r="A404" s="219"/>
      <c r="B404" s="830"/>
      <c r="C404" s="230"/>
      <c r="D404" s="595"/>
      <c r="E404" s="596"/>
      <c r="F404" s="596"/>
      <c r="G404" s="597"/>
      <c r="H404" s="253"/>
      <c r="I404" s="595"/>
      <c r="J404" s="596"/>
      <c r="K404" s="596"/>
      <c r="L404" s="597"/>
      <c r="M404" s="253"/>
      <c r="N404" s="595"/>
      <c r="O404" s="596"/>
      <c r="P404" s="596"/>
      <c r="Q404" s="597"/>
      <c r="R404" s="253"/>
      <c r="S404" s="595"/>
      <c r="T404" s="596"/>
      <c r="U404" s="596"/>
      <c r="V404" s="597"/>
      <c r="W404" s="253"/>
      <c r="X404" s="279"/>
      <c r="Y404" s="280"/>
      <c r="Z404" s="281"/>
      <c r="AA404" s="282"/>
      <c r="AB404" s="219"/>
    </row>
    <row r="405" spans="1:28" ht="15" x14ac:dyDescent="0.25">
      <c r="A405" s="219"/>
      <c r="B405" s="830"/>
      <c r="C405" s="230"/>
      <c r="D405" s="598" t="s">
        <v>291</v>
      </c>
      <c r="E405" s="599"/>
      <c r="F405" s="599"/>
      <c r="G405" s="600"/>
      <c r="H405" s="253"/>
      <c r="I405" s="598" t="s">
        <v>292</v>
      </c>
      <c r="J405" s="599"/>
      <c r="K405" s="599"/>
      <c r="L405" s="600"/>
      <c r="M405" s="253"/>
      <c r="N405" s="598" t="s">
        <v>467</v>
      </c>
      <c r="O405" s="599"/>
      <c r="P405" s="599"/>
      <c r="Q405" s="600"/>
      <c r="R405" s="253"/>
      <c r="S405" s="598" t="s">
        <v>599</v>
      </c>
      <c r="T405" s="599"/>
      <c r="U405" s="599"/>
      <c r="V405" s="600"/>
      <c r="W405" s="253"/>
      <c r="X405" s="279"/>
      <c r="Y405" s="280"/>
      <c r="Z405" s="281"/>
      <c r="AA405" s="282"/>
      <c r="AB405" s="219"/>
    </row>
    <row r="406" spans="1:28" ht="27" customHeight="1" x14ac:dyDescent="0.2">
      <c r="A406" s="219"/>
      <c r="B406" s="830"/>
      <c r="C406" s="230"/>
      <c r="D406" s="601" t="s">
        <v>653</v>
      </c>
      <c r="E406" s="602"/>
      <c r="F406" s="603"/>
      <c r="G406" s="604"/>
      <c r="H406" s="266"/>
      <c r="I406" s="601" t="s">
        <v>654</v>
      </c>
      <c r="J406" s="602"/>
      <c r="K406" s="603"/>
      <c r="L406" s="604"/>
      <c r="M406" s="253"/>
      <c r="N406" s="601" t="s">
        <v>655</v>
      </c>
      <c r="O406" s="602"/>
      <c r="P406" s="603"/>
      <c r="Q406" s="604"/>
      <c r="R406" s="253"/>
      <c r="S406" s="601" t="s">
        <v>656</v>
      </c>
      <c r="T406" s="602"/>
      <c r="U406" s="603"/>
      <c r="V406" s="604"/>
      <c r="W406" s="253"/>
      <c r="X406" s="279"/>
      <c r="Y406" s="280"/>
      <c r="Z406" s="281"/>
      <c r="AA406" s="282"/>
      <c r="AB406" s="219"/>
    </row>
    <row r="407" spans="1:28" ht="16.149999999999999" customHeight="1" x14ac:dyDescent="0.25">
      <c r="A407" s="219"/>
      <c r="B407" s="830"/>
      <c r="C407" s="230"/>
      <c r="D407" s="622">
        <v>0.09</v>
      </c>
      <c r="E407" s="607"/>
      <c r="F407" s="623">
        <v>0</v>
      </c>
      <c r="G407" s="624"/>
      <c r="H407" s="253"/>
      <c r="I407" s="622">
        <v>0.09</v>
      </c>
      <c r="J407" s="607"/>
      <c r="K407" s="623">
        <v>0</v>
      </c>
      <c r="L407" s="624"/>
      <c r="M407" s="253"/>
      <c r="N407" s="622">
        <v>0.09</v>
      </c>
      <c r="O407" s="607"/>
      <c r="P407" s="623">
        <v>0</v>
      </c>
      <c r="Q407" s="624"/>
      <c r="R407" s="253"/>
      <c r="S407" s="622">
        <v>0.12</v>
      </c>
      <c r="T407" s="607"/>
      <c r="U407" s="623">
        <v>0</v>
      </c>
      <c r="V407" s="624"/>
      <c r="W407" s="253"/>
      <c r="X407" s="279"/>
      <c r="Y407" s="280"/>
      <c r="Z407" s="281"/>
      <c r="AA407" s="282"/>
      <c r="AB407" s="219"/>
    </row>
    <row r="408" spans="1:28" s="386" customFormat="1" ht="16.149999999999999" customHeight="1" x14ac:dyDescent="0.2">
      <c r="A408" s="384"/>
      <c r="B408" s="830"/>
      <c r="C408" s="230"/>
      <c r="D408" s="486">
        <f>D407*G408</f>
        <v>18</v>
      </c>
      <c r="E408" s="450"/>
      <c r="F408" s="447" t="s">
        <v>293</v>
      </c>
      <c r="G408" s="448">
        <v>200</v>
      </c>
      <c r="H408" s="449"/>
      <c r="I408" s="486">
        <f>I407*L408</f>
        <v>18</v>
      </c>
      <c r="J408" s="450"/>
      <c r="K408" s="447" t="s">
        <v>293</v>
      </c>
      <c r="L408" s="448">
        <v>200</v>
      </c>
      <c r="M408" s="449"/>
      <c r="N408" s="486">
        <f>N407*Q408</f>
        <v>18</v>
      </c>
      <c r="O408" s="450"/>
      <c r="P408" s="447" t="s">
        <v>293</v>
      </c>
      <c r="Q408" s="448">
        <v>200</v>
      </c>
      <c r="R408" s="449"/>
      <c r="S408" s="486">
        <f>S407*V408</f>
        <v>24</v>
      </c>
      <c r="T408" s="450"/>
      <c r="U408" s="447" t="s">
        <v>293</v>
      </c>
      <c r="V408" s="448">
        <v>200</v>
      </c>
      <c r="W408" s="449"/>
      <c r="X408" s="451"/>
      <c r="Y408" s="452"/>
      <c r="Z408" s="453"/>
      <c r="AA408" s="454"/>
      <c r="AB408" s="384"/>
    </row>
    <row r="409" spans="1:28" ht="14.25" x14ac:dyDescent="0.2">
      <c r="A409" s="219"/>
      <c r="B409" s="229"/>
      <c r="C409" s="229"/>
      <c r="D409" s="279"/>
      <c r="E409" s="280"/>
      <c r="F409" s="281"/>
      <c r="G409" s="282"/>
      <c r="H409" s="253"/>
      <c r="I409" s="279"/>
      <c r="J409" s="280"/>
      <c r="K409" s="281"/>
      <c r="L409" s="282"/>
      <c r="M409" s="253"/>
      <c r="N409" s="279"/>
      <c r="O409" s="280"/>
      <c r="P409" s="281"/>
      <c r="Q409" s="282"/>
      <c r="R409" s="253"/>
      <c r="S409" s="279"/>
      <c r="T409" s="280"/>
      <c r="U409" s="281"/>
      <c r="V409" s="282"/>
      <c r="W409" s="253"/>
      <c r="X409" s="279"/>
      <c r="Y409" s="280"/>
      <c r="Z409" s="281"/>
      <c r="AA409" s="282"/>
      <c r="AB409" s="219"/>
    </row>
    <row r="410" spans="1:28" ht="14.25" x14ac:dyDescent="0.2">
      <c r="A410" s="219"/>
      <c r="B410" s="219"/>
      <c r="C410" s="219"/>
      <c r="D410" s="253"/>
      <c r="E410" s="253"/>
      <c r="F410" s="253"/>
      <c r="G410" s="253"/>
      <c r="H410" s="253"/>
      <c r="I410" s="253"/>
      <c r="J410" s="253"/>
      <c r="K410" s="253"/>
      <c r="L410" s="253"/>
      <c r="M410" s="253"/>
      <c r="N410" s="253"/>
      <c r="O410" s="253"/>
      <c r="P410" s="253"/>
      <c r="Q410" s="253"/>
      <c r="R410" s="253"/>
      <c r="S410" s="253"/>
      <c r="T410" s="253"/>
      <c r="U410" s="253"/>
      <c r="V410" s="253"/>
      <c r="W410" s="253"/>
      <c r="X410" s="253"/>
      <c r="Y410" s="253"/>
      <c r="Z410" s="253"/>
      <c r="AA410" s="253"/>
      <c r="AB410" s="219"/>
    </row>
    <row r="411" spans="1:28" ht="13.15" customHeight="1" x14ac:dyDescent="0.2">
      <c r="A411" s="219"/>
      <c r="B411" s="830" t="s">
        <v>240</v>
      </c>
      <c r="C411" s="229"/>
      <c r="D411" s="291"/>
      <c r="E411" s="292"/>
      <c r="F411" s="292"/>
      <c r="G411" s="293"/>
      <c r="H411" s="253"/>
      <c r="I411" s="616"/>
      <c r="J411" s="617"/>
      <c r="K411" s="617"/>
      <c r="L411" s="618"/>
      <c r="M411" s="253"/>
      <c r="N411" s="616"/>
      <c r="O411" s="617"/>
      <c r="P411" s="617"/>
      <c r="Q411" s="617"/>
      <c r="R411" s="294"/>
      <c r="S411" s="617"/>
      <c r="T411" s="617"/>
      <c r="U411" s="617"/>
      <c r="V411" s="618"/>
      <c r="W411" s="253"/>
      <c r="X411" s="611"/>
      <c r="Y411" s="611"/>
      <c r="Z411" s="611"/>
      <c r="AA411" s="611"/>
      <c r="AB411" s="219"/>
    </row>
    <row r="412" spans="1:28" ht="13.15" customHeight="1" x14ac:dyDescent="0.2">
      <c r="A412" s="219"/>
      <c r="B412" s="830"/>
      <c r="C412" s="229"/>
      <c r="D412" s="272"/>
      <c r="E412" s="273"/>
      <c r="F412" s="273"/>
      <c r="G412" s="274"/>
      <c r="H412" s="253"/>
      <c r="I412" s="631"/>
      <c r="J412" s="632"/>
      <c r="K412" s="632"/>
      <c r="L412" s="633"/>
      <c r="M412" s="253"/>
      <c r="N412" s="631"/>
      <c r="O412" s="632"/>
      <c r="P412" s="632"/>
      <c r="Q412" s="632"/>
      <c r="R412" s="294"/>
      <c r="S412" s="632"/>
      <c r="T412" s="632"/>
      <c r="U412" s="632"/>
      <c r="V412" s="633"/>
      <c r="W412" s="253"/>
      <c r="X412" s="611"/>
      <c r="Y412" s="611"/>
      <c r="Z412" s="611"/>
      <c r="AA412" s="611"/>
      <c r="AB412" s="219"/>
    </row>
    <row r="413" spans="1:28" ht="13.15" customHeight="1" x14ac:dyDescent="0.2">
      <c r="A413" s="219"/>
      <c r="B413" s="830"/>
      <c r="C413" s="229"/>
      <c r="D413" s="272"/>
      <c r="E413" s="273"/>
      <c r="F413" s="273"/>
      <c r="G413" s="274"/>
      <c r="H413" s="253"/>
      <c r="I413" s="272"/>
      <c r="J413" s="273"/>
      <c r="K413" s="273"/>
      <c r="L413" s="274"/>
      <c r="M413" s="253"/>
      <c r="N413" s="272"/>
      <c r="O413" s="273"/>
      <c r="P413" s="273"/>
      <c r="Q413" s="273"/>
      <c r="R413" s="294"/>
      <c r="S413" s="273"/>
      <c r="T413" s="273"/>
      <c r="U413" s="273"/>
      <c r="V413" s="274"/>
      <c r="W413" s="253"/>
      <c r="X413" s="278"/>
      <c r="Y413" s="278"/>
      <c r="Z413" s="278"/>
      <c r="AA413" s="278"/>
      <c r="AB413" s="219"/>
    </row>
    <row r="414" spans="1:28" ht="13.15" customHeight="1" x14ac:dyDescent="0.2">
      <c r="A414" s="219"/>
      <c r="B414" s="830"/>
      <c r="C414" s="229"/>
      <c r="D414" s="272"/>
      <c r="E414" s="273"/>
      <c r="F414" s="273"/>
      <c r="G414" s="274"/>
      <c r="H414" s="253"/>
      <c r="I414" s="631"/>
      <c r="J414" s="632"/>
      <c r="K414" s="632"/>
      <c r="L414" s="633"/>
      <c r="M414" s="253"/>
      <c r="N414" s="631"/>
      <c r="O414" s="632"/>
      <c r="P414" s="632"/>
      <c r="Q414" s="632"/>
      <c r="R414" s="294"/>
      <c r="S414" s="632"/>
      <c r="T414" s="632"/>
      <c r="U414" s="632"/>
      <c r="V414" s="633"/>
      <c r="W414" s="253"/>
      <c r="X414" s="611"/>
      <c r="Y414" s="611"/>
      <c r="Z414" s="611"/>
      <c r="AA414" s="611"/>
      <c r="AB414" s="219"/>
    </row>
    <row r="415" spans="1:28" ht="13.15" customHeight="1" x14ac:dyDescent="0.2">
      <c r="A415" s="219"/>
      <c r="B415" s="830"/>
      <c r="C415" s="229"/>
      <c r="D415" s="272"/>
      <c r="E415" s="273"/>
      <c r="F415" s="273"/>
      <c r="G415" s="274"/>
      <c r="H415" s="253"/>
      <c r="I415" s="631"/>
      <c r="J415" s="632"/>
      <c r="K415" s="632"/>
      <c r="L415" s="633"/>
      <c r="M415" s="253"/>
      <c r="N415" s="631"/>
      <c r="O415" s="632"/>
      <c r="P415" s="632"/>
      <c r="Q415" s="632"/>
      <c r="R415" s="294"/>
      <c r="S415" s="632"/>
      <c r="T415" s="632"/>
      <c r="U415" s="632"/>
      <c r="V415" s="633"/>
      <c r="W415" s="253"/>
      <c r="X415" s="611"/>
      <c r="Y415" s="611"/>
      <c r="Z415" s="611"/>
      <c r="AA415" s="611"/>
      <c r="AB415" s="219"/>
    </row>
    <row r="416" spans="1:28" ht="13.15" customHeight="1" x14ac:dyDescent="0.2">
      <c r="A416" s="219"/>
      <c r="B416" s="830"/>
      <c r="C416" s="229"/>
      <c r="D416" s="272"/>
      <c r="E416" s="273"/>
      <c r="F416" s="273"/>
      <c r="G416" s="274"/>
      <c r="H416" s="253"/>
      <c r="I416" s="631"/>
      <c r="J416" s="632"/>
      <c r="K416" s="632"/>
      <c r="L416" s="633"/>
      <c r="M416" s="253"/>
      <c r="N416" s="631"/>
      <c r="O416" s="632"/>
      <c r="P416" s="632"/>
      <c r="Q416" s="632"/>
      <c r="R416" s="294"/>
      <c r="S416" s="632"/>
      <c r="T416" s="632"/>
      <c r="U416" s="632"/>
      <c r="V416" s="633"/>
      <c r="W416" s="253"/>
      <c r="X416" s="611"/>
      <c r="Y416" s="611"/>
      <c r="Z416" s="611"/>
      <c r="AA416" s="611"/>
      <c r="AB416" s="219"/>
    </row>
    <row r="417" spans="1:31" ht="15" x14ac:dyDescent="0.25">
      <c r="A417" s="219"/>
      <c r="B417" s="830"/>
      <c r="C417" s="229"/>
      <c r="D417" s="598" t="s">
        <v>413</v>
      </c>
      <c r="E417" s="599"/>
      <c r="F417" s="599"/>
      <c r="G417" s="600"/>
      <c r="H417" s="253"/>
      <c r="I417" s="685" t="s">
        <v>975</v>
      </c>
      <c r="J417" s="686"/>
      <c r="K417" s="686"/>
      <c r="L417" s="687"/>
      <c r="M417" s="253"/>
      <c r="N417" s="598" t="s">
        <v>196</v>
      </c>
      <c r="O417" s="599"/>
      <c r="P417" s="599"/>
      <c r="Q417" s="600"/>
      <c r="R417" s="253"/>
      <c r="S417" s="598" t="s">
        <v>414</v>
      </c>
      <c r="T417" s="599"/>
      <c r="U417" s="599"/>
      <c r="V417" s="600"/>
      <c r="W417" s="253"/>
      <c r="X417" s="630"/>
      <c r="Y417" s="630"/>
      <c r="Z417" s="630"/>
      <c r="AA417" s="630"/>
      <c r="AB417" s="219"/>
    </row>
    <row r="418" spans="1:31" s="178" customFormat="1" ht="27" customHeight="1" x14ac:dyDescent="0.2">
      <c r="A418" s="380"/>
      <c r="B418" s="830"/>
      <c r="C418" s="229"/>
      <c r="D418" s="975" t="s">
        <v>960</v>
      </c>
      <c r="E418" s="976"/>
      <c r="F418" s="977"/>
      <c r="G418" s="978"/>
      <c r="H418" s="266"/>
      <c r="I418" s="975" t="s">
        <v>974</v>
      </c>
      <c r="J418" s="976"/>
      <c r="K418" s="977"/>
      <c r="L418" s="978"/>
      <c r="M418" s="266"/>
      <c r="N418" s="975" t="s">
        <v>961</v>
      </c>
      <c r="O418" s="976"/>
      <c r="P418" s="977"/>
      <c r="Q418" s="978"/>
      <c r="R418" s="266"/>
      <c r="S418" s="601" t="s">
        <v>657</v>
      </c>
      <c r="T418" s="602"/>
      <c r="U418" s="603"/>
      <c r="V418" s="604"/>
      <c r="W418" s="266"/>
      <c r="X418" s="827"/>
      <c r="Y418" s="827"/>
      <c r="Z418" s="827"/>
      <c r="AA418" s="827"/>
      <c r="AB418" s="226"/>
    </row>
    <row r="419" spans="1:31" s="169" customFormat="1" ht="16.149999999999999" customHeight="1" x14ac:dyDescent="0.25">
      <c r="A419" s="226"/>
      <c r="B419" s="830"/>
      <c r="C419" s="229"/>
      <c r="D419" s="622">
        <v>0.04</v>
      </c>
      <c r="E419" s="997"/>
      <c r="F419" s="623">
        <v>0</v>
      </c>
      <c r="G419" s="624"/>
      <c r="H419" s="253"/>
      <c r="I419" s="622">
        <v>0.04</v>
      </c>
      <c r="J419" s="607"/>
      <c r="K419" s="623">
        <v>0</v>
      </c>
      <c r="L419" s="624"/>
      <c r="M419" s="253"/>
      <c r="N419" s="622">
        <v>0.04</v>
      </c>
      <c r="O419" s="607"/>
      <c r="P419" s="623">
        <v>0</v>
      </c>
      <c r="Q419" s="624"/>
      <c r="R419" s="253"/>
      <c r="S419" s="622">
        <v>1</v>
      </c>
      <c r="T419" s="607"/>
      <c r="U419" s="623">
        <v>0</v>
      </c>
      <c r="V419" s="624"/>
      <c r="W419" s="253"/>
      <c r="X419" s="890"/>
      <c r="Y419" s="890"/>
      <c r="Z419" s="672"/>
      <c r="AA419" s="672"/>
      <c r="AB419" s="219"/>
    </row>
    <row r="420" spans="1:31" s="386" customFormat="1" ht="14.25" x14ac:dyDescent="0.2">
      <c r="A420" s="384"/>
      <c r="B420" s="229"/>
      <c r="C420" s="229"/>
      <c r="D420" s="486">
        <f>D419*G420</f>
        <v>4</v>
      </c>
      <c r="E420" s="450"/>
      <c r="F420" s="447" t="s">
        <v>293</v>
      </c>
      <c r="G420" s="448">
        <v>100</v>
      </c>
      <c r="H420" s="455"/>
      <c r="I420" s="486">
        <f>I419*L420</f>
        <v>4</v>
      </c>
      <c r="J420" s="450"/>
      <c r="K420" s="447" t="s">
        <v>293</v>
      </c>
      <c r="L420" s="448">
        <v>100</v>
      </c>
      <c r="M420" s="455"/>
      <c r="N420" s="486">
        <f>N419*Q420</f>
        <v>4</v>
      </c>
      <c r="O420" s="450"/>
      <c r="P420" s="447" t="s">
        <v>293</v>
      </c>
      <c r="Q420" s="448">
        <v>100</v>
      </c>
      <c r="R420" s="449"/>
      <c r="S420" s="486">
        <f>S419*V420</f>
        <v>200</v>
      </c>
      <c r="T420" s="450"/>
      <c r="U420" s="447" t="s">
        <v>293</v>
      </c>
      <c r="V420" s="448">
        <v>200</v>
      </c>
      <c r="W420" s="449"/>
      <c r="X420" s="451"/>
      <c r="Y420" s="452"/>
      <c r="Z420" s="453"/>
      <c r="AA420" s="454"/>
      <c r="AB420" s="384"/>
    </row>
    <row r="421" spans="1:31" ht="14.25" x14ac:dyDescent="0.2">
      <c r="A421" s="219"/>
      <c r="B421" s="219"/>
      <c r="C421" s="219"/>
      <c r="D421" s="275"/>
      <c r="E421" s="275"/>
      <c r="F421" s="276"/>
      <c r="G421" s="277"/>
      <c r="H421" s="253"/>
      <c r="I421" s="275"/>
      <c r="J421" s="275"/>
      <c r="K421" s="276"/>
      <c r="L421" s="277"/>
      <c r="M421" s="253"/>
      <c r="N421" s="275"/>
      <c r="O421" s="275"/>
      <c r="P421" s="276"/>
      <c r="Q421" s="277"/>
      <c r="R421" s="253"/>
      <c r="S421" s="275"/>
      <c r="T421" s="275"/>
      <c r="U421" s="276"/>
      <c r="V421" s="277"/>
      <c r="W421" s="253"/>
      <c r="X421" s="275"/>
      <c r="Y421" s="275"/>
      <c r="Z421" s="276"/>
      <c r="AA421" s="277"/>
      <c r="AB421" s="219"/>
    </row>
    <row r="422" spans="1:31" ht="12.4" customHeight="1" x14ac:dyDescent="0.2">
      <c r="A422" s="219"/>
      <c r="B422" s="830" t="s">
        <v>472</v>
      </c>
      <c r="C422" s="229"/>
      <c r="D422" s="616"/>
      <c r="E422" s="617"/>
      <c r="F422" s="617"/>
      <c r="G422" s="618"/>
      <c r="H422" s="253"/>
      <c r="I422" s="616"/>
      <c r="J422" s="617"/>
      <c r="K422" s="617"/>
      <c r="L422" s="618"/>
      <c r="M422" s="253"/>
      <c r="N422" s="616"/>
      <c r="O422" s="617"/>
      <c r="P422" s="617"/>
      <c r="Q422" s="618"/>
      <c r="R422" s="253"/>
      <c r="S422" s="616"/>
      <c r="T422" s="617"/>
      <c r="U422" s="617"/>
      <c r="V422" s="618"/>
      <c r="W422" s="253"/>
      <c r="X422" s="616"/>
      <c r="Y422" s="617"/>
      <c r="Z422" s="617"/>
      <c r="AA422" s="618"/>
      <c r="AB422" s="219"/>
    </row>
    <row r="423" spans="1:31" ht="14.25" x14ac:dyDescent="0.2">
      <c r="A423" s="219"/>
      <c r="B423" s="830"/>
      <c r="C423" s="229"/>
      <c r="D423" s="631"/>
      <c r="E423" s="632"/>
      <c r="F423" s="632"/>
      <c r="G423" s="633"/>
      <c r="H423" s="253"/>
      <c r="I423" s="631"/>
      <c r="J423" s="632"/>
      <c r="K423" s="632"/>
      <c r="L423" s="633"/>
      <c r="M423" s="253"/>
      <c r="N423" s="631"/>
      <c r="O423" s="632"/>
      <c r="P423" s="632"/>
      <c r="Q423" s="633"/>
      <c r="R423" s="253"/>
      <c r="S423" s="631"/>
      <c r="T423" s="632"/>
      <c r="U423" s="632"/>
      <c r="V423" s="633"/>
      <c r="W423" s="253"/>
      <c r="X423" s="631"/>
      <c r="Y423" s="632"/>
      <c r="Z423" s="632"/>
      <c r="AA423" s="633"/>
      <c r="AB423" s="219"/>
    </row>
    <row r="424" spans="1:31" ht="14.25" x14ac:dyDescent="0.2">
      <c r="A424" s="219"/>
      <c r="B424" s="830"/>
      <c r="C424" s="229"/>
      <c r="D424" s="272"/>
      <c r="E424" s="273"/>
      <c r="F424" s="273"/>
      <c r="G424" s="274"/>
      <c r="H424" s="253"/>
      <c r="I424" s="272"/>
      <c r="J424" s="273"/>
      <c r="K424" s="273"/>
      <c r="L424" s="274"/>
      <c r="M424" s="253"/>
      <c r="N424" s="272"/>
      <c r="O424" s="273"/>
      <c r="P424" s="273"/>
      <c r="Q424" s="274"/>
      <c r="R424" s="253"/>
      <c r="S424" s="631"/>
      <c r="T424" s="632"/>
      <c r="U424" s="632"/>
      <c r="V424" s="633"/>
      <c r="W424" s="253"/>
      <c r="X424" s="631"/>
      <c r="Y424" s="632"/>
      <c r="Z424" s="632"/>
      <c r="AA424" s="633"/>
      <c r="AB424" s="219"/>
    </row>
    <row r="425" spans="1:31" ht="14.25" x14ac:dyDescent="0.2">
      <c r="A425" s="219"/>
      <c r="B425" s="830"/>
      <c r="C425" s="229"/>
      <c r="D425" s="631"/>
      <c r="E425" s="632"/>
      <c r="F425" s="632"/>
      <c r="G425" s="633"/>
      <c r="H425" s="253"/>
      <c r="I425" s="631"/>
      <c r="J425" s="632"/>
      <c r="K425" s="632"/>
      <c r="L425" s="633"/>
      <c r="M425" s="253"/>
      <c r="N425" s="631"/>
      <c r="O425" s="632"/>
      <c r="P425" s="632"/>
      <c r="Q425" s="633"/>
      <c r="R425" s="253"/>
      <c r="S425" s="631"/>
      <c r="T425" s="632"/>
      <c r="U425" s="632"/>
      <c r="V425" s="633"/>
      <c r="W425" s="253"/>
      <c r="X425" s="631"/>
      <c r="Y425" s="632"/>
      <c r="Z425" s="632"/>
      <c r="AA425" s="633"/>
      <c r="AB425" s="219"/>
    </row>
    <row r="426" spans="1:31" ht="14.25" x14ac:dyDescent="0.2">
      <c r="A426" s="219"/>
      <c r="B426" s="830"/>
      <c r="C426" s="229"/>
      <c r="D426" s="631"/>
      <c r="E426" s="632"/>
      <c r="F426" s="632"/>
      <c r="G426" s="633"/>
      <c r="H426" s="253"/>
      <c r="I426" s="631"/>
      <c r="J426" s="632"/>
      <c r="K426" s="632"/>
      <c r="L426" s="633"/>
      <c r="M426" s="253"/>
      <c r="N426" s="631"/>
      <c r="O426" s="632"/>
      <c r="P426" s="632"/>
      <c r="Q426" s="633"/>
      <c r="R426" s="253"/>
      <c r="S426" s="631"/>
      <c r="T426" s="632"/>
      <c r="U426" s="632"/>
      <c r="V426" s="633"/>
      <c r="W426" s="253"/>
      <c r="X426" s="631"/>
      <c r="Y426" s="632"/>
      <c r="Z426" s="632"/>
      <c r="AA426" s="633"/>
      <c r="AB426" s="219"/>
    </row>
    <row r="427" spans="1:31" ht="14.25" x14ac:dyDescent="0.2">
      <c r="A427" s="219"/>
      <c r="B427" s="830"/>
      <c r="C427" s="229"/>
      <c r="D427" s="595"/>
      <c r="E427" s="596"/>
      <c r="F427" s="596"/>
      <c r="G427" s="597"/>
      <c r="H427" s="253"/>
      <c r="I427" s="595"/>
      <c r="J427" s="596"/>
      <c r="K427" s="596"/>
      <c r="L427" s="597"/>
      <c r="M427" s="253"/>
      <c r="N427" s="595"/>
      <c r="O427" s="596"/>
      <c r="P427" s="596"/>
      <c r="Q427" s="597"/>
      <c r="R427" s="253"/>
      <c r="S427" s="595"/>
      <c r="T427" s="596"/>
      <c r="U427" s="596"/>
      <c r="V427" s="597"/>
      <c r="W427" s="253"/>
      <c r="X427" s="595"/>
      <c r="Y427" s="596"/>
      <c r="Z427" s="596"/>
      <c r="AA427" s="597"/>
      <c r="AB427" s="219"/>
    </row>
    <row r="428" spans="1:31" ht="15" x14ac:dyDescent="0.25">
      <c r="A428" s="219"/>
      <c r="B428" s="830"/>
      <c r="C428" s="229"/>
      <c r="D428" s="619" t="s">
        <v>234</v>
      </c>
      <c r="E428" s="620"/>
      <c r="F428" s="620"/>
      <c r="G428" s="621"/>
      <c r="H428" s="253"/>
      <c r="I428" s="619" t="s">
        <v>237</v>
      </c>
      <c r="J428" s="620"/>
      <c r="K428" s="620"/>
      <c r="L428" s="621"/>
      <c r="M428" s="253"/>
      <c r="N428" s="598" t="s">
        <v>379</v>
      </c>
      <c r="O428" s="599"/>
      <c r="P428" s="599"/>
      <c r="Q428" s="600"/>
      <c r="R428" s="253"/>
      <c r="S428" s="598" t="s">
        <v>455</v>
      </c>
      <c r="T428" s="599"/>
      <c r="U428" s="599"/>
      <c r="V428" s="600"/>
      <c r="W428" s="253"/>
      <c r="X428" s="598" t="s">
        <v>454</v>
      </c>
      <c r="Y428" s="599"/>
      <c r="Z428" s="599"/>
      <c r="AA428" s="600"/>
      <c r="AB428" s="219"/>
      <c r="AE428" s="166">
        <v>100</v>
      </c>
    </row>
    <row r="429" spans="1:31" ht="27" customHeight="1" x14ac:dyDescent="0.2">
      <c r="A429" s="219"/>
      <c r="B429" s="830"/>
      <c r="C429" s="229"/>
      <c r="D429" s="601" t="s">
        <v>658</v>
      </c>
      <c r="E429" s="602"/>
      <c r="F429" s="603"/>
      <c r="G429" s="604"/>
      <c r="H429" s="266"/>
      <c r="I429" s="601" t="s">
        <v>659</v>
      </c>
      <c r="J429" s="602"/>
      <c r="K429" s="603"/>
      <c r="L429" s="604"/>
      <c r="M429" s="266"/>
      <c r="N429" s="601" t="s">
        <v>837</v>
      </c>
      <c r="O429" s="602"/>
      <c r="P429" s="603"/>
      <c r="Q429" s="604"/>
      <c r="R429" s="253"/>
      <c r="S429" s="601" t="s">
        <v>660</v>
      </c>
      <c r="T429" s="602"/>
      <c r="U429" s="603"/>
      <c r="V429" s="604"/>
      <c r="W429" s="253"/>
      <c r="X429" s="601" t="s">
        <v>661</v>
      </c>
      <c r="Y429" s="602"/>
      <c r="Z429" s="603"/>
      <c r="AA429" s="604"/>
      <c r="AB429" s="226"/>
      <c r="AE429" s="166">
        <v>200</v>
      </c>
    </row>
    <row r="430" spans="1:31" ht="16.149999999999999" customHeight="1" x14ac:dyDescent="0.25">
      <c r="A430" s="219"/>
      <c r="B430" s="830"/>
      <c r="C430" s="229"/>
      <c r="D430" s="622">
        <v>0.8</v>
      </c>
      <c r="E430" s="607"/>
      <c r="F430" s="623">
        <v>0</v>
      </c>
      <c r="G430" s="624"/>
      <c r="H430" s="253"/>
      <c r="I430" s="622">
        <v>0.8</v>
      </c>
      <c r="J430" s="607"/>
      <c r="K430" s="623">
        <v>0</v>
      </c>
      <c r="L430" s="624"/>
      <c r="M430" s="253"/>
      <c r="N430" s="622">
        <v>1</v>
      </c>
      <c r="O430" s="607"/>
      <c r="P430" s="623">
        <v>0</v>
      </c>
      <c r="Q430" s="624"/>
      <c r="R430" s="253"/>
      <c r="S430" s="622">
        <v>25</v>
      </c>
      <c r="T430" s="607"/>
      <c r="U430" s="623">
        <v>0</v>
      </c>
      <c r="V430" s="624"/>
      <c r="W430" s="253"/>
      <c r="X430" s="622">
        <v>25</v>
      </c>
      <c r="Y430" s="607"/>
      <c r="Z430" s="623">
        <v>0</v>
      </c>
      <c r="AA430" s="624"/>
      <c r="AB430" s="219"/>
      <c r="AE430" s="166">
        <v>300</v>
      </c>
    </row>
    <row r="431" spans="1:31" s="386" customFormat="1" ht="16.149999999999999" customHeight="1" x14ac:dyDescent="0.2">
      <c r="A431" s="384"/>
      <c r="B431" s="830"/>
      <c r="C431" s="229"/>
      <c r="D431" s="486">
        <f>D430*G431</f>
        <v>144</v>
      </c>
      <c r="E431" s="450"/>
      <c r="F431" s="447" t="s">
        <v>293</v>
      </c>
      <c r="G431" s="448">
        <v>180</v>
      </c>
      <c r="H431" s="449"/>
      <c r="I431" s="486">
        <f>I430*L431</f>
        <v>144</v>
      </c>
      <c r="J431" s="450"/>
      <c r="K431" s="447" t="s">
        <v>293</v>
      </c>
      <c r="L431" s="448">
        <v>180</v>
      </c>
      <c r="M431" s="449"/>
      <c r="N431" s="486">
        <f>N430*Q431</f>
        <v>90</v>
      </c>
      <c r="O431" s="450"/>
      <c r="P431" s="447" t="s">
        <v>293</v>
      </c>
      <c r="Q431" s="448">
        <v>90</v>
      </c>
      <c r="R431" s="449"/>
      <c r="S431" s="486">
        <f>S430*V431</f>
        <v>50</v>
      </c>
      <c r="T431" s="450"/>
      <c r="U431" s="447" t="s">
        <v>293</v>
      </c>
      <c r="V431" s="448">
        <v>2</v>
      </c>
      <c r="W431" s="449"/>
      <c r="X431" s="486">
        <f>X430*AA431</f>
        <v>50</v>
      </c>
      <c r="Y431" s="450"/>
      <c r="Z431" s="447" t="s">
        <v>293</v>
      </c>
      <c r="AA431" s="448">
        <v>2</v>
      </c>
      <c r="AB431" s="384"/>
      <c r="AE431" s="386">
        <v>400</v>
      </c>
    </row>
    <row r="432" spans="1:31" ht="14.25" x14ac:dyDescent="0.2">
      <c r="A432" s="219"/>
      <c r="B432" s="830"/>
      <c r="C432" s="229"/>
      <c r="D432" s="279"/>
      <c r="E432" s="280"/>
      <c r="F432" s="281"/>
      <c r="G432" s="282"/>
      <c r="H432" s="253"/>
      <c r="I432" s="279"/>
      <c r="J432" s="280"/>
      <c r="K432" s="281"/>
      <c r="L432" s="282"/>
      <c r="M432" s="253"/>
      <c r="N432" s="279"/>
      <c r="O432" s="280"/>
      <c r="P432" s="281"/>
      <c r="Q432" s="282"/>
      <c r="R432" s="253"/>
      <c r="S432" s="279"/>
      <c r="T432" s="280"/>
      <c r="U432" s="281"/>
      <c r="V432" s="282"/>
      <c r="W432" s="253"/>
      <c r="X432" s="279"/>
      <c r="Y432" s="280"/>
      <c r="Z432" s="281"/>
      <c r="AA432" s="282"/>
      <c r="AB432" s="219"/>
      <c r="AE432" s="166">
        <v>500</v>
      </c>
    </row>
    <row r="433" spans="1:31" ht="14.25" x14ac:dyDescent="0.2">
      <c r="A433" s="219"/>
      <c r="B433" s="830"/>
      <c r="C433" s="229"/>
      <c r="D433" s="616"/>
      <c r="E433" s="617"/>
      <c r="F433" s="617"/>
      <c r="G433" s="618"/>
      <c r="H433" s="253"/>
      <c r="I433" s="616"/>
      <c r="J433" s="617"/>
      <c r="K433" s="617"/>
      <c r="L433" s="618"/>
      <c r="M433" s="253"/>
      <c r="N433" s="616"/>
      <c r="O433" s="617"/>
      <c r="P433" s="617"/>
      <c r="Q433" s="618"/>
      <c r="R433" s="253"/>
      <c r="S433" s="616"/>
      <c r="T433" s="617"/>
      <c r="U433" s="617"/>
      <c r="V433" s="618"/>
      <c r="W433" s="253"/>
      <c r="X433" s="279"/>
      <c r="Y433" s="280"/>
      <c r="Z433" s="281"/>
      <c r="AA433" s="282"/>
      <c r="AB433" s="219"/>
      <c r="AE433" s="166">
        <v>600</v>
      </c>
    </row>
    <row r="434" spans="1:31" ht="14.25" x14ac:dyDescent="0.2">
      <c r="A434" s="219"/>
      <c r="B434" s="830"/>
      <c r="C434" s="229"/>
      <c r="D434" s="631"/>
      <c r="E434" s="632"/>
      <c r="F434" s="632"/>
      <c r="G434" s="633"/>
      <c r="H434" s="253"/>
      <c r="I434" s="631"/>
      <c r="J434" s="632"/>
      <c r="K434" s="632"/>
      <c r="L434" s="633"/>
      <c r="M434" s="253"/>
      <c r="N434" s="631"/>
      <c r="O434" s="632"/>
      <c r="P434" s="632"/>
      <c r="Q434" s="633"/>
      <c r="R434" s="253"/>
      <c r="S434" s="631"/>
      <c r="T434" s="632"/>
      <c r="U434" s="632"/>
      <c r="V434" s="633"/>
      <c r="W434" s="253"/>
      <c r="X434" s="279"/>
      <c r="Y434" s="280"/>
      <c r="Z434" s="281"/>
      <c r="AA434" s="282"/>
      <c r="AB434" s="219"/>
      <c r="AE434" s="166">
        <v>700</v>
      </c>
    </row>
    <row r="435" spans="1:31" ht="14.25" x14ac:dyDescent="0.2">
      <c r="A435" s="219"/>
      <c r="B435" s="830"/>
      <c r="C435" s="229"/>
      <c r="D435" s="272"/>
      <c r="E435" s="273"/>
      <c r="F435" s="273"/>
      <c r="G435" s="274"/>
      <c r="H435" s="253"/>
      <c r="I435" s="272"/>
      <c r="J435" s="273"/>
      <c r="K435" s="273"/>
      <c r="L435" s="274"/>
      <c r="M435" s="253"/>
      <c r="N435" s="272"/>
      <c r="O435" s="273"/>
      <c r="P435" s="273"/>
      <c r="Q435" s="274"/>
      <c r="R435" s="253"/>
      <c r="S435" s="272"/>
      <c r="T435" s="273"/>
      <c r="U435" s="273"/>
      <c r="V435" s="274"/>
      <c r="W435" s="253"/>
      <c r="X435" s="279"/>
      <c r="Y435" s="280"/>
      <c r="Z435" s="281"/>
      <c r="AA435" s="282"/>
      <c r="AB435" s="219"/>
      <c r="AE435" s="166">
        <v>800</v>
      </c>
    </row>
    <row r="436" spans="1:31" ht="14.25" x14ac:dyDescent="0.2">
      <c r="A436" s="219"/>
      <c r="B436" s="830"/>
      <c r="C436" s="229"/>
      <c r="D436" s="631"/>
      <c r="E436" s="632"/>
      <c r="F436" s="632"/>
      <c r="G436" s="633"/>
      <c r="H436" s="253"/>
      <c r="I436" s="631"/>
      <c r="J436" s="632"/>
      <c r="K436" s="632"/>
      <c r="L436" s="633"/>
      <c r="M436" s="253"/>
      <c r="N436" s="631"/>
      <c r="O436" s="632"/>
      <c r="P436" s="632"/>
      <c r="Q436" s="633"/>
      <c r="R436" s="253"/>
      <c r="S436" s="631"/>
      <c r="T436" s="632"/>
      <c r="U436" s="632"/>
      <c r="V436" s="633"/>
      <c r="W436" s="253"/>
      <c r="X436" s="279"/>
      <c r="Y436" s="280"/>
      <c r="Z436" s="281"/>
      <c r="AA436" s="282"/>
      <c r="AB436" s="219"/>
      <c r="AE436" s="166">
        <v>900</v>
      </c>
    </row>
    <row r="437" spans="1:31" ht="14.25" x14ac:dyDescent="0.2">
      <c r="A437" s="219"/>
      <c r="B437" s="830"/>
      <c r="C437" s="229"/>
      <c r="D437" s="631"/>
      <c r="E437" s="632"/>
      <c r="F437" s="632"/>
      <c r="G437" s="633"/>
      <c r="H437" s="253"/>
      <c r="I437" s="631"/>
      <c r="J437" s="632"/>
      <c r="K437" s="632"/>
      <c r="L437" s="633"/>
      <c r="M437" s="253"/>
      <c r="N437" s="631"/>
      <c r="O437" s="632"/>
      <c r="P437" s="632"/>
      <c r="Q437" s="633"/>
      <c r="R437" s="253"/>
      <c r="S437" s="631"/>
      <c r="T437" s="632"/>
      <c r="U437" s="632"/>
      <c r="V437" s="633"/>
      <c r="W437" s="253"/>
      <c r="X437" s="279"/>
      <c r="Y437" s="280"/>
      <c r="Z437" s="281"/>
      <c r="AA437" s="282"/>
      <c r="AB437" s="219"/>
      <c r="AE437" s="166">
        <v>1000</v>
      </c>
    </row>
    <row r="438" spans="1:31" ht="14.25" x14ac:dyDescent="0.2">
      <c r="A438" s="219"/>
      <c r="B438" s="830"/>
      <c r="C438" s="229"/>
      <c r="D438" s="595"/>
      <c r="E438" s="596"/>
      <c r="F438" s="596"/>
      <c r="G438" s="597"/>
      <c r="H438" s="253"/>
      <c r="I438" s="595"/>
      <c r="J438" s="596"/>
      <c r="K438" s="596"/>
      <c r="L438" s="597"/>
      <c r="M438" s="253"/>
      <c r="N438" s="595"/>
      <c r="O438" s="596"/>
      <c r="P438" s="596"/>
      <c r="Q438" s="597"/>
      <c r="R438" s="253"/>
      <c r="S438" s="595"/>
      <c r="T438" s="596"/>
      <c r="U438" s="596"/>
      <c r="V438" s="597"/>
      <c r="W438" s="253"/>
      <c r="X438" s="279"/>
      <c r="Y438" s="280"/>
      <c r="Z438" s="281"/>
      <c r="AA438" s="282"/>
      <c r="AB438" s="219"/>
    </row>
    <row r="439" spans="1:31" ht="15" x14ac:dyDescent="0.25">
      <c r="A439" s="219"/>
      <c r="B439" s="830"/>
      <c r="C439" s="229"/>
      <c r="D439" s="598" t="s">
        <v>946</v>
      </c>
      <c r="E439" s="599"/>
      <c r="F439" s="599"/>
      <c r="G439" s="600"/>
      <c r="H439" s="253"/>
      <c r="I439" s="598" t="s">
        <v>922</v>
      </c>
      <c r="J439" s="599"/>
      <c r="K439" s="599"/>
      <c r="L439" s="600"/>
      <c r="M439" s="253"/>
      <c r="N439" s="598" t="s">
        <v>238</v>
      </c>
      <c r="O439" s="599"/>
      <c r="P439" s="599"/>
      <c r="Q439" s="600"/>
      <c r="R439" s="253"/>
      <c r="S439" s="598" t="s">
        <v>959</v>
      </c>
      <c r="T439" s="599"/>
      <c r="U439" s="599"/>
      <c r="V439" s="600"/>
      <c r="W439" s="253"/>
      <c r="X439" s="279"/>
      <c r="Y439" s="280"/>
      <c r="Z439" s="281"/>
      <c r="AA439" s="282"/>
      <c r="AB439" s="219"/>
    </row>
    <row r="440" spans="1:31" ht="27" customHeight="1" x14ac:dyDescent="0.2">
      <c r="A440" s="219"/>
      <c r="B440" s="830"/>
      <c r="C440" s="229"/>
      <c r="D440" s="601" t="s">
        <v>923</v>
      </c>
      <c r="E440" s="602"/>
      <c r="F440" s="603"/>
      <c r="G440" s="604"/>
      <c r="H440" s="253"/>
      <c r="I440" s="601" t="s">
        <v>924</v>
      </c>
      <c r="J440" s="602"/>
      <c r="K440" s="603"/>
      <c r="L440" s="604"/>
      <c r="M440" s="253"/>
      <c r="N440" s="601" t="s">
        <v>662</v>
      </c>
      <c r="O440" s="602"/>
      <c r="P440" s="603"/>
      <c r="Q440" s="604"/>
      <c r="R440" s="253"/>
      <c r="S440" s="601" t="s">
        <v>947</v>
      </c>
      <c r="T440" s="602"/>
      <c r="U440" s="603"/>
      <c r="V440" s="604"/>
      <c r="W440" s="253"/>
      <c r="X440" s="279"/>
      <c r="Y440" s="280"/>
      <c r="Z440" s="281"/>
      <c r="AA440" s="282"/>
      <c r="AB440" s="219"/>
    </row>
    <row r="441" spans="1:31" ht="16.149999999999999" customHeight="1" x14ac:dyDescent="0.25">
      <c r="A441" s="219"/>
      <c r="B441" s="830"/>
      <c r="C441" s="229"/>
      <c r="D441" s="622">
        <v>0.15</v>
      </c>
      <c r="E441" s="607"/>
      <c r="F441" s="623">
        <v>0</v>
      </c>
      <c r="G441" s="624"/>
      <c r="H441" s="253"/>
      <c r="I441" s="622">
        <v>0.15</v>
      </c>
      <c r="J441" s="607"/>
      <c r="K441" s="623">
        <v>0</v>
      </c>
      <c r="L441" s="624"/>
      <c r="M441" s="253"/>
      <c r="N441" s="622">
        <v>0.05</v>
      </c>
      <c r="O441" s="607"/>
      <c r="P441" s="623">
        <v>0</v>
      </c>
      <c r="Q441" s="624"/>
      <c r="R441" s="253"/>
      <c r="S441" s="1019">
        <v>0.04</v>
      </c>
      <c r="T441" s="1020"/>
      <c r="U441" s="623">
        <v>0</v>
      </c>
      <c r="V441" s="624"/>
      <c r="W441" s="253"/>
      <c r="X441" s="279"/>
      <c r="Y441" s="280"/>
      <c r="Z441" s="281"/>
      <c r="AA441" s="282"/>
      <c r="AB441" s="219"/>
    </row>
    <row r="442" spans="1:31" s="386" customFormat="1" ht="16.149999999999999" customHeight="1" x14ac:dyDescent="0.2">
      <c r="A442" s="384"/>
      <c r="B442" s="830"/>
      <c r="C442" s="229"/>
      <c r="D442" s="486">
        <f>D441*G442</f>
        <v>120</v>
      </c>
      <c r="E442" s="450"/>
      <c r="F442" s="447" t="s">
        <v>293</v>
      </c>
      <c r="G442" s="448">
        <v>800</v>
      </c>
      <c r="H442" s="449"/>
      <c r="I442" s="486">
        <f>I441*L442</f>
        <v>120</v>
      </c>
      <c r="J442" s="450"/>
      <c r="K442" s="447" t="s">
        <v>293</v>
      </c>
      <c r="L442" s="448">
        <v>800</v>
      </c>
      <c r="M442" s="449"/>
      <c r="N442" s="486">
        <f>N441*Q442</f>
        <v>10</v>
      </c>
      <c r="O442" s="450"/>
      <c r="P442" s="447" t="s">
        <v>293</v>
      </c>
      <c r="Q442" s="448">
        <v>200</v>
      </c>
      <c r="R442" s="449"/>
      <c r="S442" s="486">
        <f>S441*V442</f>
        <v>4</v>
      </c>
      <c r="T442" s="450"/>
      <c r="U442" s="447" t="s">
        <v>293</v>
      </c>
      <c r="V442" s="542">
        <v>100</v>
      </c>
      <c r="W442" s="449"/>
      <c r="X442" s="451"/>
      <c r="Y442" s="452"/>
      <c r="Z442" s="453"/>
      <c r="AA442" s="454"/>
      <c r="AB442" s="384"/>
    </row>
    <row r="443" spans="1:31" ht="24" customHeight="1" thickBot="1" x14ac:dyDescent="0.25">
      <c r="A443" s="219"/>
      <c r="B443" s="219"/>
      <c r="C443" s="219"/>
      <c r="D443" s="263"/>
      <c r="E443" s="263"/>
      <c r="F443" s="271"/>
      <c r="G443" s="264"/>
      <c r="H443" s="250"/>
      <c r="I443" s="263"/>
      <c r="J443" s="263"/>
      <c r="K443" s="271"/>
      <c r="L443" s="264"/>
      <c r="M443" s="250"/>
      <c r="N443" s="263"/>
      <c r="O443" s="263"/>
      <c r="P443" s="271"/>
      <c r="Q443" s="264"/>
      <c r="R443" s="250"/>
      <c r="S443" s="263"/>
      <c r="T443" s="263"/>
      <c r="U443" s="271"/>
      <c r="V443" s="264"/>
      <c r="W443" s="250"/>
      <c r="X443" s="263"/>
      <c r="Y443" s="263"/>
      <c r="Z443" s="271"/>
      <c r="AA443" s="264"/>
      <c r="AB443" s="219"/>
    </row>
    <row r="444" spans="1:31" s="243" customFormat="1" ht="27" customHeight="1" thickTop="1" x14ac:dyDescent="0.3">
      <c r="A444" s="381"/>
      <c r="B444" s="242"/>
      <c r="C444" s="242"/>
      <c r="D444" s="833" t="s">
        <v>475</v>
      </c>
      <c r="E444" s="833"/>
      <c r="F444" s="833"/>
      <c r="G444" s="833"/>
      <c r="H444" s="833"/>
      <c r="I444" s="833"/>
      <c r="J444" s="833"/>
      <c r="K444" s="833"/>
      <c r="L444" s="833"/>
      <c r="M444" s="833"/>
      <c r="N444" s="833"/>
      <c r="O444" s="833"/>
      <c r="P444" s="833"/>
      <c r="Q444" s="833"/>
      <c r="R444" s="833"/>
      <c r="S444" s="833"/>
      <c r="T444" s="833"/>
      <c r="U444" s="833"/>
      <c r="V444" s="833"/>
      <c r="W444" s="833"/>
      <c r="X444" s="833"/>
      <c r="Y444" s="833"/>
      <c r="Z444" s="833"/>
      <c r="AA444" s="833"/>
      <c r="AB444" s="242"/>
    </row>
    <row r="445" spans="1:31" s="176" customFormat="1" ht="20.65" customHeight="1" x14ac:dyDescent="0.3">
      <c r="A445" s="378"/>
      <c r="B445" s="222"/>
      <c r="C445" s="222"/>
      <c r="D445" s="242"/>
      <c r="E445" s="242"/>
      <c r="F445" s="242"/>
      <c r="G445" s="242"/>
      <c r="H445" s="242"/>
      <c r="I445" s="242"/>
      <c r="J445" s="242"/>
      <c r="K445" s="242"/>
      <c r="L445" s="242"/>
      <c r="M445" s="242"/>
      <c r="N445" s="242"/>
      <c r="O445" s="242"/>
      <c r="P445" s="242"/>
      <c r="Q445" s="242"/>
      <c r="R445" s="242"/>
      <c r="S445" s="242"/>
      <c r="T445" s="242"/>
      <c r="U445" s="242"/>
      <c r="V445" s="242"/>
      <c r="W445" s="242"/>
      <c r="X445" s="242"/>
      <c r="Y445" s="242"/>
      <c r="Z445" s="242"/>
      <c r="AA445" s="242"/>
      <c r="AB445" s="222"/>
    </row>
    <row r="446" spans="1:31" ht="13.15" customHeight="1" x14ac:dyDescent="0.2">
      <c r="A446" s="219"/>
      <c r="B446" s="219"/>
      <c r="C446" s="219"/>
      <c r="D446" s="616"/>
      <c r="E446" s="617"/>
      <c r="F446" s="617"/>
      <c r="G446" s="618"/>
      <c r="H446" s="253"/>
      <c r="I446" s="616"/>
      <c r="J446" s="617"/>
      <c r="K446" s="617"/>
      <c r="L446" s="618"/>
      <c r="M446" s="253"/>
      <c r="N446" s="253"/>
      <c r="O446" s="253"/>
      <c r="P446" s="253"/>
      <c r="Q446" s="253"/>
      <c r="R446" s="253"/>
      <c r="S446" s="616"/>
      <c r="T446" s="617"/>
      <c r="U446" s="617"/>
      <c r="V446" s="618"/>
      <c r="W446" s="253"/>
      <c r="X446" s="611"/>
      <c r="Y446" s="611"/>
      <c r="Z446" s="611"/>
      <c r="AA446" s="611"/>
      <c r="AB446" s="219"/>
    </row>
    <row r="447" spans="1:31" ht="13.15" customHeight="1" x14ac:dyDescent="0.2">
      <c r="A447" s="219"/>
      <c r="B447" s="219"/>
      <c r="C447" s="219"/>
      <c r="D447" s="631"/>
      <c r="E447" s="632"/>
      <c r="F447" s="632"/>
      <c r="G447" s="633"/>
      <c r="H447" s="253"/>
      <c r="I447" s="631"/>
      <c r="J447" s="632"/>
      <c r="K447" s="632"/>
      <c r="L447" s="633"/>
      <c r="M447" s="253"/>
      <c r="N447" s="253"/>
      <c r="O447" s="253"/>
      <c r="P447" s="253"/>
      <c r="Q447" s="253"/>
      <c r="R447" s="253"/>
      <c r="S447" s="631"/>
      <c r="T447" s="632"/>
      <c r="U447" s="632"/>
      <c r="V447" s="633"/>
      <c r="W447" s="253"/>
      <c r="X447" s="611"/>
      <c r="Y447" s="611"/>
      <c r="Z447" s="611"/>
      <c r="AA447" s="611"/>
      <c r="AB447" s="219"/>
    </row>
    <row r="448" spans="1:31" ht="13.15" customHeight="1" x14ac:dyDescent="0.2">
      <c r="A448" s="219"/>
      <c r="B448" s="219"/>
      <c r="C448" s="219"/>
      <c r="D448" s="272"/>
      <c r="E448" s="273"/>
      <c r="F448" s="273"/>
      <c r="G448" s="274"/>
      <c r="H448" s="253"/>
      <c r="I448" s="272"/>
      <c r="J448" s="273"/>
      <c r="K448" s="273"/>
      <c r="L448" s="274"/>
      <c r="M448" s="253"/>
      <c r="N448" s="253"/>
      <c r="O448" s="253"/>
      <c r="P448" s="253"/>
      <c r="Q448" s="253"/>
      <c r="R448" s="253"/>
      <c r="S448" s="272"/>
      <c r="T448" s="273"/>
      <c r="U448" s="273"/>
      <c r="V448" s="274"/>
      <c r="W448" s="253"/>
      <c r="X448" s="278"/>
      <c r="Y448" s="278"/>
      <c r="Z448" s="278"/>
      <c r="AA448" s="278"/>
      <c r="AB448" s="219"/>
    </row>
    <row r="449" spans="1:33" ht="13.15" customHeight="1" x14ac:dyDescent="0.2">
      <c r="A449" s="219"/>
      <c r="B449" s="219"/>
      <c r="C449" s="219"/>
      <c r="D449" s="631"/>
      <c r="E449" s="632"/>
      <c r="F449" s="632"/>
      <c r="G449" s="633"/>
      <c r="H449" s="253"/>
      <c r="I449" s="631"/>
      <c r="J449" s="632"/>
      <c r="K449" s="632"/>
      <c r="L449" s="633"/>
      <c r="M449" s="253"/>
      <c r="N449" s="253"/>
      <c r="O449" s="253"/>
      <c r="P449" s="253"/>
      <c r="Q449" s="253"/>
      <c r="R449" s="253"/>
      <c r="S449" s="631"/>
      <c r="T449" s="632"/>
      <c r="U449" s="632"/>
      <c r="V449" s="633"/>
      <c r="W449" s="253"/>
      <c r="X449" s="611"/>
      <c r="Y449" s="611"/>
      <c r="Z449" s="611"/>
      <c r="AA449" s="611"/>
      <c r="AB449" s="219"/>
    </row>
    <row r="450" spans="1:33" s="169" customFormat="1" ht="13.15" customHeight="1" x14ac:dyDescent="0.2">
      <c r="A450" s="226"/>
      <c r="B450" s="219"/>
      <c r="C450" s="219"/>
      <c r="D450" s="631"/>
      <c r="E450" s="632"/>
      <c r="F450" s="632"/>
      <c r="G450" s="633"/>
      <c r="H450" s="253"/>
      <c r="I450" s="631"/>
      <c r="J450" s="632"/>
      <c r="K450" s="632"/>
      <c r="L450" s="633"/>
      <c r="M450" s="253"/>
      <c r="N450" s="253"/>
      <c r="O450" s="253"/>
      <c r="P450" s="253"/>
      <c r="Q450" s="253"/>
      <c r="R450" s="253"/>
      <c r="S450" s="631"/>
      <c r="T450" s="632"/>
      <c r="U450" s="632"/>
      <c r="V450" s="633"/>
      <c r="W450" s="253"/>
      <c r="X450" s="611"/>
      <c r="Y450" s="611"/>
      <c r="Z450" s="611"/>
      <c r="AA450" s="611"/>
      <c r="AB450" s="219"/>
    </row>
    <row r="451" spans="1:33" ht="12.95" customHeight="1" x14ac:dyDescent="0.25">
      <c r="A451" s="219"/>
      <c r="B451" s="219"/>
      <c r="C451" s="219"/>
      <c r="D451" s="595"/>
      <c r="E451" s="596"/>
      <c r="F451" s="596"/>
      <c r="G451" s="597"/>
      <c r="H451" s="253"/>
      <c r="I451" s="595"/>
      <c r="J451" s="596"/>
      <c r="K451" s="596"/>
      <c r="L451" s="597"/>
      <c r="M451" s="253"/>
      <c r="N451" s="253"/>
      <c r="O451" s="253"/>
      <c r="P451" s="253"/>
      <c r="Q451" s="253"/>
      <c r="R451" s="253"/>
      <c r="S451" s="631"/>
      <c r="T451" s="632"/>
      <c r="U451" s="632"/>
      <c r="V451" s="633"/>
      <c r="W451" s="253"/>
      <c r="X451" s="611"/>
      <c r="Y451" s="611"/>
      <c r="Z451" s="611"/>
      <c r="AA451" s="611"/>
      <c r="AB451" s="219"/>
      <c r="AD451" s="1016"/>
      <c r="AE451" s="1016"/>
      <c r="AF451" s="1016"/>
      <c r="AG451" s="1016"/>
    </row>
    <row r="452" spans="1:33" ht="12" customHeight="1" x14ac:dyDescent="0.25">
      <c r="A452" s="219"/>
      <c r="B452" s="219"/>
      <c r="C452" s="219"/>
      <c r="D452" s="987" t="s">
        <v>198</v>
      </c>
      <c r="E452" s="988"/>
      <c r="F452" s="988"/>
      <c r="G452" s="989"/>
      <c r="H452" s="449"/>
      <c r="I452" s="987" t="s">
        <v>456</v>
      </c>
      <c r="J452" s="988"/>
      <c r="K452" s="988"/>
      <c r="L452" s="989"/>
      <c r="M452" s="449"/>
      <c r="N452" s="253"/>
      <c r="O452" s="253"/>
      <c r="P452" s="253"/>
      <c r="Q452" s="253"/>
      <c r="R452" s="449"/>
      <c r="S452" s="987" t="s">
        <v>477</v>
      </c>
      <c r="T452" s="988"/>
      <c r="U452" s="988"/>
      <c r="V452" s="989"/>
      <c r="W452" s="253"/>
      <c r="X452" s="1018"/>
      <c r="Y452" s="1018"/>
      <c r="Z452" s="1018"/>
      <c r="AA452" s="1018"/>
      <c r="AB452" s="219"/>
      <c r="AC452" s="1016"/>
      <c r="AD452" s="1016"/>
      <c r="AE452" s="1016"/>
      <c r="AF452" s="1016"/>
    </row>
    <row r="453" spans="1:33" ht="27" customHeight="1" x14ac:dyDescent="0.2">
      <c r="A453" s="219"/>
      <c r="B453" s="226"/>
      <c r="C453" s="226"/>
      <c r="D453" s="601" t="s">
        <v>663</v>
      </c>
      <c r="E453" s="602"/>
      <c r="F453" s="602"/>
      <c r="G453" s="605"/>
      <c r="H453" s="266"/>
      <c r="I453" s="601" t="s">
        <v>664</v>
      </c>
      <c r="J453" s="602"/>
      <c r="K453" s="602"/>
      <c r="L453" s="605"/>
      <c r="M453" s="266"/>
      <c r="N453" s="253"/>
      <c r="O453" s="253"/>
      <c r="P453" s="253"/>
      <c r="Q453" s="253"/>
      <c r="R453" s="266"/>
      <c r="S453" s="777" t="s">
        <v>665</v>
      </c>
      <c r="T453" s="778"/>
      <c r="U453" s="778"/>
      <c r="V453" s="779"/>
      <c r="W453" s="266"/>
      <c r="X453" s="827"/>
      <c r="Y453" s="827"/>
      <c r="Z453" s="827"/>
      <c r="AA453" s="827"/>
      <c r="AB453" s="226"/>
      <c r="AD453" s="1017"/>
      <c r="AE453" s="1017"/>
      <c r="AF453" s="1017"/>
      <c r="AG453" s="1017"/>
    </row>
    <row r="454" spans="1:33" ht="16.149999999999999" customHeight="1" x14ac:dyDescent="0.25">
      <c r="A454" s="219"/>
      <c r="B454" s="219"/>
      <c r="C454" s="219"/>
      <c r="D454" s="606">
        <v>9</v>
      </c>
      <c r="E454" s="610"/>
      <c r="F454" s="608">
        <v>0</v>
      </c>
      <c r="G454" s="609"/>
      <c r="H454" s="253"/>
      <c r="I454" s="606">
        <v>11</v>
      </c>
      <c r="J454" s="610"/>
      <c r="K454" s="608">
        <v>0</v>
      </c>
      <c r="L454" s="609"/>
      <c r="M454" s="253"/>
      <c r="N454" s="253"/>
      <c r="O454" s="253"/>
      <c r="P454" s="253"/>
      <c r="Q454" s="253"/>
      <c r="R454" s="253"/>
      <c r="S454" s="606">
        <v>12</v>
      </c>
      <c r="T454" s="610"/>
      <c r="U454" s="608">
        <v>0</v>
      </c>
      <c r="V454" s="609"/>
      <c r="W454" s="253"/>
      <c r="X454" s="805"/>
      <c r="Y454" s="805"/>
      <c r="Z454" s="771"/>
      <c r="AA454" s="771"/>
      <c r="AB454" s="219"/>
    </row>
    <row r="455" spans="1:33" s="386" customFormat="1" ht="15.95" customHeight="1" x14ac:dyDescent="0.2">
      <c r="A455" s="384"/>
      <c r="B455" s="384"/>
      <c r="C455" s="384"/>
      <c r="D455" s="488">
        <f>D454*G455</f>
        <v>360</v>
      </c>
      <c r="E455" s="446"/>
      <c r="F455" s="447" t="s">
        <v>293</v>
      </c>
      <c r="G455" s="448">
        <v>40</v>
      </c>
      <c r="H455" s="449"/>
      <c r="I455" s="488">
        <f>I454*L455</f>
        <v>66</v>
      </c>
      <c r="J455" s="446"/>
      <c r="K455" s="447" t="s">
        <v>293</v>
      </c>
      <c r="L455" s="448">
        <v>6</v>
      </c>
      <c r="M455" s="449"/>
      <c r="N455" s="253"/>
      <c r="O455" s="253"/>
      <c r="P455" s="253"/>
      <c r="Q455" s="253"/>
      <c r="R455" s="449"/>
      <c r="S455" s="488">
        <f>S454*V455</f>
        <v>480</v>
      </c>
      <c r="T455" s="446"/>
      <c r="U455" s="447" t="s">
        <v>293</v>
      </c>
      <c r="V455" s="448">
        <v>40</v>
      </c>
      <c r="W455" s="449"/>
      <c r="X455" s="520"/>
      <c r="Y455" s="521"/>
      <c r="Z455" s="522"/>
      <c r="AA455" s="523"/>
      <c r="AB455" s="384"/>
    </row>
    <row r="456" spans="1:33" ht="14.25" x14ac:dyDescent="0.2">
      <c r="A456" s="219"/>
      <c r="B456" s="219"/>
      <c r="C456" s="219"/>
      <c r="D456" s="287"/>
      <c r="E456" s="287"/>
      <c r="F456" s="288"/>
      <c r="G456" s="288"/>
      <c r="H456" s="253"/>
      <c r="I456" s="287"/>
      <c r="J456" s="287"/>
      <c r="K456" s="288"/>
      <c r="L456" s="288"/>
      <c r="M456" s="253"/>
      <c r="N456" s="253"/>
      <c r="O456" s="253"/>
      <c r="P456" s="253"/>
      <c r="Q456" s="253"/>
      <c r="R456" s="253"/>
      <c r="S456" s="287"/>
      <c r="T456" s="287"/>
      <c r="U456" s="288"/>
      <c r="V456" s="288"/>
      <c r="W456" s="253"/>
      <c r="X456" s="287"/>
      <c r="Y456" s="287"/>
      <c r="Z456" s="288"/>
      <c r="AA456" s="288"/>
      <c r="AB456" s="219"/>
    </row>
    <row r="457" spans="1:33" ht="14.25" x14ac:dyDescent="0.2">
      <c r="A457" s="219"/>
      <c r="B457" s="219"/>
      <c r="C457" s="219"/>
      <c r="D457" s="616"/>
      <c r="E457" s="617"/>
      <c r="F457" s="617"/>
      <c r="G457" s="618"/>
      <c r="H457" s="253"/>
      <c r="I457" s="616"/>
      <c r="J457" s="617"/>
      <c r="K457" s="617"/>
      <c r="L457" s="618"/>
      <c r="M457" s="253"/>
      <c r="N457" s="611"/>
      <c r="O457" s="611"/>
      <c r="P457" s="611"/>
      <c r="Q457" s="611"/>
      <c r="R457" s="253"/>
      <c r="S457" s="616"/>
      <c r="T457" s="617"/>
      <c r="U457" s="617"/>
      <c r="V457" s="618"/>
      <c r="W457" s="253"/>
      <c r="X457" s="616"/>
      <c r="Y457" s="617"/>
      <c r="Z457" s="617"/>
      <c r="AA457" s="618"/>
      <c r="AB457" s="219"/>
    </row>
    <row r="458" spans="1:33" ht="14.25" x14ac:dyDescent="0.2">
      <c r="A458" s="219"/>
      <c r="B458" s="219"/>
      <c r="C458" s="219"/>
      <c r="D458" s="631"/>
      <c r="E458" s="632"/>
      <c r="F458" s="632"/>
      <c r="G458" s="633"/>
      <c r="H458" s="253"/>
      <c r="I458" s="631"/>
      <c r="J458" s="632"/>
      <c r="K458" s="632"/>
      <c r="L458" s="633"/>
      <c r="M458" s="253"/>
      <c r="N458" s="611"/>
      <c r="O458" s="611"/>
      <c r="P458" s="611"/>
      <c r="Q458" s="611"/>
      <c r="R458" s="253"/>
      <c r="S458" s="631"/>
      <c r="T458" s="632"/>
      <c r="U458" s="632"/>
      <c r="V458" s="633"/>
      <c r="W458" s="253"/>
      <c r="X458" s="631"/>
      <c r="Y458" s="632"/>
      <c r="Z458" s="632"/>
      <c r="AA458" s="633"/>
      <c r="AB458" s="219"/>
    </row>
    <row r="459" spans="1:33" ht="14.25" x14ac:dyDescent="0.2">
      <c r="A459" s="219"/>
      <c r="B459" s="219"/>
      <c r="C459" s="219"/>
      <c r="D459" s="272"/>
      <c r="E459" s="273"/>
      <c r="F459" s="273"/>
      <c r="G459" s="274"/>
      <c r="H459" s="253"/>
      <c r="I459" s="272"/>
      <c r="J459" s="273"/>
      <c r="K459" s="273"/>
      <c r="L459" s="274"/>
      <c r="M459" s="253"/>
      <c r="N459" s="278"/>
      <c r="O459" s="278"/>
      <c r="P459" s="278"/>
      <c r="Q459" s="278"/>
      <c r="R459" s="253"/>
      <c r="S459" s="272"/>
      <c r="T459" s="273"/>
      <c r="U459" s="273"/>
      <c r="V459" s="274"/>
      <c r="W459" s="253"/>
      <c r="X459" s="272"/>
      <c r="Y459" s="273"/>
      <c r="Z459" s="273"/>
      <c r="AA459" s="274"/>
      <c r="AB459" s="219"/>
    </row>
    <row r="460" spans="1:33" ht="14.25" x14ac:dyDescent="0.2">
      <c r="A460" s="219"/>
      <c r="B460" s="219"/>
      <c r="C460" s="219"/>
      <c r="D460" s="631"/>
      <c r="E460" s="632"/>
      <c r="F460" s="632"/>
      <c r="G460" s="633"/>
      <c r="H460" s="253"/>
      <c r="I460" s="631"/>
      <c r="J460" s="632"/>
      <c r="K460" s="632"/>
      <c r="L460" s="633"/>
      <c r="M460" s="253"/>
      <c r="N460" s="611"/>
      <c r="O460" s="611"/>
      <c r="P460" s="611"/>
      <c r="Q460" s="611"/>
      <c r="R460" s="253"/>
      <c r="S460" s="631"/>
      <c r="T460" s="632"/>
      <c r="U460" s="632"/>
      <c r="V460" s="633"/>
      <c r="W460" s="253"/>
      <c r="X460" s="631"/>
      <c r="Y460" s="632"/>
      <c r="Z460" s="632"/>
      <c r="AA460" s="633"/>
      <c r="AB460" s="219"/>
    </row>
    <row r="461" spans="1:33" s="169" customFormat="1" ht="14.25" x14ac:dyDescent="0.2">
      <c r="A461" s="226"/>
      <c r="B461" s="219"/>
      <c r="C461" s="219"/>
      <c r="D461" s="631"/>
      <c r="E461" s="632"/>
      <c r="F461" s="632"/>
      <c r="G461" s="633"/>
      <c r="H461" s="253"/>
      <c r="I461" s="631"/>
      <c r="J461" s="632"/>
      <c r="K461" s="632"/>
      <c r="L461" s="633"/>
      <c r="M461" s="253"/>
      <c r="N461" s="611"/>
      <c r="O461" s="611"/>
      <c r="P461" s="611"/>
      <c r="Q461" s="611"/>
      <c r="R461" s="266"/>
      <c r="S461" s="631"/>
      <c r="T461" s="632"/>
      <c r="U461" s="632"/>
      <c r="V461" s="633"/>
      <c r="W461" s="253"/>
      <c r="X461" s="631"/>
      <c r="Y461" s="632"/>
      <c r="Z461" s="632"/>
      <c r="AA461" s="633"/>
      <c r="AB461" s="219"/>
    </row>
    <row r="462" spans="1:33" ht="12.75" customHeight="1" x14ac:dyDescent="0.2">
      <c r="A462" s="219"/>
      <c r="B462" s="219"/>
      <c r="C462" s="219"/>
      <c r="D462" s="595"/>
      <c r="E462" s="596"/>
      <c r="F462" s="596"/>
      <c r="G462" s="597"/>
      <c r="H462" s="253"/>
      <c r="I462" s="595"/>
      <c r="J462" s="596"/>
      <c r="K462" s="596"/>
      <c r="L462" s="597"/>
      <c r="M462" s="253"/>
      <c r="N462" s="611"/>
      <c r="O462" s="611"/>
      <c r="P462" s="611"/>
      <c r="Q462" s="611"/>
      <c r="R462" s="253"/>
      <c r="S462" s="595"/>
      <c r="T462" s="596"/>
      <c r="U462" s="596"/>
      <c r="V462" s="597"/>
      <c r="W462" s="253"/>
      <c r="X462" s="595"/>
      <c r="Y462" s="596"/>
      <c r="Z462" s="596"/>
      <c r="AA462" s="597"/>
      <c r="AB462" s="219"/>
    </row>
    <row r="463" spans="1:33" ht="12.4" customHeight="1" x14ac:dyDescent="0.25">
      <c r="A463" s="219"/>
      <c r="B463" s="219"/>
      <c r="C463" s="219"/>
      <c r="D463" s="598" t="s">
        <v>197</v>
      </c>
      <c r="E463" s="599"/>
      <c r="F463" s="599"/>
      <c r="G463" s="600"/>
      <c r="H463" s="253"/>
      <c r="I463" s="598" t="s">
        <v>199</v>
      </c>
      <c r="J463" s="599"/>
      <c r="K463" s="599"/>
      <c r="L463" s="600"/>
      <c r="M463" s="253"/>
      <c r="N463" s="630"/>
      <c r="O463" s="630"/>
      <c r="P463" s="630"/>
      <c r="Q463" s="630"/>
      <c r="R463" s="253"/>
      <c r="S463" s="598" t="s">
        <v>559</v>
      </c>
      <c r="T463" s="599"/>
      <c r="U463" s="599"/>
      <c r="V463" s="600"/>
      <c r="W463" s="253"/>
      <c r="X463" s="598" t="s">
        <v>560</v>
      </c>
      <c r="Y463" s="599"/>
      <c r="Z463" s="599"/>
      <c r="AA463" s="600"/>
      <c r="AB463" s="219"/>
    </row>
    <row r="464" spans="1:33" ht="27" customHeight="1" x14ac:dyDescent="0.2">
      <c r="A464" s="219"/>
      <c r="B464" s="226"/>
      <c r="C464" s="226"/>
      <c r="D464" s="601" t="s">
        <v>666</v>
      </c>
      <c r="E464" s="602"/>
      <c r="F464" s="602"/>
      <c r="G464" s="605"/>
      <c r="H464" s="266"/>
      <c r="I464" s="601" t="s">
        <v>667</v>
      </c>
      <c r="J464" s="602"/>
      <c r="K464" s="602"/>
      <c r="L464" s="605"/>
      <c r="M464" s="266"/>
      <c r="N464" s="827"/>
      <c r="O464" s="827"/>
      <c r="P464" s="827"/>
      <c r="Q464" s="827"/>
      <c r="R464" s="253"/>
      <c r="S464" s="777" t="s">
        <v>668</v>
      </c>
      <c r="T464" s="778"/>
      <c r="U464" s="778"/>
      <c r="V464" s="779"/>
      <c r="W464" s="266"/>
      <c r="X464" s="777" t="s">
        <v>669</v>
      </c>
      <c r="Y464" s="778"/>
      <c r="Z464" s="778"/>
      <c r="AA464" s="779"/>
      <c r="AB464" s="226"/>
    </row>
    <row r="465" spans="1:28" ht="16.149999999999999" customHeight="1" x14ac:dyDescent="0.25">
      <c r="A465" s="219"/>
      <c r="B465" s="219"/>
      <c r="C465" s="219"/>
      <c r="D465" s="606">
        <v>10</v>
      </c>
      <c r="E465" s="610"/>
      <c r="F465" s="608">
        <v>0</v>
      </c>
      <c r="G465" s="609"/>
      <c r="H465" s="253"/>
      <c r="I465" s="606">
        <v>12.5</v>
      </c>
      <c r="J465" s="610"/>
      <c r="K465" s="608">
        <v>0</v>
      </c>
      <c r="L465" s="609"/>
      <c r="M465" s="253"/>
      <c r="N465" s="805"/>
      <c r="O465" s="805"/>
      <c r="P465" s="771"/>
      <c r="Q465" s="771"/>
      <c r="R465" s="253"/>
      <c r="S465" s="606">
        <v>14</v>
      </c>
      <c r="T465" s="607"/>
      <c r="U465" s="608">
        <v>0</v>
      </c>
      <c r="V465" s="609"/>
      <c r="W465" s="253"/>
      <c r="X465" s="606">
        <v>16.5</v>
      </c>
      <c r="Y465" s="610"/>
      <c r="Z465" s="608">
        <v>0</v>
      </c>
      <c r="AA465" s="609"/>
      <c r="AB465" s="219"/>
    </row>
    <row r="466" spans="1:28" s="386" customFormat="1" ht="16.149999999999999" customHeight="1" x14ac:dyDescent="0.2">
      <c r="A466" s="384"/>
      <c r="B466" s="384"/>
      <c r="C466" s="384"/>
      <c r="D466" s="488">
        <f>D465*G466</f>
        <v>40</v>
      </c>
      <c r="E466" s="446"/>
      <c r="F466" s="447" t="s">
        <v>293</v>
      </c>
      <c r="G466" s="448">
        <v>4</v>
      </c>
      <c r="H466" s="449"/>
      <c r="I466" s="488">
        <f>I465*L466</f>
        <v>400</v>
      </c>
      <c r="J466" s="446"/>
      <c r="K466" s="447" t="s">
        <v>293</v>
      </c>
      <c r="L466" s="448">
        <v>32</v>
      </c>
      <c r="M466" s="449"/>
      <c r="N466" s="520"/>
      <c r="O466" s="521"/>
      <c r="P466" s="522"/>
      <c r="Q466" s="523"/>
      <c r="R466" s="449"/>
      <c r="S466" s="488">
        <f>S465*V466</f>
        <v>448</v>
      </c>
      <c r="T466" s="446"/>
      <c r="U466" s="447" t="s">
        <v>293</v>
      </c>
      <c r="V466" s="448">
        <v>32</v>
      </c>
      <c r="W466" s="449"/>
      <c r="X466" s="488">
        <f>X465*AA466</f>
        <v>66</v>
      </c>
      <c r="Y466" s="446"/>
      <c r="Z466" s="447" t="s">
        <v>293</v>
      </c>
      <c r="AA466" s="448">
        <v>4</v>
      </c>
      <c r="AB466" s="384"/>
    </row>
    <row r="467" spans="1:28" ht="14.25" x14ac:dyDescent="0.2">
      <c r="A467" s="219"/>
      <c r="B467" s="219"/>
      <c r="C467" s="219"/>
      <c r="D467" s="287"/>
      <c r="E467" s="287"/>
      <c r="F467" s="288"/>
      <c r="G467" s="288"/>
      <c r="H467" s="253"/>
      <c r="I467" s="287"/>
      <c r="J467" s="287"/>
      <c r="K467" s="288"/>
      <c r="L467" s="288"/>
      <c r="M467" s="253"/>
      <c r="N467" s="287"/>
      <c r="O467" s="287"/>
      <c r="P467" s="288"/>
      <c r="Q467" s="288"/>
      <c r="R467" s="253"/>
      <c r="S467" s="287"/>
      <c r="T467" s="287"/>
      <c r="U467" s="288"/>
      <c r="V467" s="288"/>
      <c r="W467" s="253"/>
      <c r="X467" s="287"/>
      <c r="Y467" s="287"/>
      <c r="Z467" s="288"/>
      <c r="AA467" s="288"/>
      <c r="AB467" s="219"/>
    </row>
    <row r="468" spans="1:28" ht="14.25" x14ac:dyDescent="0.2">
      <c r="A468" s="219"/>
      <c r="B468" s="219"/>
      <c r="C468" s="219"/>
      <c r="D468" s="616"/>
      <c r="E468" s="617"/>
      <c r="F468" s="617"/>
      <c r="G468" s="618"/>
      <c r="H468" s="253"/>
      <c r="I468" s="616"/>
      <c r="J468" s="617"/>
      <c r="K468" s="617"/>
      <c r="L468" s="618"/>
      <c r="M468" s="253"/>
      <c r="N468" s="616"/>
      <c r="O468" s="617"/>
      <c r="P468" s="617"/>
      <c r="Q468" s="618"/>
      <c r="R468" s="253"/>
      <c r="S468" s="616"/>
      <c r="T468" s="617"/>
      <c r="U468" s="617"/>
      <c r="V468" s="618"/>
      <c r="W468" s="253"/>
      <c r="X468" s="616"/>
      <c r="Y468" s="617"/>
      <c r="Z468" s="617"/>
      <c r="AA468" s="618"/>
      <c r="AB468" s="219"/>
    </row>
    <row r="469" spans="1:28" ht="14.25" x14ac:dyDescent="0.2">
      <c r="A469" s="219"/>
      <c r="B469" s="219"/>
      <c r="C469" s="219"/>
      <c r="D469" s="631"/>
      <c r="E469" s="632"/>
      <c r="F469" s="632"/>
      <c r="G469" s="633"/>
      <c r="H469" s="253"/>
      <c r="I469" s="631"/>
      <c r="J469" s="632"/>
      <c r="K469" s="632"/>
      <c r="L469" s="633"/>
      <c r="M469" s="253"/>
      <c r="N469" s="631"/>
      <c r="O469" s="632"/>
      <c r="P469" s="632"/>
      <c r="Q469" s="633"/>
      <c r="R469" s="253"/>
      <c r="S469" s="631"/>
      <c r="T469" s="632"/>
      <c r="U469" s="632"/>
      <c r="V469" s="633"/>
      <c r="W469" s="253"/>
      <c r="X469" s="631"/>
      <c r="Y469" s="632"/>
      <c r="Z469" s="632"/>
      <c r="AA469" s="633"/>
      <c r="AB469" s="219"/>
    </row>
    <row r="470" spans="1:28" ht="14.25" x14ac:dyDescent="0.2">
      <c r="A470" s="219"/>
      <c r="B470" s="219"/>
      <c r="C470" s="219"/>
      <c r="D470" s="272"/>
      <c r="E470" s="273"/>
      <c r="F470" s="273"/>
      <c r="G470" s="274"/>
      <c r="H470" s="253"/>
      <c r="I470" s="272"/>
      <c r="J470" s="273"/>
      <c r="K470" s="273"/>
      <c r="L470" s="274"/>
      <c r="M470" s="253"/>
      <c r="N470" s="272"/>
      <c r="O470" s="273"/>
      <c r="P470" s="273"/>
      <c r="Q470" s="274"/>
      <c r="R470" s="253"/>
      <c r="S470" s="272"/>
      <c r="T470" s="273"/>
      <c r="U470" s="273"/>
      <c r="V470" s="274"/>
      <c r="W470" s="253"/>
      <c r="X470" s="272"/>
      <c r="Y470" s="273"/>
      <c r="Z470" s="273"/>
      <c r="AA470" s="274"/>
      <c r="AB470" s="219"/>
    </row>
    <row r="471" spans="1:28" ht="14.25" x14ac:dyDescent="0.2">
      <c r="A471" s="219"/>
      <c r="B471" s="219"/>
      <c r="C471" s="219"/>
      <c r="D471" s="631"/>
      <c r="E471" s="632"/>
      <c r="F471" s="632"/>
      <c r="G471" s="633"/>
      <c r="H471" s="253"/>
      <c r="I471" s="631"/>
      <c r="J471" s="632"/>
      <c r="K471" s="632"/>
      <c r="L471" s="633"/>
      <c r="M471" s="253"/>
      <c r="N471" s="631"/>
      <c r="O471" s="632"/>
      <c r="P471" s="632"/>
      <c r="Q471" s="633"/>
      <c r="R471" s="253"/>
      <c r="S471" s="631"/>
      <c r="T471" s="632"/>
      <c r="U471" s="632"/>
      <c r="V471" s="633"/>
      <c r="W471" s="253"/>
      <c r="X471" s="631"/>
      <c r="Y471" s="632"/>
      <c r="Z471" s="632"/>
      <c r="AA471" s="633"/>
      <c r="AB471" s="219"/>
    </row>
    <row r="472" spans="1:28" s="169" customFormat="1" ht="30" customHeight="1" x14ac:dyDescent="0.2">
      <c r="A472" s="226"/>
      <c r="B472" s="219"/>
      <c r="C472" s="219"/>
      <c r="D472" s="631"/>
      <c r="E472" s="632"/>
      <c r="F472" s="632"/>
      <c r="G472" s="633"/>
      <c r="H472" s="253"/>
      <c r="I472" s="631"/>
      <c r="J472" s="632"/>
      <c r="K472" s="632"/>
      <c r="L472" s="633"/>
      <c r="M472" s="253"/>
      <c r="N472" s="631"/>
      <c r="O472" s="632"/>
      <c r="P472" s="632"/>
      <c r="Q472" s="633"/>
      <c r="R472" s="266"/>
      <c r="S472" s="631"/>
      <c r="T472" s="632"/>
      <c r="U472" s="632"/>
      <c r="V472" s="633"/>
      <c r="W472" s="253"/>
      <c r="X472" s="631"/>
      <c r="Y472" s="632"/>
      <c r="Z472" s="632"/>
      <c r="AA472" s="633"/>
      <c r="AB472" s="219"/>
    </row>
    <row r="473" spans="1:28" ht="12.75" customHeight="1" x14ac:dyDescent="0.2">
      <c r="A473" s="219"/>
      <c r="B473" s="219"/>
      <c r="C473" s="219"/>
      <c r="D473" s="595"/>
      <c r="E473" s="596"/>
      <c r="F473" s="596"/>
      <c r="G473" s="597"/>
      <c r="H473" s="253"/>
      <c r="I473" s="595"/>
      <c r="J473" s="596"/>
      <c r="K473" s="596"/>
      <c r="L473" s="597"/>
      <c r="M473" s="253"/>
      <c r="N473" s="595"/>
      <c r="O473" s="596"/>
      <c r="P473" s="596"/>
      <c r="Q473" s="597"/>
      <c r="R473" s="253"/>
      <c r="S473" s="595"/>
      <c r="T473" s="596"/>
      <c r="U473" s="596"/>
      <c r="V473" s="597"/>
      <c r="W473" s="253"/>
      <c r="X473" s="595"/>
      <c r="Y473" s="596"/>
      <c r="Z473" s="596"/>
      <c r="AA473" s="597"/>
      <c r="AB473" s="219"/>
    </row>
    <row r="474" spans="1:28" ht="12.75" customHeight="1" x14ac:dyDescent="0.25">
      <c r="A474" s="219"/>
      <c r="B474" s="219"/>
      <c r="C474" s="219"/>
      <c r="D474" s="598" t="s">
        <v>200</v>
      </c>
      <c r="E474" s="599"/>
      <c r="F474" s="599"/>
      <c r="G474" s="600"/>
      <c r="H474" s="253"/>
      <c r="I474" s="598" t="s">
        <v>201</v>
      </c>
      <c r="J474" s="599"/>
      <c r="K474" s="599"/>
      <c r="L474" s="600"/>
      <c r="M474" s="253"/>
      <c r="N474" s="598" t="s">
        <v>888</v>
      </c>
      <c r="O474" s="599"/>
      <c r="P474" s="599"/>
      <c r="Q474" s="600"/>
      <c r="R474" s="253"/>
      <c r="S474" s="598" t="s">
        <v>925</v>
      </c>
      <c r="T474" s="599"/>
      <c r="U474" s="599"/>
      <c r="V474" s="600"/>
      <c r="W474" s="253"/>
      <c r="X474" s="598" t="s">
        <v>930</v>
      </c>
      <c r="Y474" s="599"/>
      <c r="Z474" s="599"/>
      <c r="AA474" s="600"/>
      <c r="AB474" s="219"/>
    </row>
    <row r="475" spans="1:28" ht="27" customHeight="1" x14ac:dyDescent="0.2">
      <c r="A475" s="219"/>
      <c r="B475" s="226"/>
      <c r="C475" s="226"/>
      <c r="D475" s="601" t="s">
        <v>670</v>
      </c>
      <c r="E475" s="602"/>
      <c r="F475" s="602"/>
      <c r="G475" s="605"/>
      <c r="H475" s="266"/>
      <c r="I475" s="601" t="s">
        <v>671</v>
      </c>
      <c r="J475" s="602"/>
      <c r="K475" s="602"/>
      <c r="L475" s="605"/>
      <c r="M475" s="266"/>
      <c r="N475" s="601" t="s">
        <v>537</v>
      </c>
      <c r="O475" s="602"/>
      <c r="P475" s="603"/>
      <c r="Q475" s="604"/>
      <c r="R475" s="253"/>
      <c r="S475" s="601" t="s">
        <v>927</v>
      </c>
      <c r="T475" s="602"/>
      <c r="U475" s="603"/>
      <c r="V475" s="604"/>
      <c r="W475" s="266"/>
      <c r="X475" s="601" t="s">
        <v>928</v>
      </c>
      <c r="Y475" s="602"/>
      <c r="Z475" s="602"/>
      <c r="AA475" s="605"/>
      <c r="AB475" s="226"/>
    </row>
    <row r="476" spans="1:28" ht="16.149999999999999" customHeight="1" x14ac:dyDescent="0.25">
      <c r="A476" s="219"/>
      <c r="B476" s="219"/>
      <c r="C476" s="219"/>
      <c r="D476" s="606">
        <v>10.5</v>
      </c>
      <c r="E476" s="610"/>
      <c r="F476" s="608">
        <v>0</v>
      </c>
      <c r="G476" s="609"/>
      <c r="H476" s="253"/>
      <c r="I476" s="606">
        <v>8.5</v>
      </c>
      <c r="J476" s="610"/>
      <c r="K476" s="608">
        <v>0</v>
      </c>
      <c r="L476" s="609"/>
      <c r="M476" s="253"/>
      <c r="N476" s="612">
        <v>30</v>
      </c>
      <c r="O476" s="613"/>
      <c r="P476" s="623">
        <v>0</v>
      </c>
      <c r="Q476" s="624"/>
      <c r="R476" s="253"/>
      <c r="S476" s="606">
        <v>14.5</v>
      </c>
      <c r="T476" s="607"/>
      <c r="U476" s="608">
        <v>0</v>
      </c>
      <c r="V476" s="609"/>
      <c r="W476" s="253"/>
      <c r="X476" s="606">
        <v>12.5</v>
      </c>
      <c r="Y476" s="610"/>
      <c r="Z476" s="608">
        <v>0</v>
      </c>
      <c r="AA476" s="609"/>
      <c r="AB476" s="219"/>
    </row>
    <row r="477" spans="1:28" s="386" customFormat="1" ht="16.149999999999999" customHeight="1" x14ac:dyDescent="0.2">
      <c r="A477" s="384"/>
      <c r="B477" s="384"/>
      <c r="C477" s="384"/>
      <c r="D477" s="488">
        <f>D476*G477</f>
        <v>420</v>
      </c>
      <c r="E477" s="446"/>
      <c r="F477" s="447" t="s">
        <v>293</v>
      </c>
      <c r="G477" s="448">
        <v>40</v>
      </c>
      <c r="H477" s="449"/>
      <c r="I477" s="488">
        <f>I476*L477</f>
        <v>340</v>
      </c>
      <c r="J477" s="446"/>
      <c r="K477" s="447" t="s">
        <v>293</v>
      </c>
      <c r="L477" s="448">
        <v>40</v>
      </c>
      <c r="M477" s="449"/>
      <c r="N477" s="488">
        <f>N476*Q477</f>
        <v>300</v>
      </c>
      <c r="O477" s="446"/>
      <c r="P477" s="447" t="s">
        <v>293</v>
      </c>
      <c r="Q477" s="448">
        <v>10</v>
      </c>
      <c r="R477" s="449"/>
      <c r="S477" s="488">
        <f>S476*V477</f>
        <v>29</v>
      </c>
      <c r="T477" s="446"/>
      <c r="U477" s="447" t="s">
        <v>293</v>
      </c>
      <c r="V477" s="448">
        <v>2</v>
      </c>
      <c r="W477" s="449"/>
      <c r="X477" s="488">
        <f>X476*AA477</f>
        <v>25</v>
      </c>
      <c r="Y477" s="446"/>
      <c r="Z477" s="447" t="s">
        <v>293</v>
      </c>
      <c r="AA477" s="448">
        <v>2</v>
      </c>
      <c r="AB477" s="384"/>
    </row>
    <row r="478" spans="1:28" s="386" customFormat="1" ht="16.149999999999999" customHeight="1" x14ac:dyDescent="0.2">
      <c r="A478" s="384"/>
      <c r="B478" s="384"/>
      <c r="C478" s="384"/>
      <c r="D478" s="520"/>
      <c r="E478" s="521"/>
      <c r="F478" s="522"/>
      <c r="G478" s="523"/>
      <c r="H478" s="449"/>
      <c r="I478" s="520"/>
      <c r="J478" s="521"/>
      <c r="K478" s="522"/>
      <c r="L478" s="523"/>
      <c r="M478" s="449"/>
      <c r="N478" s="520"/>
      <c r="O478" s="521"/>
      <c r="P478" s="522"/>
      <c r="Q478" s="523"/>
      <c r="R478" s="449"/>
      <c r="S478" s="520"/>
      <c r="T478" s="521"/>
      <c r="U478" s="522"/>
      <c r="V478" s="523"/>
      <c r="W478" s="449"/>
      <c r="X478" s="520"/>
      <c r="Y478" s="521"/>
      <c r="Z478" s="522"/>
      <c r="AA478" s="523"/>
      <c r="AB478" s="384"/>
    </row>
    <row r="479" spans="1:28" s="386" customFormat="1" ht="16.149999999999999" customHeight="1" x14ac:dyDescent="0.2">
      <c r="A479" s="384"/>
      <c r="B479" s="384"/>
      <c r="C479" s="384"/>
      <c r="D479" s="616"/>
      <c r="E479" s="617"/>
      <c r="F479" s="617"/>
      <c r="G479" s="618"/>
      <c r="H479" s="253"/>
      <c r="I479" s="616"/>
      <c r="J479" s="617"/>
      <c r="K479" s="617"/>
      <c r="L479" s="618"/>
      <c r="M479" s="449"/>
      <c r="N479" s="616"/>
      <c r="O479" s="617"/>
      <c r="P479" s="617"/>
      <c r="Q479" s="618"/>
      <c r="R479" s="449"/>
      <c r="S479" s="616"/>
      <c r="T479" s="617"/>
      <c r="U479" s="617"/>
      <c r="V479" s="618"/>
      <c r="W479" s="253"/>
      <c r="X479" s="616"/>
      <c r="Y479" s="617"/>
      <c r="Z479" s="617"/>
      <c r="AA479" s="618"/>
      <c r="AB479" s="384"/>
    </row>
    <row r="480" spans="1:28" s="386" customFormat="1" ht="16.149999999999999" customHeight="1" x14ac:dyDescent="0.2">
      <c r="A480" s="384"/>
      <c r="B480" s="384"/>
      <c r="C480" s="384"/>
      <c r="D480" s="631"/>
      <c r="E480" s="632"/>
      <c r="F480" s="632"/>
      <c r="G480" s="633"/>
      <c r="H480" s="253"/>
      <c r="I480" s="631"/>
      <c r="J480" s="632"/>
      <c r="K480" s="632"/>
      <c r="L480" s="633"/>
      <c r="M480" s="449"/>
      <c r="N480" s="631"/>
      <c r="O480" s="632"/>
      <c r="P480" s="632"/>
      <c r="Q480" s="633"/>
      <c r="R480" s="449"/>
      <c r="S480" s="631"/>
      <c r="T480" s="632"/>
      <c r="U480" s="632"/>
      <c r="V480" s="633"/>
      <c r="W480" s="253"/>
      <c r="X480" s="631"/>
      <c r="Y480" s="632"/>
      <c r="Z480" s="632"/>
      <c r="AA480" s="633"/>
      <c r="AB480" s="384"/>
    </row>
    <row r="481" spans="1:28" s="386" customFormat="1" ht="16.149999999999999" customHeight="1" x14ac:dyDescent="0.2">
      <c r="A481" s="384"/>
      <c r="B481" s="384"/>
      <c r="C481" s="384"/>
      <c r="D481" s="272"/>
      <c r="E481" s="273"/>
      <c r="F481" s="273"/>
      <c r="G481" s="274"/>
      <c r="H481" s="253"/>
      <c r="I481" s="272"/>
      <c r="J481" s="273"/>
      <c r="K481" s="273"/>
      <c r="L481" s="274"/>
      <c r="M481" s="449"/>
      <c r="N481" s="272"/>
      <c r="O481" s="273"/>
      <c r="P481" s="273"/>
      <c r="Q481" s="274"/>
      <c r="R481" s="449"/>
      <c r="S481" s="272"/>
      <c r="T481" s="273"/>
      <c r="U481" s="273"/>
      <c r="V481" s="274"/>
      <c r="W481" s="253"/>
      <c r="X481" s="272"/>
      <c r="Y481" s="273"/>
      <c r="Z481" s="273"/>
      <c r="AA481" s="274"/>
      <c r="AB481" s="384"/>
    </row>
    <row r="482" spans="1:28" s="386" customFormat="1" ht="16.149999999999999" customHeight="1" x14ac:dyDescent="0.2">
      <c r="A482" s="384"/>
      <c r="B482" s="384"/>
      <c r="C482" s="384"/>
      <c r="D482" s="631"/>
      <c r="E482" s="632"/>
      <c r="F482" s="632"/>
      <c r="G482" s="633"/>
      <c r="H482" s="253"/>
      <c r="I482" s="631"/>
      <c r="J482" s="632"/>
      <c r="K482" s="632"/>
      <c r="L482" s="633"/>
      <c r="M482" s="449"/>
      <c r="N482" s="631"/>
      <c r="O482" s="632"/>
      <c r="P482" s="632"/>
      <c r="Q482" s="633"/>
      <c r="R482" s="449"/>
      <c r="S482" s="631"/>
      <c r="T482" s="632"/>
      <c r="U482" s="632"/>
      <c r="V482" s="633"/>
      <c r="W482" s="253"/>
      <c r="X482" s="631"/>
      <c r="Y482" s="632"/>
      <c r="Z482" s="632"/>
      <c r="AA482" s="633"/>
      <c r="AB482" s="384"/>
    </row>
    <row r="483" spans="1:28" s="386" customFormat="1" ht="16.149999999999999" customHeight="1" x14ac:dyDescent="0.2">
      <c r="A483" s="384"/>
      <c r="B483" s="384"/>
      <c r="C483" s="384"/>
      <c r="D483" s="631"/>
      <c r="E483" s="632"/>
      <c r="F483" s="632"/>
      <c r="G483" s="633"/>
      <c r="H483" s="253"/>
      <c r="I483" s="631"/>
      <c r="J483" s="632"/>
      <c r="K483" s="632"/>
      <c r="L483" s="633"/>
      <c r="M483" s="449"/>
      <c r="N483" s="631"/>
      <c r="O483" s="632"/>
      <c r="P483" s="632"/>
      <c r="Q483" s="633"/>
      <c r="R483" s="449"/>
      <c r="S483" s="631"/>
      <c r="T483" s="632"/>
      <c r="U483" s="632"/>
      <c r="V483" s="633"/>
      <c r="W483" s="253"/>
      <c r="X483" s="631"/>
      <c r="Y483" s="632"/>
      <c r="Z483" s="632"/>
      <c r="AA483" s="633"/>
      <c r="AB483" s="384"/>
    </row>
    <row r="484" spans="1:28" s="386" customFormat="1" ht="24" customHeight="1" x14ac:dyDescent="0.2">
      <c r="A484" s="384"/>
      <c r="B484" s="384"/>
      <c r="C484" s="384"/>
      <c r="D484" s="595"/>
      <c r="E484" s="596"/>
      <c r="F484" s="596"/>
      <c r="G484" s="597"/>
      <c r="H484" s="253"/>
      <c r="I484" s="595"/>
      <c r="J484" s="596"/>
      <c r="K484" s="596"/>
      <c r="L484" s="597"/>
      <c r="M484" s="449"/>
      <c r="N484" s="595"/>
      <c r="O484" s="596"/>
      <c r="P484" s="596"/>
      <c r="Q484" s="597"/>
      <c r="R484" s="449"/>
      <c r="S484" s="595"/>
      <c r="T484" s="596"/>
      <c r="U484" s="596"/>
      <c r="V484" s="597"/>
      <c r="W484" s="253"/>
      <c r="X484" s="595"/>
      <c r="Y484" s="596"/>
      <c r="Z484" s="596"/>
      <c r="AA484" s="597"/>
      <c r="AB484" s="384"/>
    </row>
    <row r="485" spans="1:28" s="386" customFormat="1" ht="16.149999999999999" customHeight="1" x14ac:dyDescent="0.25">
      <c r="A485" s="384"/>
      <c r="B485" s="384"/>
      <c r="C485" s="384"/>
      <c r="D485" s="598" t="s">
        <v>202</v>
      </c>
      <c r="E485" s="599"/>
      <c r="F485" s="599"/>
      <c r="G485" s="600"/>
      <c r="H485" s="253"/>
      <c r="I485" s="598" t="s">
        <v>203</v>
      </c>
      <c r="J485" s="599"/>
      <c r="K485" s="599"/>
      <c r="L485" s="600"/>
      <c r="M485" s="449"/>
      <c r="N485" s="598" t="s">
        <v>889</v>
      </c>
      <c r="O485" s="599"/>
      <c r="P485" s="599"/>
      <c r="Q485" s="600"/>
      <c r="R485" s="449"/>
      <c r="S485" s="598" t="s">
        <v>929</v>
      </c>
      <c r="T485" s="599"/>
      <c r="U485" s="599"/>
      <c r="V485" s="600"/>
      <c r="W485" s="253"/>
      <c r="X485" s="598" t="s">
        <v>926</v>
      </c>
      <c r="Y485" s="599"/>
      <c r="Z485" s="599"/>
      <c r="AA485" s="600"/>
      <c r="AB485" s="384"/>
    </row>
    <row r="486" spans="1:28" s="386" customFormat="1" ht="27.75" customHeight="1" x14ac:dyDescent="0.2">
      <c r="A486" s="384"/>
      <c r="B486" s="384"/>
      <c r="C486" s="384"/>
      <c r="D486" s="601" t="s">
        <v>672</v>
      </c>
      <c r="E486" s="602"/>
      <c r="F486" s="603"/>
      <c r="G486" s="604"/>
      <c r="H486" s="266"/>
      <c r="I486" s="601" t="s">
        <v>673</v>
      </c>
      <c r="J486" s="602"/>
      <c r="K486" s="602"/>
      <c r="L486" s="605"/>
      <c r="M486" s="449"/>
      <c r="N486" s="601" t="s">
        <v>536</v>
      </c>
      <c r="O486" s="602"/>
      <c r="P486" s="603"/>
      <c r="Q486" s="604"/>
      <c r="R486" s="449"/>
      <c r="S486" s="601" t="s">
        <v>931</v>
      </c>
      <c r="T486" s="602"/>
      <c r="U486" s="603"/>
      <c r="V486" s="604"/>
      <c r="W486" s="266"/>
      <c r="X486" s="601" t="s">
        <v>932</v>
      </c>
      <c r="Y486" s="602"/>
      <c r="Z486" s="602"/>
      <c r="AA486" s="605"/>
      <c r="AB486" s="384"/>
    </row>
    <row r="487" spans="1:28" s="386" customFormat="1" ht="16.149999999999999" customHeight="1" x14ac:dyDescent="0.25">
      <c r="A487" s="384"/>
      <c r="B487" s="384"/>
      <c r="C487" s="384"/>
      <c r="D487" s="606">
        <v>26.5</v>
      </c>
      <c r="E487" s="607"/>
      <c r="F487" s="608">
        <v>0</v>
      </c>
      <c r="G487" s="609"/>
      <c r="H487" s="253"/>
      <c r="I487" s="606">
        <v>18.25</v>
      </c>
      <c r="J487" s="610"/>
      <c r="K487" s="608">
        <v>0</v>
      </c>
      <c r="L487" s="609"/>
      <c r="M487" s="449"/>
      <c r="N487" s="612">
        <v>34</v>
      </c>
      <c r="O487" s="613"/>
      <c r="P487" s="623">
        <v>0</v>
      </c>
      <c r="Q487" s="624"/>
      <c r="R487" s="449"/>
      <c r="S487" s="606">
        <v>31.3</v>
      </c>
      <c r="T487" s="607"/>
      <c r="U487" s="608">
        <v>0</v>
      </c>
      <c r="V487" s="609"/>
      <c r="W487" s="253"/>
      <c r="X487" s="606">
        <v>23.05</v>
      </c>
      <c r="Y487" s="610"/>
      <c r="Z487" s="608">
        <v>0</v>
      </c>
      <c r="AA487" s="609"/>
      <c r="AB487" s="384"/>
    </row>
    <row r="488" spans="1:28" ht="27" customHeight="1" x14ac:dyDescent="0.2">
      <c r="A488" s="219"/>
      <c r="B488" s="219"/>
      <c r="C488" s="219"/>
      <c r="D488" s="488">
        <f>D487*G488</f>
        <v>318</v>
      </c>
      <c r="E488" s="446"/>
      <c r="F488" s="447" t="s">
        <v>293</v>
      </c>
      <c r="G488" s="448">
        <v>12</v>
      </c>
      <c r="H488" s="449"/>
      <c r="I488" s="488">
        <f>I487*L488</f>
        <v>219</v>
      </c>
      <c r="J488" s="446"/>
      <c r="K488" s="447" t="s">
        <v>293</v>
      </c>
      <c r="L488" s="530">
        <v>12</v>
      </c>
      <c r="M488" s="302"/>
      <c r="N488" s="531">
        <f>N487*Q488</f>
        <v>340</v>
      </c>
      <c r="O488" s="446"/>
      <c r="P488" s="447" t="s">
        <v>293</v>
      </c>
      <c r="Q488" s="530">
        <v>10</v>
      </c>
      <c r="R488" s="302"/>
      <c r="S488" s="531">
        <f>S487*V488</f>
        <v>62.6</v>
      </c>
      <c r="T488" s="446"/>
      <c r="U488" s="447" t="s">
        <v>293</v>
      </c>
      <c r="V488" s="448">
        <v>2</v>
      </c>
      <c r="W488" s="449"/>
      <c r="X488" s="488">
        <f>X487*AA488</f>
        <v>46.1</v>
      </c>
      <c r="Y488" s="446"/>
      <c r="Z488" s="447" t="s">
        <v>293</v>
      </c>
      <c r="AA488" s="448">
        <v>2</v>
      </c>
      <c r="AB488" s="219"/>
    </row>
    <row r="489" spans="1:28" ht="27" customHeight="1" thickBot="1" x14ac:dyDescent="0.25">
      <c r="A489" s="219"/>
      <c r="B489" s="219"/>
      <c r="C489" s="219"/>
      <c r="D489" s="520"/>
      <c r="E489" s="521"/>
      <c r="F489" s="522"/>
      <c r="G489" s="523"/>
      <c r="H489" s="449"/>
      <c r="I489" s="520"/>
      <c r="J489" s="521"/>
      <c r="K489" s="522"/>
      <c r="L489" s="523"/>
      <c r="M489" s="253"/>
      <c r="N489" s="253"/>
      <c r="O489" s="253"/>
      <c r="P489" s="253"/>
      <c r="Q489" s="253"/>
      <c r="R489" s="253"/>
      <c r="S489" s="253"/>
      <c r="T489" s="253"/>
      <c r="U489" s="253"/>
      <c r="V489" s="253"/>
      <c r="W489" s="253"/>
      <c r="X489" s="253"/>
      <c r="Y489" s="253"/>
      <c r="Z489" s="253"/>
      <c r="AA489" s="253"/>
      <c r="AB489" s="219"/>
    </row>
    <row r="490" spans="1:28" s="243" customFormat="1" ht="27" customHeight="1" thickTop="1" x14ac:dyDescent="0.3">
      <c r="A490" s="381"/>
      <c r="B490" s="242"/>
      <c r="C490" s="242"/>
      <c r="D490" s="833" t="s">
        <v>171</v>
      </c>
      <c r="E490" s="833"/>
      <c r="F490" s="833"/>
      <c r="G490" s="833"/>
      <c r="H490" s="833"/>
      <c r="I490" s="833"/>
      <c r="J490" s="833"/>
      <c r="K490" s="833"/>
      <c r="L490" s="833"/>
      <c r="M490" s="833"/>
      <c r="N490" s="833"/>
      <c r="O490" s="833"/>
      <c r="P490" s="833"/>
      <c r="Q490" s="833"/>
      <c r="R490" s="833"/>
      <c r="S490" s="833"/>
      <c r="T490" s="833"/>
      <c r="U490" s="833"/>
      <c r="V490" s="833"/>
      <c r="W490" s="833"/>
      <c r="X490" s="833"/>
      <c r="Y490" s="833"/>
      <c r="Z490" s="833"/>
      <c r="AA490" s="833"/>
      <c r="AB490" s="242"/>
    </row>
    <row r="491" spans="1:28" s="176" customFormat="1" ht="27" customHeight="1" x14ac:dyDescent="0.3">
      <c r="A491" s="378"/>
      <c r="B491" s="222"/>
      <c r="C491" s="222"/>
      <c r="D491" s="242"/>
      <c r="E491" s="242"/>
      <c r="F491" s="242"/>
      <c r="G491" s="242"/>
      <c r="H491" s="242"/>
      <c r="I491" s="242"/>
      <c r="J491" s="242"/>
      <c r="K491" s="242"/>
      <c r="L491" s="242"/>
      <c r="M491" s="242"/>
      <c r="N491" s="242"/>
      <c r="O491" s="242"/>
      <c r="P491" s="242"/>
      <c r="Q491" s="242"/>
      <c r="R491" s="242"/>
      <c r="S491" s="242"/>
      <c r="T491" s="242"/>
      <c r="U491" s="242"/>
      <c r="V491" s="242"/>
      <c r="W491" s="242"/>
      <c r="X491" s="242"/>
      <c r="Y491" s="242"/>
      <c r="Z491" s="242"/>
      <c r="AA491" s="242"/>
      <c r="AB491" s="222"/>
    </row>
    <row r="492" spans="1:28" ht="13.5" customHeight="1" x14ac:dyDescent="0.2">
      <c r="A492" s="219"/>
      <c r="B492" s="219"/>
      <c r="C492" s="219"/>
      <c r="D492" s="616"/>
      <c r="E492" s="617"/>
      <c r="F492" s="617"/>
      <c r="G492" s="618"/>
      <c r="H492" s="253"/>
      <c r="I492" s="676"/>
      <c r="J492" s="677"/>
      <c r="K492" s="677"/>
      <c r="L492" s="678"/>
      <c r="M492" s="253"/>
      <c r="N492" s="616"/>
      <c r="O492" s="617"/>
      <c r="P492" s="617"/>
      <c r="Q492" s="618"/>
      <c r="R492" s="253"/>
      <c r="S492" s="616"/>
      <c r="T492" s="617"/>
      <c r="U492" s="617"/>
      <c r="V492" s="618"/>
      <c r="W492" s="253"/>
      <c r="X492" s="616"/>
      <c r="Y492" s="617"/>
      <c r="Z492" s="617"/>
      <c r="AA492" s="618"/>
      <c r="AB492" s="219"/>
    </row>
    <row r="493" spans="1:28" ht="14.25" x14ac:dyDescent="0.2">
      <c r="A493" s="219"/>
      <c r="B493" s="219"/>
      <c r="C493" s="219"/>
      <c r="D493" s="631"/>
      <c r="E493" s="632"/>
      <c r="F493" s="632"/>
      <c r="G493" s="633"/>
      <c r="H493" s="253"/>
      <c r="I493" s="679"/>
      <c r="J493" s="680"/>
      <c r="K493" s="680"/>
      <c r="L493" s="681"/>
      <c r="M493" s="253"/>
      <c r="N493" s="631"/>
      <c r="O493" s="632"/>
      <c r="P493" s="632"/>
      <c r="Q493" s="633"/>
      <c r="R493" s="253"/>
      <c r="S493" s="631"/>
      <c r="T493" s="632"/>
      <c r="U493" s="632"/>
      <c r="V493" s="633"/>
      <c r="W493" s="253"/>
      <c r="X493" s="631"/>
      <c r="Y493" s="632"/>
      <c r="Z493" s="632"/>
      <c r="AA493" s="633"/>
      <c r="AB493" s="219"/>
    </row>
    <row r="494" spans="1:28" ht="14.25" x14ac:dyDescent="0.2">
      <c r="A494" s="219"/>
      <c r="B494" s="219"/>
      <c r="C494" s="219"/>
      <c r="D494" s="631"/>
      <c r="E494" s="632"/>
      <c r="F494" s="632"/>
      <c r="G494" s="633"/>
      <c r="H494" s="253"/>
      <c r="I494" s="679"/>
      <c r="J494" s="680"/>
      <c r="K494" s="680"/>
      <c r="L494" s="681"/>
      <c r="M494" s="253"/>
      <c r="N494" s="272"/>
      <c r="O494" s="273"/>
      <c r="P494" s="273"/>
      <c r="Q494" s="274"/>
      <c r="R494" s="253"/>
      <c r="S494" s="272"/>
      <c r="T494" s="273"/>
      <c r="U494" s="273"/>
      <c r="V494" s="274"/>
      <c r="W494" s="253"/>
      <c r="X494" s="272"/>
      <c r="Y494" s="273"/>
      <c r="Z494" s="273"/>
      <c r="AA494" s="274"/>
      <c r="AB494" s="219"/>
    </row>
    <row r="495" spans="1:28" ht="14.25" x14ac:dyDescent="0.2">
      <c r="A495" s="219"/>
      <c r="B495" s="219"/>
      <c r="C495" s="219"/>
      <c r="D495" s="631"/>
      <c r="E495" s="632"/>
      <c r="F495" s="632"/>
      <c r="G495" s="633"/>
      <c r="H495" s="253"/>
      <c r="I495" s="679"/>
      <c r="J495" s="680"/>
      <c r="K495" s="680"/>
      <c r="L495" s="681"/>
      <c r="M495" s="253"/>
      <c r="N495" s="631"/>
      <c r="O495" s="632"/>
      <c r="P495" s="632"/>
      <c r="Q495" s="633"/>
      <c r="R495" s="253"/>
      <c r="S495" s="631"/>
      <c r="T495" s="632"/>
      <c r="U495" s="632"/>
      <c r="V495" s="633"/>
      <c r="W495" s="253"/>
      <c r="X495" s="631"/>
      <c r="Y495" s="632"/>
      <c r="Z495" s="632"/>
      <c r="AA495" s="633"/>
      <c r="AB495" s="219"/>
    </row>
    <row r="496" spans="1:28" ht="14.25" x14ac:dyDescent="0.2">
      <c r="A496" s="219"/>
      <c r="B496" s="219"/>
      <c r="C496" s="219"/>
      <c r="D496" s="631"/>
      <c r="E496" s="632"/>
      <c r="F496" s="632"/>
      <c r="G496" s="633"/>
      <c r="H496" s="253"/>
      <c r="I496" s="679"/>
      <c r="J496" s="680"/>
      <c r="K496" s="680"/>
      <c r="L496" s="681"/>
      <c r="M496" s="253"/>
      <c r="N496" s="631"/>
      <c r="O496" s="632"/>
      <c r="P496" s="632"/>
      <c r="Q496" s="633"/>
      <c r="R496" s="253"/>
      <c r="S496" s="631"/>
      <c r="T496" s="632"/>
      <c r="U496" s="632"/>
      <c r="V496" s="633"/>
      <c r="W496" s="253"/>
      <c r="X496" s="631"/>
      <c r="Y496" s="632"/>
      <c r="Z496" s="632"/>
      <c r="AA496" s="633"/>
      <c r="AB496" s="219"/>
    </row>
    <row r="497" spans="1:28" ht="14.25" x14ac:dyDescent="0.2">
      <c r="A497" s="219"/>
      <c r="B497" s="219"/>
      <c r="C497" s="219"/>
      <c r="D497" s="595"/>
      <c r="E497" s="596"/>
      <c r="F497" s="596"/>
      <c r="G497" s="597"/>
      <c r="H497" s="253"/>
      <c r="I497" s="682"/>
      <c r="J497" s="683"/>
      <c r="K497" s="683"/>
      <c r="L497" s="684"/>
      <c r="M497" s="253"/>
      <c r="N497" s="595"/>
      <c r="O497" s="596"/>
      <c r="P497" s="596"/>
      <c r="Q497" s="597"/>
      <c r="R497" s="253"/>
      <c r="S497" s="595"/>
      <c r="T497" s="596"/>
      <c r="U497" s="596"/>
      <c r="V497" s="597"/>
      <c r="W497" s="253"/>
      <c r="X497" s="595"/>
      <c r="Y497" s="596"/>
      <c r="Z497" s="596"/>
      <c r="AA497" s="597"/>
      <c r="AB497" s="219"/>
    </row>
    <row r="498" spans="1:28" ht="15" x14ac:dyDescent="0.25">
      <c r="A498" s="219"/>
      <c r="B498" s="219"/>
      <c r="C498" s="219"/>
      <c r="D498" s="598" t="s">
        <v>207</v>
      </c>
      <c r="E498" s="599"/>
      <c r="F498" s="599"/>
      <c r="G498" s="600"/>
      <c r="H498" s="253"/>
      <c r="I498" s="598" t="s">
        <v>206</v>
      </c>
      <c r="J498" s="599"/>
      <c r="K498" s="599"/>
      <c r="L498" s="600"/>
      <c r="M498" s="253"/>
      <c r="N498" s="598" t="s">
        <v>205</v>
      </c>
      <c r="O498" s="599"/>
      <c r="P498" s="599"/>
      <c r="Q498" s="600"/>
      <c r="R498" s="253"/>
      <c r="S498" s="598" t="s">
        <v>204</v>
      </c>
      <c r="T498" s="599"/>
      <c r="U498" s="599"/>
      <c r="V498" s="600"/>
      <c r="W498" s="253"/>
      <c r="X498" s="598" t="s">
        <v>315</v>
      </c>
      <c r="Y498" s="599"/>
      <c r="Z498" s="599"/>
      <c r="AA498" s="600"/>
      <c r="AB498" s="219"/>
    </row>
    <row r="499" spans="1:28" s="169" customFormat="1" ht="27" customHeight="1" x14ac:dyDescent="0.2">
      <c r="A499" s="226"/>
      <c r="B499" s="226"/>
      <c r="C499" s="226"/>
      <c r="D499" s="601" t="s">
        <v>674</v>
      </c>
      <c r="E499" s="602"/>
      <c r="F499" s="603"/>
      <c r="G499" s="604"/>
      <c r="H499" s="266"/>
      <c r="I499" s="601" t="s">
        <v>675</v>
      </c>
      <c r="J499" s="602"/>
      <c r="K499" s="603"/>
      <c r="L499" s="604"/>
      <c r="M499" s="266"/>
      <c r="N499" s="601" t="s">
        <v>676</v>
      </c>
      <c r="O499" s="602"/>
      <c r="P499" s="603"/>
      <c r="Q499" s="604"/>
      <c r="R499" s="266"/>
      <c r="S499" s="601" t="s">
        <v>677</v>
      </c>
      <c r="T499" s="602"/>
      <c r="U499" s="603"/>
      <c r="V499" s="604"/>
      <c r="W499" s="266"/>
      <c r="X499" s="601" t="s">
        <v>678</v>
      </c>
      <c r="Y499" s="602"/>
      <c r="Z499" s="603"/>
      <c r="AA499" s="604"/>
      <c r="AB499" s="226"/>
    </row>
    <row r="500" spans="1:28" ht="16.149999999999999" customHeight="1" x14ac:dyDescent="0.25">
      <c r="A500" s="219"/>
      <c r="B500" s="219"/>
      <c r="C500" s="219"/>
      <c r="D500" s="990" t="s">
        <v>958</v>
      </c>
      <c r="E500" s="991"/>
      <c r="F500" s="991"/>
      <c r="G500" s="992"/>
      <c r="H500" s="253"/>
      <c r="I500" s="990" t="s">
        <v>958</v>
      </c>
      <c r="J500" s="991"/>
      <c r="K500" s="991"/>
      <c r="L500" s="992"/>
      <c r="M500" s="253"/>
      <c r="N500" s="990" t="s">
        <v>958</v>
      </c>
      <c r="O500" s="991"/>
      <c r="P500" s="991"/>
      <c r="Q500" s="992"/>
      <c r="R500" s="253"/>
      <c r="S500" s="990" t="s">
        <v>958</v>
      </c>
      <c r="T500" s="991"/>
      <c r="U500" s="991"/>
      <c r="V500" s="992"/>
      <c r="W500" s="253"/>
      <c r="X500" s="990" t="s">
        <v>958</v>
      </c>
      <c r="Y500" s="991"/>
      <c r="Z500" s="991"/>
      <c r="AA500" s="992"/>
      <c r="AB500" s="219"/>
    </row>
    <row r="501" spans="1:28" ht="14.25" x14ac:dyDescent="0.2">
      <c r="A501" s="219"/>
      <c r="B501" s="219"/>
      <c r="C501" s="219"/>
      <c r="D501" s="275"/>
      <c r="E501" s="275"/>
      <c r="F501" s="276"/>
      <c r="G501" s="277"/>
      <c r="H501" s="253"/>
      <c r="I501" s="275"/>
      <c r="J501" s="275"/>
      <c r="K501" s="276"/>
      <c r="L501" s="277"/>
      <c r="M501" s="253"/>
      <c r="N501" s="275"/>
      <c r="O501" s="275"/>
      <c r="P501" s="276"/>
      <c r="Q501" s="277"/>
      <c r="R501" s="253"/>
      <c r="S501" s="275"/>
      <c r="T501" s="275"/>
      <c r="U501" s="276"/>
      <c r="V501" s="277"/>
      <c r="W501" s="253"/>
      <c r="X501" s="275"/>
      <c r="Y501" s="275"/>
      <c r="Z501" s="276"/>
      <c r="AA501" s="277"/>
      <c r="AB501" s="219"/>
    </row>
    <row r="502" spans="1:28" ht="14.25" x14ac:dyDescent="0.2">
      <c r="A502" s="219"/>
      <c r="B502" s="219"/>
      <c r="C502" s="219"/>
      <c r="D502" s="616"/>
      <c r="E502" s="617"/>
      <c r="F502" s="617"/>
      <c r="G502" s="618"/>
      <c r="H502" s="253"/>
      <c r="I502" s="616"/>
      <c r="J502" s="617"/>
      <c r="K502" s="617"/>
      <c r="L502" s="618"/>
      <c r="M502" s="253"/>
      <c r="N502" s="616"/>
      <c r="O502" s="617"/>
      <c r="P502" s="617"/>
      <c r="Q502" s="618"/>
      <c r="R502" s="253"/>
      <c r="S502" s="616"/>
      <c r="T502" s="617"/>
      <c r="U502" s="617"/>
      <c r="V502" s="618"/>
      <c r="W502" s="253"/>
      <c r="X502" s="1021"/>
      <c r="Y502" s="1022"/>
      <c r="Z502" s="1022"/>
      <c r="AA502" s="1023"/>
      <c r="AB502" s="219"/>
    </row>
    <row r="503" spans="1:28" ht="14.25" x14ac:dyDescent="0.2">
      <c r="A503" s="219"/>
      <c r="B503" s="219"/>
      <c r="C503" s="219"/>
      <c r="D503" s="631"/>
      <c r="E503" s="632"/>
      <c r="F503" s="632"/>
      <c r="G503" s="633"/>
      <c r="H503" s="253"/>
      <c r="I503" s="631"/>
      <c r="J503" s="632"/>
      <c r="K503" s="632"/>
      <c r="L503" s="633"/>
      <c r="M503" s="253"/>
      <c r="N503" s="631"/>
      <c r="O503" s="632"/>
      <c r="P503" s="632"/>
      <c r="Q503" s="633"/>
      <c r="R503" s="253"/>
      <c r="S503" s="631"/>
      <c r="T503" s="632"/>
      <c r="U503" s="632"/>
      <c r="V503" s="633"/>
      <c r="W503" s="253"/>
      <c r="X503" s="1024"/>
      <c r="Y503" s="1025"/>
      <c r="Z503" s="1025"/>
      <c r="AA503" s="1026"/>
      <c r="AB503" s="219"/>
    </row>
    <row r="504" spans="1:28" ht="14.25" x14ac:dyDescent="0.2">
      <c r="A504" s="219"/>
      <c r="B504" s="219"/>
      <c r="C504" s="219"/>
      <c r="D504" s="631"/>
      <c r="E504" s="632"/>
      <c r="F504" s="632"/>
      <c r="G504" s="633"/>
      <c r="H504" s="253"/>
      <c r="I504" s="272"/>
      <c r="J504" s="273"/>
      <c r="K504" s="273"/>
      <c r="L504" s="274"/>
      <c r="M504" s="253"/>
      <c r="N504" s="272"/>
      <c r="O504" s="273"/>
      <c r="P504" s="273"/>
      <c r="Q504" s="274"/>
      <c r="R504" s="253"/>
      <c r="S504" s="272"/>
      <c r="T504" s="273"/>
      <c r="U504" s="273"/>
      <c r="V504" s="274"/>
      <c r="W504" s="253"/>
      <c r="X504" s="570"/>
      <c r="Y504" s="571"/>
      <c r="Z504" s="571"/>
      <c r="AA504" s="572"/>
      <c r="AB504" s="219"/>
    </row>
    <row r="505" spans="1:28" ht="14.25" x14ac:dyDescent="0.2">
      <c r="A505" s="219"/>
      <c r="B505" s="219"/>
      <c r="C505" s="219"/>
      <c r="D505" s="631"/>
      <c r="E505" s="632"/>
      <c r="F505" s="632"/>
      <c r="G505" s="633"/>
      <c r="H505" s="253"/>
      <c r="I505" s="631"/>
      <c r="J505" s="632"/>
      <c r="K505" s="632"/>
      <c r="L505" s="633"/>
      <c r="M505" s="253"/>
      <c r="N505" s="631"/>
      <c r="O505" s="632"/>
      <c r="P505" s="632"/>
      <c r="Q505" s="633"/>
      <c r="R505" s="253"/>
      <c r="S505" s="631"/>
      <c r="T505" s="632"/>
      <c r="U505" s="632"/>
      <c r="V505" s="633"/>
      <c r="W505" s="253"/>
      <c r="X505" s="1024"/>
      <c r="Y505" s="1025"/>
      <c r="Z505" s="1025"/>
      <c r="AA505" s="1026"/>
      <c r="AB505" s="219"/>
    </row>
    <row r="506" spans="1:28" ht="14.25" x14ac:dyDescent="0.2">
      <c r="A506" s="219"/>
      <c r="B506" s="219"/>
      <c r="C506" s="219"/>
      <c r="D506" s="631"/>
      <c r="E506" s="632"/>
      <c r="F506" s="632"/>
      <c r="G506" s="633"/>
      <c r="H506" s="253"/>
      <c r="I506" s="631"/>
      <c r="J506" s="632"/>
      <c r="K506" s="632"/>
      <c r="L506" s="633"/>
      <c r="M506" s="253"/>
      <c r="N506" s="631"/>
      <c r="O506" s="632"/>
      <c r="P506" s="632"/>
      <c r="Q506" s="633"/>
      <c r="R506" s="253"/>
      <c r="S506" s="631"/>
      <c r="T506" s="632"/>
      <c r="U506" s="632"/>
      <c r="V506" s="633"/>
      <c r="W506" s="253"/>
      <c r="X506" s="1024"/>
      <c r="Y506" s="1025"/>
      <c r="Z506" s="1025"/>
      <c r="AA506" s="1026"/>
      <c r="AB506" s="219"/>
    </row>
    <row r="507" spans="1:28" s="178" customFormat="1" ht="14.25" x14ac:dyDescent="0.2">
      <c r="A507" s="380"/>
      <c r="B507" s="219"/>
      <c r="C507" s="219"/>
      <c r="D507" s="595"/>
      <c r="E507" s="596"/>
      <c r="F507" s="596"/>
      <c r="G507" s="597"/>
      <c r="H507" s="253"/>
      <c r="I507" s="595"/>
      <c r="J507" s="596"/>
      <c r="K507" s="596"/>
      <c r="L507" s="597"/>
      <c r="M507" s="253"/>
      <c r="N507" s="631"/>
      <c r="O507" s="632"/>
      <c r="P507" s="632"/>
      <c r="Q507" s="633"/>
      <c r="R507" s="253"/>
      <c r="S507" s="631"/>
      <c r="T507" s="632"/>
      <c r="U507" s="632"/>
      <c r="V507" s="633"/>
      <c r="W507" s="253"/>
      <c r="X507" s="1027"/>
      <c r="Y507" s="1028"/>
      <c r="Z507" s="1028"/>
      <c r="AA507" s="1029"/>
      <c r="AB507" s="219"/>
    </row>
    <row r="508" spans="1:28" ht="15" x14ac:dyDescent="0.25">
      <c r="A508" s="219"/>
      <c r="B508" s="219"/>
      <c r="C508" s="219"/>
      <c r="D508" s="598" t="s">
        <v>208</v>
      </c>
      <c r="E508" s="599"/>
      <c r="F508" s="599"/>
      <c r="G508" s="600"/>
      <c r="H508" s="253"/>
      <c r="I508" s="598" t="s">
        <v>471</v>
      </c>
      <c r="J508" s="599"/>
      <c r="K508" s="599"/>
      <c r="L508" s="600"/>
      <c r="M508" s="253"/>
      <c r="N508" s="646" t="s">
        <v>470</v>
      </c>
      <c r="O508" s="647"/>
      <c r="P508" s="647"/>
      <c r="Q508" s="648"/>
      <c r="R508" s="253"/>
      <c r="S508" s="646" t="s">
        <v>891</v>
      </c>
      <c r="T508" s="647"/>
      <c r="U508" s="647"/>
      <c r="V508" s="648"/>
      <c r="W508" s="253"/>
      <c r="X508" s="685" t="s">
        <v>976</v>
      </c>
      <c r="Y508" s="686"/>
      <c r="Z508" s="686"/>
      <c r="AA508" s="687"/>
      <c r="AB508" s="219"/>
    </row>
    <row r="509" spans="1:28" s="169" customFormat="1" ht="27" customHeight="1" x14ac:dyDescent="0.2">
      <c r="A509" s="226"/>
      <c r="B509" s="226"/>
      <c r="C509" s="226"/>
      <c r="D509" s="979" t="s">
        <v>679</v>
      </c>
      <c r="E509" s="980"/>
      <c r="F509" s="980"/>
      <c r="G509" s="981"/>
      <c r="H509" s="266"/>
      <c r="I509" s="983" t="s">
        <v>486</v>
      </c>
      <c r="J509" s="984"/>
      <c r="K509" s="984"/>
      <c r="L509" s="985"/>
      <c r="M509" s="266"/>
      <c r="N509" s="865" t="s">
        <v>487</v>
      </c>
      <c r="O509" s="866"/>
      <c r="P509" s="866"/>
      <c r="Q509" s="867"/>
      <c r="R509" s="266"/>
      <c r="S509" s="986" t="s">
        <v>892</v>
      </c>
      <c r="T509" s="866"/>
      <c r="U509" s="866"/>
      <c r="V509" s="867"/>
      <c r="W509" s="266"/>
      <c r="X509" s="688" t="s">
        <v>977</v>
      </c>
      <c r="Y509" s="689"/>
      <c r="Z509" s="690"/>
      <c r="AA509" s="691"/>
      <c r="AB509" s="226"/>
    </row>
    <row r="510" spans="1:28" ht="16.149999999999999" customHeight="1" x14ac:dyDescent="0.25">
      <c r="A510" s="219"/>
      <c r="B510" s="219"/>
      <c r="C510" s="219"/>
      <c r="D510" s="831">
        <v>1950</v>
      </c>
      <c r="E510" s="831"/>
      <c r="F510" s="982">
        <v>0</v>
      </c>
      <c r="G510" s="982"/>
      <c r="H510" s="253"/>
      <c r="I510" s="831">
        <v>2600</v>
      </c>
      <c r="J510" s="831"/>
      <c r="K510" s="982">
        <v>0</v>
      </c>
      <c r="L510" s="982"/>
      <c r="M510" s="253"/>
      <c r="N510" s="831" t="s">
        <v>469</v>
      </c>
      <c r="O510" s="831"/>
      <c r="P510" s="982">
        <v>0</v>
      </c>
      <c r="Q510" s="982"/>
      <c r="R510" s="253"/>
      <c r="S510" s="990" t="s">
        <v>958</v>
      </c>
      <c r="T510" s="991"/>
      <c r="U510" s="991"/>
      <c r="V510" s="992"/>
      <c r="W510" s="253"/>
      <c r="X510" s="990" t="s">
        <v>958</v>
      </c>
      <c r="Y510" s="991"/>
      <c r="Z510" s="991"/>
      <c r="AA510" s="992"/>
      <c r="AB510" s="219"/>
    </row>
    <row r="511" spans="1:28" ht="14.25" x14ac:dyDescent="0.2">
      <c r="A511" s="219"/>
      <c r="B511" s="219"/>
      <c r="C511" s="219"/>
      <c r="D511" s="287"/>
      <c r="E511" s="287"/>
      <c r="F511" s="288"/>
      <c r="G511" s="288"/>
      <c r="H511" s="253"/>
      <c r="I511" s="287"/>
      <c r="J511" s="287"/>
      <c r="K511" s="288"/>
      <c r="L511" s="288"/>
      <c r="M511" s="253"/>
      <c r="N511" s="287"/>
      <c r="O511" s="287"/>
      <c r="P511" s="288"/>
      <c r="Q511" s="288"/>
      <c r="R511" s="253"/>
      <c r="S511" s="287"/>
      <c r="T511" s="287"/>
      <c r="U511" s="288"/>
      <c r="V511" s="288"/>
      <c r="W511" s="253"/>
      <c r="X511" s="287"/>
      <c r="Y511" s="287"/>
      <c r="Z511" s="288"/>
      <c r="AA511" s="288"/>
      <c r="AB511" s="219"/>
    </row>
    <row r="512" spans="1:28" ht="13.5" customHeight="1" x14ac:dyDescent="0.2">
      <c r="A512" s="219"/>
      <c r="B512" s="219"/>
      <c r="C512" s="219"/>
      <c r="D512" s="616"/>
      <c r="E512" s="617"/>
      <c r="F512" s="617"/>
      <c r="G512" s="618"/>
      <c r="H512" s="253"/>
      <c r="I512" s="616"/>
      <c r="J512" s="617"/>
      <c r="K512" s="617"/>
      <c r="L512" s="618"/>
      <c r="M512" s="253"/>
      <c r="N512" s="616"/>
      <c r="O512" s="617"/>
      <c r="P512" s="617"/>
      <c r="Q512" s="618"/>
      <c r="R512" s="253"/>
      <c r="S512" s="616"/>
      <c r="T512" s="617"/>
      <c r="U512" s="617"/>
      <c r="V512" s="618"/>
      <c r="W512" s="253"/>
      <c r="X512" s="616"/>
      <c r="Y512" s="617"/>
      <c r="Z512" s="617"/>
      <c r="AA512" s="618"/>
      <c r="AB512" s="219"/>
    </row>
    <row r="513" spans="1:28" ht="14.25" x14ac:dyDescent="0.2">
      <c r="A513" s="219"/>
      <c r="B513" s="219"/>
      <c r="C513" s="219"/>
      <c r="D513" s="631"/>
      <c r="E513" s="632"/>
      <c r="F513" s="632"/>
      <c r="G513" s="633"/>
      <c r="H513" s="253"/>
      <c r="I513" s="631"/>
      <c r="J513" s="632"/>
      <c r="K513" s="632"/>
      <c r="L513" s="633"/>
      <c r="M513" s="253"/>
      <c r="N513" s="631"/>
      <c r="O513" s="632"/>
      <c r="P513" s="632"/>
      <c r="Q513" s="633"/>
      <c r="R513" s="253"/>
      <c r="S513" s="631"/>
      <c r="T513" s="632"/>
      <c r="U513" s="632"/>
      <c r="V513" s="633"/>
      <c r="W513" s="253"/>
      <c r="X513" s="631"/>
      <c r="Y513" s="632"/>
      <c r="Z513" s="632"/>
      <c r="AA513" s="633"/>
      <c r="AB513" s="219"/>
    </row>
    <row r="514" spans="1:28" ht="14.25" x14ac:dyDescent="0.2">
      <c r="A514" s="219"/>
      <c r="B514" s="219"/>
      <c r="C514" s="219"/>
      <c r="D514" s="631"/>
      <c r="E514" s="632"/>
      <c r="F514" s="632"/>
      <c r="G514" s="633"/>
      <c r="H514" s="253"/>
      <c r="I514" s="631"/>
      <c r="J514" s="632"/>
      <c r="K514" s="632"/>
      <c r="L514" s="633"/>
      <c r="M514" s="253"/>
      <c r="N514" s="631"/>
      <c r="O514" s="632"/>
      <c r="P514" s="632"/>
      <c r="Q514" s="633"/>
      <c r="R514" s="253"/>
      <c r="S514" s="631"/>
      <c r="T514" s="632"/>
      <c r="U514" s="632"/>
      <c r="V514" s="633"/>
      <c r="W514" s="253"/>
      <c r="X514" s="631"/>
      <c r="Y514" s="632"/>
      <c r="Z514" s="632"/>
      <c r="AA514" s="633"/>
      <c r="AB514" s="219"/>
    </row>
    <row r="515" spans="1:28" ht="14.25" x14ac:dyDescent="0.2">
      <c r="A515" s="219"/>
      <c r="B515" s="219"/>
      <c r="C515" s="219"/>
      <c r="D515" s="631"/>
      <c r="E515" s="632"/>
      <c r="F515" s="632"/>
      <c r="G515" s="633"/>
      <c r="H515" s="253"/>
      <c r="I515" s="631"/>
      <c r="J515" s="632"/>
      <c r="K515" s="632"/>
      <c r="L515" s="633"/>
      <c r="M515" s="253"/>
      <c r="N515" s="631"/>
      <c r="O515" s="632"/>
      <c r="P515" s="632"/>
      <c r="Q515" s="633"/>
      <c r="R515" s="253"/>
      <c r="S515" s="631"/>
      <c r="T515" s="632"/>
      <c r="U515" s="632"/>
      <c r="V515" s="633"/>
      <c r="W515" s="253"/>
      <c r="X515" s="631"/>
      <c r="Y515" s="632"/>
      <c r="Z515" s="632"/>
      <c r="AA515" s="633"/>
      <c r="AB515" s="219"/>
    </row>
    <row r="516" spans="1:28" ht="14.25" x14ac:dyDescent="0.2">
      <c r="A516" s="219"/>
      <c r="B516" s="219"/>
      <c r="C516" s="219"/>
      <c r="D516" s="631"/>
      <c r="E516" s="632"/>
      <c r="F516" s="632"/>
      <c r="G516" s="633"/>
      <c r="H516" s="253"/>
      <c r="I516" s="631"/>
      <c r="J516" s="632"/>
      <c r="K516" s="632"/>
      <c r="L516" s="633"/>
      <c r="M516" s="253"/>
      <c r="N516" s="631"/>
      <c r="O516" s="632"/>
      <c r="P516" s="632"/>
      <c r="Q516" s="633"/>
      <c r="R516" s="253"/>
      <c r="S516" s="631"/>
      <c r="T516" s="632"/>
      <c r="U516" s="632"/>
      <c r="V516" s="633"/>
      <c r="W516" s="253"/>
      <c r="X516" s="631"/>
      <c r="Y516" s="632"/>
      <c r="Z516" s="632"/>
      <c r="AA516" s="633"/>
      <c r="AB516" s="219"/>
    </row>
    <row r="517" spans="1:28" ht="14.25" x14ac:dyDescent="0.2">
      <c r="A517" s="219"/>
      <c r="B517" s="219"/>
      <c r="C517" s="219"/>
      <c r="D517" s="595"/>
      <c r="E517" s="596"/>
      <c r="F517" s="596"/>
      <c r="G517" s="597"/>
      <c r="H517" s="253"/>
      <c r="I517" s="595"/>
      <c r="J517" s="596"/>
      <c r="K517" s="596"/>
      <c r="L517" s="597"/>
      <c r="M517" s="253"/>
      <c r="N517" s="595"/>
      <c r="O517" s="596"/>
      <c r="P517" s="596"/>
      <c r="Q517" s="597"/>
      <c r="R517" s="253"/>
      <c r="S517" s="595"/>
      <c r="T517" s="596"/>
      <c r="U517" s="596"/>
      <c r="V517" s="597"/>
      <c r="W517" s="253"/>
      <c r="X517" s="595"/>
      <c r="Y517" s="596"/>
      <c r="Z517" s="596"/>
      <c r="AA517" s="597"/>
      <c r="AB517" s="219"/>
    </row>
    <row r="518" spans="1:28" ht="15" x14ac:dyDescent="0.25">
      <c r="A518" s="219"/>
      <c r="B518" s="219"/>
      <c r="C518" s="219"/>
      <c r="D518" s="598" t="s">
        <v>211</v>
      </c>
      <c r="E518" s="599"/>
      <c r="F518" s="599"/>
      <c r="G518" s="600"/>
      <c r="H518" s="253"/>
      <c r="I518" s="598" t="s">
        <v>212</v>
      </c>
      <c r="J518" s="599"/>
      <c r="K518" s="599"/>
      <c r="L518" s="600"/>
      <c r="M518" s="253"/>
      <c r="N518" s="598" t="s">
        <v>213</v>
      </c>
      <c r="O518" s="599"/>
      <c r="P518" s="599"/>
      <c r="Q518" s="600"/>
      <c r="R518" s="253"/>
      <c r="S518" s="598" t="s">
        <v>447</v>
      </c>
      <c r="T518" s="599"/>
      <c r="U518" s="599"/>
      <c r="V518" s="600"/>
      <c r="W518" s="253"/>
      <c r="X518" s="598" t="s">
        <v>446</v>
      </c>
      <c r="Y518" s="599"/>
      <c r="Z518" s="599"/>
      <c r="AA518" s="600"/>
      <c r="AB518" s="219"/>
    </row>
    <row r="519" spans="1:28" s="169" customFormat="1" ht="27" customHeight="1" x14ac:dyDescent="0.2">
      <c r="A519" s="226"/>
      <c r="B519" s="226"/>
      <c r="C519" s="226"/>
      <c r="D519" s="601" t="s">
        <v>110</v>
      </c>
      <c r="E519" s="602"/>
      <c r="F519" s="603"/>
      <c r="G519" s="604"/>
      <c r="H519" s="266"/>
      <c r="I519" s="601" t="s">
        <v>682</v>
      </c>
      <c r="J519" s="602"/>
      <c r="K519" s="603"/>
      <c r="L519" s="604"/>
      <c r="M519" s="266"/>
      <c r="N519" s="601" t="s">
        <v>478</v>
      </c>
      <c r="O519" s="602"/>
      <c r="P519" s="603"/>
      <c r="Q519" s="604"/>
      <c r="R519" s="266"/>
      <c r="S519" s="601" t="s">
        <v>683</v>
      </c>
      <c r="T519" s="602"/>
      <c r="U519" s="603"/>
      <c r="V519" s="604"/>
      <c r="W519" s="266"/>
      <c r="X519" s="601" t="s">
        <v>479</v>
      </c>
      <c r="Y519" s="602"/>
      <c r="Z519" s="603"/>
      <c r="AA519" s="604"/>
      <c r="AB519" s="226"/>
    </row>
    <row r="520" spans="1:28" ht="16.149999999999999" customHeight="1" x14ac:dyDescent="0.25">
      <c r="A520" s="219"/>
      <c r="B520" s="219"/>
      <c r="C520" s="219"/>
      <c r="D520" s="831">
        <v>45</v>
      </c>
      <c r="E520" s="622"/>
      <c r="F520" s="832">
        <v>0</v>
      </c>
      <c r="G520" s="832"/>
      <c r="H520" s="253"/>
      <c r="I520" s="831">
        <v>30</v>
      </c>
      <c r="J520" s="622"/>
      <c r="K520" s="832">
        <v>0</v>
      </c>
      <c r="L520" s="832"/>
      <c r="M520" s="253"/>
      <c r="N520" s="831">
        <v>30</v>
      </c>
      <c r="O520" s="622"/>
      <c r="P520" s="832">
        <v>0</v>
      </c>
      <c r="Q520" s="832"/>
      <c r="R520" s="253"/>
      <c r="S520" s="831">
        <v>425</v>
      </c>
      <c r="T520" s="622"/>
      <c r="U520" s="832">
        <v>0</v>
      </c>
      <c r="V520" s="832"/>
      <c r="W520" s="289"/>
      <c r="X520" s="831">
        <v>40</v>
      </c>
      <c r="Y520" s="622"/>
      <c r="Z520" s="832">
        <v>0</v>
      </c>
      <c r="AA520" s="832"/>
      <c r="AB520" s="219"/>
    </row>
    <row r="521" spans="1:28" ht="14.25" x14ac:dyDescent="0.2">
      <c r="A521" s="219"/>
      <c r="B521" s="219"/>
      <c r="C521" s="219"/>
      <c r="D521" s="279"/>
      <c r="E521" s="280"/>
      <c r="F521" s="281"/>
      <c r="G521" s="282"/>
      <c r="H521" s="253"/>
      <c r="I521" s="279"/>
      <c r="J521" s="280"/>
      <c r="K521" s="281"/>
      <c r="L521" s="282"/>
      <c r="M521" s="253"/>
      <c r="N521" s="283"/>
      <c r="O521" s="286"/>
      <c r="P521" s="284"/>
      <c r="Q521" s="285"/>
      <c r="R521" s="253"/>
      <c r="S521" s="275"/>
      <c r="T521" s="275"/>
      <c r="U521" s="276"/>
      <c r="V521" s="277"/>
      <c r="W521" s="253"/>
      <c r="X521" s="275"/>
      <c r="Y521" s="275"/>
      <c r="Z521" s="276"/>
      <c r="AA521" s="277"/>
      <c r="AB521" s="219"/>
    </row>
    <row r="522" spans="1:28" ht="13.9" customHeight="1" x14ac:dyDescent="0.2">
      <c r="A522" s="219"/>
      <c r="B522" s="219"/>
      <c r="C522" s="219"/>
      <c r="D522" s="616"/>
      <c r="E522" s="617"/>
      <c r="F522" s="617"/>
      <c r="G522" s="618"/>
      <c r="H522" s="253"/>
      <c r="I522" s="616"/>
      <c r="J522" s="617"/>
      <c r="K522" s="617"/>
      <c r="L522" s="618"/>
      <c r="M522" s="253"/>
      <c r="N522" s="616"/>
      <c r="O522" s="617"/>
      <c r="P522" s="617"/>
      <c r="Q522" s="618"/>
      <c r="R522" s="253"/>
      <c r="S522" s="616"/>
      <c r="T522" s="617"/>
      <c r="U522" s="617"/>
      <c r="V522" s="618"/>
      <c r="W522" s="253"/>
      <c r="X522" s="275"/>
      <c r="Y522" s="275"/>
      <c r="Z522" s="276"/>
      <c r="AA522" s="277"/>
      <c r="AB522" s="219"/>
    </row>
    <row r="523" spans="1:28" ht="14.25" x14ac:dyDescent="0.2">
      <c r="A523" s="219"/>
      <c r="B523" s="219"/>
      <c r="C523" s="219"/>
      <c r="D523" s="631"/>
      <c r="E523" s="632"/>
      <c r="F523" s="632"/>
      <c r="G523" s="633"/>
      <c r="H523" s="253"/>
      <c r="I523" s="631"/>
      <c r="J523" s="632"/>
      <c r="K523" s="632"/>
      <c r="L523" s="633"/>
      <c r="M523" s="253"/>
      <c r="N523" s="631"/>
      <c r="O523" s="632"/>
      <c r="P523" s="632"/>
      <c r="Q523" s="633"/>
      <c r="R523" s="253"/>
      <c r="S523" s="631"/>
      <c r="T523" s="632"/>
      <c r="U523" s="632"/>
      <c r="V523" s="633"/>
      <c r="W523" s="253"/>
      <c r="X523" s="275"/>
      <c r="Y523" s="275"/>
      <c r="Z523" s="276"/>
      <c r="AA523" s="277"/>
      <c r="AB523" s="219"/>
    </row>
    <row r="524" spans="1:28" ht="14.25" x14ac:dyDescent="0.2">
      <c r="A524" s="219"/>
      <c r="B524" s="219"/>
      <c r="C524" s="219"/>
      <c r="D524" s="272"/>
      <c r="E524" s="273"/>
      <c r="F524" s="273"/>
      <c r="G524" s="274"/>
      <c r="H524" s="253"/>
      <c r="I524" s="631"/>
      <c r="J524" s="632"/>
      <c r="K524" s="632"/>
      <c r="L524" s="633"/>
      <c r="M524" s="253"/>
      <c r="N524" s="272"/>
      <c r="O524" s="273"/>
      <c r="P524" s="273"/>
      <c r="Q524" s="274"/>
      <c r="R524" s="253"/>
      <c r="S524" s="272"/>
      <c r="T524" s="273"/>
      <c r="U524" s="273"/>
      <c r="V524" s="274"/>
      <c r="W524" s="253"/>
      <c r="X524" s="275"/>
      <c r="Y524" s="275"/>
      <c r="Z524" s="276"/>
      <c r="AA524" s="277"/>
      <c r="AB524" s="219"/>
    </row>
    <row r="525" spans="1:28" ht="14.25" x14ac:dyDescent="0.2">
      <c r="A525" s="219"/>
      <c r="B525" s="219"/>
      <c r="C525" s="219"/>
      <c r="D525" s="631"/>
      <c r="E525" s="632"/>
      <c r="F525" s="632"/>
      <c r="G525" s="633"/>
      <c r="H525" s="253"/>
      <c r="I525" s="631"/>
      <c r="J525" s="632"/>
      <c r="K525" s="632"/>
      <c r="L525" s="633"/>
      <c r="M525" s="253"/>
      <c r="N525" s="631"/>
      <c r="O525" s="632"/>
      <c r="P525" s="632"/>
      <c r="Q525" s="633"/>
      <c r="R525" s="253"/>
      <c r="S525" s="631"/>
      <c r="T525" s="632"/>
      <c r="U525" s="632"/>
      <c r="V525" s="633"/>
      <c r="W525" s="253"/>
      <c r="X525" s="275"/>
      <c r="Y525" s="275"/>
      <c r="Z525" s="276"/>
      <c r="AA525" s="277"/>
      <c r="AB525" s="219"/>
    </row>
    <row r="526" spans="1:28" ht="14.25" x14ac:dyDescent="0.2">
      <c r="A526" s="219"/>
      <c r="B526" s="219"/>
      <c r="C526" s="219"/>
      <c r="D526" s="631"/>
      <c r="E526" s="632"/>
      <c r="F526" s="632"/>
      <c r="G526" s="633"/>
      <c r="H526" s="253"/>
      <c r="I526" s="631"/>
      <c r="J526" s="632"/>
      <c r="K526" s="632"/>
      <c r="L526" s="633"/>
      <c r="M526" s="253"/>
      <c r="N526" s="631"/>
      <c r="O526" s="632"/>
      <c r="P526" s="632"/>
      <c r="Q526" s="633"/>
      <c r="R526" s="253"/>
      <c r="S526" s="631"/>
      <c r="T526" s="632"/>
      <c r="U526" s="632"/>
      <c r="V526" s="633"/>
      <c r="W526" s="253"/>
      <c r="X526" s="275"/>
      <c r="Y526" s="275"/>
      <c r="Z526" s="276"/>
      <c r="AA526" s="277"/>
      <c r="AB526" s="219"/>
    </row>
    <row r="527" spans="1:28" ht="14.25" x14ac:dyDescent="0.2">
      <c r="A527" s="219"/>
      <c r="B527" s="219"/>
      <c r="C527" s="219"/>
      <c r="D527" s="595"/>
      <c r="E527" s="596"/>
      <c r="F527" s="596"/>
      <c r="G527" s="597"/>
      <c r="H527" s="253"/>
      <c r="I527" s="595"/>
      <c r="J527" s="596"/>
      <c r="K527" s="596"/>
      <c r="L527" s="597"/>
      <c r="M527" s="253"/>
      <c r="N527" s="595"/>
      <c r="O527" s="596"/>
      <c r="P527" s="596"/>
      <c r="Q527" s="597"/>
      <c r="R527" s="253"/>
      <c r="S527" s="595"/>
      <c r="T527" s="596"/>
      <c r="U527" s="596"/>
      <c r="V527" s="597"/>
      <c r="W527" s="253"/>
      <c r="X527" s="275"/>
      <c r="Y527" s="275"/>
      <c r="Z527" s="276"/>
      <c r="AA527" s="277"/>
      <c r="AB527" s="219"/>
    </row>
    <row r="528" spans="1:28" ht="13.9" customHeight="1" x14ac:dyDescent="0.25">
      <c r="A528" s="219"/>
      <c r="B528" s="219"/>
      <c r="C528" s="219"/>
      <c r="D528" s="598" t="s">
        <v>210</v>
      </c>
      <c r="E528" s="599"/>
      <c r="F528" s="599"/>
      <c r="G528" s="600"/>
      <c r="H528" s="253"/>
      <c r="I528" s="754" t="s">
        <v>214</v>
      </c>
      <c r="J528" s="755"/>
      <c r="K528" s="755"/>
      <c r="L528" s="756"/>
      <c r="M528" s="253"/>
      <c r="N528" s="749" t="s">
        <v>209</v>
      </c>
      <c r="O528" s="647"/>
      <c r="P528" s="647"/>
      <c r="Q528" s="750"/>
      <c r="R528" s="253"/>
      <c r="S528" s="751" t="s">
        <v>415</v>
      </c>
      <c r="T528" s="751"/>
      <c r="U528" s="751"/>
      <c r="V528" s="751"/>
      <c r="W528" s="253"/>
      <c r="X528" s="275"/>
      <c r="Y528" s="275"/>
      <c r="Z528" s="276"/>
      <c r="AA528" s="277"/>
      <c r="AB528" s="219"/>
    </row>
    <row r="529" spans="1:28" ht="27" customHeight="1" x14ac:dyDescent="0.2">
      <c r="A529" s="219"/>
      <c r="B529" s="219"/>
      <c r="C529" s="219"/>
      <c r="D529" s="601" t="s">
        <v>685</v>
      </c>
      <c r="E529" s="602"/>
      <c r="F529" s="603"/>
      <c r="G529" s="604"/>
      <c r="H529" s="266"/>
      <c r="I529" s="601" t="s">
        <v>684</v>
      </c>
      <c r="J529" s="602"/>
      <c r="K529" s="603"/>
      <c r="L529" s="604"/>
      <c r="M529" s="253"/>
      <c r="N529" s="601" t="s">
        <v>680</v>
      </c>
      <c r="O529" s="602"/>
      <c r="P529" s="603"/>
      <c r="Q529" s="604"/>
      <c r="R529" s="266"/>
      <c r="S529" s="857" t="s">
        <v>681</v>
      </c>
      <c r="T529" s="858"/>
      <c r="U529" s="859"/>
      <c r="V529" s="860"/>
      <c r="W529" s="253"/>
      <c r="X529" s="275"/>
      <c r="Y529" s="275"/>
      <c r="Z529" s="276"/>
      <c r="AA529" s="277"/>
      <c r="AB529" s="219"/>
    </row>
    <row r="530" spans="1:28" ht="16.149999999999999" customHeight="1" x14ac:dyDescent="0.25">
      <c r="A530" s="219"/>
      <c r="B530" s="219"/>
      <c r="C530" s="219"/>
      <c r="D530" s="831">
        <v>55</v>
      </c>
      <c r="E530" s="622"/>
      <c r="F530" s="832">
        <v>0</v>
      </c>
      <c r="G530" s="832"/>
      <c r="H530" s="253"/>
      <c r="I530" s="831">
        <v>15</v>
      </c>
      <c r="J530" s="622"/>
      <c r="K530" s="832">
        <v>0</v>
      </c>
      <c r="L530" s="832"/>
      <c r="M530" s="253"/>
      <c r="N530" s="861">
        <v>9</v>
      </c>
      <c r="O530" s="862"/>
      <c r="P530" s="863">
        <v>0</v>
      </c>
      <c r="Q530" s="864"/>
      <c r="R530" s="253"/>
      <c r="S530" s="831">
        <v>34</v>
      </c>
      <c r="T530" s="622"/>
      <c r="U530" s="832">
        <v>0</v>
      </c>
      <c r="V530" s="832"/>
      <c r="W530" s="253"/>
      <c r="X530" s="275"/>
      <c r="Y530" s="275"/>
      <c r="Z530" s="276"/>
      <c r="AA530" s="277"/>
      <c r="AB530" s="219"/>
    </row>
    <row r="531" spans="1:28" ht="27" customHeight="1" x14ac:dyDescent="0.2">
      <c r="A531" s="219"/>
      <c r="B531" s="578"/>
      <c r="C531" s="578"/>
      <c r="D531" s="579"/>
      <c r="E531" s="580"/>
      <c r="F531" s="581"/>
      <c r="G531" s="582"/>
      <c r="H531" s="583"/>
      <c r="I531" s="579"/>
      <c r="J531" s="580"/>
      <c r="K531" s="581"/>
      <c r="L531" s="582"/>
      <c r="M531" s="583"/>
      <c r="N531" s="579"/>
      <c r="O531" s="580"/>
      <c r="P531" s="581"/>
      <c r="Q531" s="582"/>
      <c r="R531" s="583"/>
      <c r="S531" s="584"/>
      <c r="T531" s="584"/>
      <c r="U531" s="585"/>
      <c r="V531" s="586"/>
      <c r="W531" s="583"/>
      <c r="X531" s="584"/>
      <c r="Y531" s="584"/>
      <c r="Z531" s="585"/>
      <c r="AA531" s="586"/>
      <c r="AB531" s="578"/>
    </row>
    <row r="532" spans="1:28" ht="27" customHeight="1" x14ac:dyDescent="0.2">
      <c r="A532" s="219"/>
      <c r="B532" s="219"/>
      <c r="C532" s="219"/>
      <c r="D532" s="769" t="s">
        <v>514</v>
      </c>
      <c r="E532" s="769"/>
      <c r="F532" s="769"/>
      <c r="G532" s="769"/>
      <c r="H532" s="769"/>
      <c r="I532" s="769"/>
      <c r="J532" s="769"/>
      <c r="K532" s="769"/>
      <c r="L532" s="769"/>
      <c r="M532" s="769"/>
      <c r="N532" s="769"/>
      <c r="O532" s="769"/>
      <c r="P532" s="769"/>
      <c r="Q532" s="769"/>
      <c r="R532" s="769"/>
      <c r="S532" s="769"/>
      <c r="T532" s="769"/>
      <c r="U532" s="769"/>
      <c r="V532" s="769"/>
      <c r="W532" s="769"/>
      <c r="X532" s="769"/>
      <c r="Y532" s="769"/>
      <c r="Z532" s="769"/>
      <c r="AA532" s="769"/>
      <c r="AB532" s="219"/>
    </row>
    <row r="533" spans="1:28" ht="27" customHeight="1" x14ac:dyDescent="0.2">
      <c r="A533" s="219"/>
      <c r="B533" s="219"/>
      <c r="C533" s="219"/>
      <c r="D533" s="268"/>
      <c r="E533" s="258"/>
      <c r="F533" s="267"/>
      <c r="G533" s="260"/>
      <c r="H533" s="250"/>
      <c r="I533" s="268"/>
      <c r="J533" s="258"/>
      <c r="K533" s="267"/>
      <c r="L533" s="260"/>
      <c r="M533" s="250"/>
      <c r="N533" s="268"/>
      <c r="O533" s="258"/>
      <c r="P533" s="267"/>
      <c r="Q533" s="260"/>
      <c r="R533" s="250"/>
      <c r="S533" s="263"/>
      <c r="T533" s="263"/>
      <c r="U533" s="271"/>
      <c r="V533" s="264"/>
      <c r="W533" s="250"/>
      <c r="X533" s="263"/>
      <c r="Y533" s="263"/>
      <c r="Z533" s="271"/>
      <c r="AA533" s="264"/>
      <c r="AB533" s="219"/>
    </row>
    <row r="534" spans="1:28" ht="13.9" customHeight="1" x14ac:dyDescent="0.2">
      <c r="A534" s="219"/>
      <c r="B534" s="219"/>
      <c r="C534" s="219"/>
      <c r="D534" s="616"/>
      <c r="E534" s="617"/>
      <c r="F534" s="617"/>
      <c r="G534" s="618"/>
      <c r="H534" s="253"/>
      <c r="I534" s="676"/>
      <c r="J534" s="677"/>
      <c r="K534" s="677"/>
      <c r="L534" s="678"/>
      <c r="M534" s="253"/>
      <c r="N534" s="616"/>
      <c r="O534" s="617"/>
      <c r="P534" s="617"/>
      <c r="Q534" s="618"/>
      <c r="R534" s="253"/>
      <c r="S534" s="616"/>
      <c r="T534" s="617"/>
      <c r="U534" s="617"/>
      <c r="V534" s="618"/>
      <c r="W534" s="253"/>
      <c r="X534" s="616"/>
      <c r="Y534" s="617"/>
      <c r="Z534" s="617"/>
      <c r="AA534" s="618"/>
      <c r="AB534" s="219"/>
    </row>
    <row r="535" spans="1:28" ht="13.9" customHeight="1" x14ac:dyDescent="0.2">
      <c r="A535" s="219"/>
      <c r="B535" s="219"/>
      <c r="C535" s="219"/>
      <c r="D535" s="631"/>
      <c r="E535" s="632"/>
      <c r="F535" s="632"/>
      <c r="G535" s="633"/>
      <c r="H535" s="253"/>
      <c r="I535" s="679"/>
      <c r="J535" s="680"/>
      <c r="K535" s="680"/>
      <c r="L535" s="681"/>
      <c r="M535" s="253"/>
      <c r="N535" s="631"/>
      <c r="O535" s="632"/>
      <c r="P535" s="632"/>
      <c r="Q535" s="633"/>
      <c r="R535" s="253"/>
      <c r="S535" s="631"/>
      <c r="T535" s="632"/>
      <c r="U535" s="632"/>
      <c r="V535" s="633"/>
      <c r="W535" s="253"/>
      <c r="X535" s="631"/>
      <c r="Y535" s="632"/>
      <c r="Z535" s="632"/>
      <c r="AA535" s="633"/>
      <c r="AB535" s="219"/>
    </row>
    <row r="536" spans="1:28" ht="13.9" customHeight="1" x14ac:dyDescent="0.2">
      <c r="A536" s="219"/>
      <c r="B536" s="219"/>
      <c r="C536" s="219"/>
      <c r="D536" s="631"/>
      <c r="E536" s="632"/>
      <c r="F536" s="632"/>
      <c r="G536" s="633"/>
      <c r="H536" s="253"/>
      <c r="I536" s="679"/>
      <c r="J536" s="680"/>
      <c r="K536" s="680"/>
      <c r="L536" s="681"/>
      <c r="M536" s="253"/>
      <c r="N536" s="272"/>
      <c r="O536" s="273"/>
      <c r="P536" s="273"/>
      <c r="Q536" s="274"/>
      <c r="R536" s="253"/>
      <c r="S536" s="272"/>
      <c r="T536" s="273"/>
      <c r="U536" s="273"/>
      <c r="V536" s="274"/>
      <c r="W536" s="253"/>
      <c r="X536" s="272"/>
      <c r="Y536" s="273"/>
      <c r="Z536" s="273"/>
      <c r="AA536" s="274"/>
      <c r="AB536" s="219"/>
    </row>
    <row r="537" spans="1:28" ht="13.9" customHeight="1" x14ac:dyDescent="0.2">
      <c r="A537" s="219"/>
      <c r="B537" s="219"/>
      <c r="C537" s="219"/>
      <c r="D537" s="631"/>
      <c r="E537" s="632"/>
      <c r="F537" s="632"/>
      <c r="G537" s="633"/>
      <c r="H537" s="253"/>
      <c r="I537" s="679"/>
      <c r="J537" s="680"/>
      <c r="K537" s="680"/>
      <c r="L537" s="681"/>
      <c r="M537" s="253"/>
      <c r="N537" s="631"/>
      <c r="O537" s="632"/>
      <c r="P537" s="632"/>
      <c r="Q537" s="633"/>
      <c r="R537" s="253"/>
      <c r="S537" s="631"/>
      <c r="T537" s="632"/>
      <c r="U537" s="632"/>
      <c r="V537" s="633"/>
      <c r="W537" s="253"/>
      <c r="X537" s="631"/>
      <c r="Y537" s="632"/>
      <c r="Z537" s="632"/>
      <c r="AA537" s="633"/>
      <c r="AB537" s="219"/>
    </row>
    <row r="538" spans="1:28" ht="13.9" customHeight="1" x14ac:dyDescent="0.2">
      <c r="A538" s="219"/>
      <c r="B538" s="219"/>
      <c r="C538" s="219"/>
      <c r="D538" s="631"/>
      <c r="E538" s="632"/>
      <c r="F538" s="632"/>
      <c r="G538" s="633"/>
      <c r="H538" s="253"/>
      <c r="I538" s="679"/>
      <c r="J538" s="680"/>
      <c r="K538" s="680"/>
      <c r="L538" s="681"/>
      <c r="M538" s="253"/>
      <c r="N538" s="631"/>
      <c r="O538" s="632"/>
      <c r="P538" s="632"/>
      <c r="Q538" s="633"/>
      <c r="R538" s="253"/>
      <c r="S538" s="631"/>
      <c r="T538" s="632"/>
      <c r="U538" s="632"/>
      <c r="V538" s="633"/>
      <c r="W538" s="253"/>
      <c r="X538" s="631"/>
      <c r="Y538" s="632"/>
      <c r="Z538" s="632"/>
      <c r="AA538" s="633"/>
      <c r="AB538" s="219"/>
    </row>
    <row r="539" spans="1:28" ht="13.9" customHeight="1" x14ac:dyDescent="0.2">
      <c r="A539" s="219"/>
      <c r="B539" s="219"/>
      <c r="C539" s="219"/>
      <c r="D539" s="595"/>
      <c r="E539" s="596"/>
      <c r="F539" s="596"/>
      <c r="G539" s="597"/>
      <c r="H539" s="253"/>
      <c r="I539" s="682"/>
      <c r="J539" s="683"/>
      <c r="K539" s="683"/>
      <c r="L539" s="684"/>
      <c r="M539" s="253"/>
      <c r="N539" s="595"/>
      <c r="O539" s="596"/>
      <c r="P539" s="596"/>
      <c r="Q539" s="597"/>
      <c r="R539" s="253"/>
      <c r="S539" s="595"/>
      <c r="T539" s="596"/>
      <c r="U539" s="596"/>
      <c r="V539" s="597"/>
      <c r="W539" s="253"/>
      <c r="X539" s="595"/>
      <c r="Y539" s="596"/>
      <c r="Z539" s="596"/>
      <c r="AA539" s="597"/>
      <c r="AB539" s="219"/>
    </row>
    <row r="540" spans="1:28" ht="13.9" customHeight="1" x14ac:dyDescent="0.25">
      <c r="A540" s="219"/>
      <c r="B540" s="219"/>
      <c r="C540" s="219"/>
      <c r="D540" s="598" t="s">
        <v>515</v>
      </c>
      <c r="E540" s="599"/>
      <c r="F540" s="599"/>
      <c r="G540" s="600"/>
      <c r="H540" s="253"/>
      <c r="I540" s="598" t="s">
        <v>516</v>
      </c>
      <c r="J540" s="599"/>
      <c r="K540" s="599"/>
      <c r="L540" s="600"/>
      <c r="M540" s="253"/>
      <c r="N540" s="598" t="s">
        <v>517</v>
      </c>
      <c r="O540" s="599"/>
      <c r="P540" s="599"/>
      <c r="Q540" s="600"/>
      <c r="R540" s="253"/>
      <c r="S540" s="598" t="s">
        <v>518</v>
      </c>
      <c r="T540" s="599"/>
      <c r="U540" s="599"/>
      <c r="V540" s="600"/>
      <c r="W540" s="253"/>
      <c r="X540" s="598" t="s">
        <v>519</v>
      </c>
      <c r="Y540" s="599"/>
      <c r="Z540" s="599"/>
      <c r="AA540" s="600"/>
      <c r="AB540" s="219"/>
    </row>
    <row r="541" spans="1:28" ht="27" customHeight="1" x14ac:dyDescent="0.2">
      <c r="A541" s="219"/>
      <c r="B541" s="219"/>
      <c r="C541" s="219"/>
      <c r="D541" s="601" t="s">
        <v>686</v>
      </c>
      <c r="E541" s="602"/>
      <c r="F541" s="603"/>
      <c r="G541" s="604"/>
      <c r="H541" s="266"/>
      <c r="I541" s="601" t="s">
        <v>687</v>
      </c>
      <c r="J541" s="602"/>
      <c r="K541" s="603"/>
      <c r="L541" s="604"/>
      <c r="M541" s="266"/>
      <c r="N541" s="601" t="s">
        <v>522</v>
      </c>
      <c r="O541" s="602"/>
      <c r="P541" s="603"/>
      <c r="Q541" s="604"/>
      <c r="R541" s="266"/>
      <c r="S541" s="601" t="s">
        <v>520</v>
      </c>
      <c r="T541" s="602"/>
      <c r="U541" s="603"/>
      <c r="V541" s="604"/>
      <c r="W541" s="266"/>
      <c r="X541" s="601" t="s">
        <v>521</v>
      </c>
      <c r="Y541" s="602"/>
      <c r="Z541" s="603"/>
      <c r="AA541" s="604"/>
      <c r="AB541" s="219"/>
    </row>
    <row r="542" spans="1:28" ht="16.149999999999999" customHeight="1" x14ac:dyDescent="0.25">
      <c r="A542" s="219"/>
      <c r="B542" s="219"/>
      <c r="C542" s="219"/>
      <c r="D542" s="612">
        <v>28</v>
      </c>
      <c r="E542" s="613"/>
      <c r="F542" s="623">
        <v>0</v>
      </c>
      <c r="G542" s="624"/>
      <c r="H542" s="253"/>
      <c r="I542" s="612">
        <v>32</v>
      </c>
      <c r="J542" s="613"/>
      <c r="K542" s="623">
        <v>0</v>
      </c>
      <c r="L542" s="624"/>
      <c r="M542" s="253"/>
      <c r="N542" s="612">
        <v>6.75</v>
      </c>
      <c r="O542" s="613"/>
      <c r="P542" s="623">
        <v>0</v>
      </c>
      <c r="Q542" s="624"/>
      <c r="R542" s="253"/>
      <c r="S542" s="612">
        <v>4.75</v>
      </c>
      <c r="T542" s="613"/>
      <c r="U542" s="623"/>
      <c r="V542" s="624"/>
      <c r="W542" s="253"/>
      <c r="X542" s="612">
        <v>12</v>
      </c>
      <c r="Y542" s="613"/>
      <c r="Z542" s="623">
        <v>0</v>
      </c>
      <c r="AA542" s="624"/>
      <c r="AB542" s="219"/>
    </row>
    <row r="543" spans="1:28" ht="27" customHeight="1" x14ac:dyDescent="0.25">
      <c r="A543" s="219"/>
      <c r="B543" s="219"/>
      <c r="C543" s="219"/>
      <c r="D543" s="497"/>
      <c r="E543" s="497"/>
      <c r="F543" s="485"/>
      <c r="G543" s="485"/>
      <c r="H543" s="253"/>
      <c r="I543" s="497"/>
      <c r="J543" s="497"/>
      <c r="K543" s="485"/>
      <c r="L543" s="485"/>
      <c r="M543" s="253"/>
      <c r="N543" s="497"/>
      <c r="O543" s="497"/>
      <c r="P543" s="485"/>
      <c r="Q543" s="485"/>
      <c r="R543" s="253"/>
      <c r="S543" s="497"/>
      <c r="T543" s="497"/>
      <c r="U543" s="485"/>
      <c r="V543" s="485"/>
      <c r="W543" s="253"/>
      <c r="X543" s="497"/>
      <c r="Y543" s="497"/>
      <c r="Z543" s="485"/>
      <c r="AA543" s="485"/>
      <c r="AB543" s="219"/>
    </row>
    <row r="544" spans="1:28" ht="13.9" customHeight="1" x14ac:dyDescent="0.2">
      <c r="A544" s="219"/>
      <c r="B544" s="219"/>
      <c r="C544" s="219"/>
      <c r="D544" s="616"/>
      <c r="E544" s="617"/>
      <c r="F544" s="617"/>
      <c r="G544" s="618"/>
      <c r="H544" s="253"/>
      <c r="I544" s="676"/>
      <c r="J544" s="677"/>
      <c r="K544" s="677"/>
      <c r="L544" s="678"/>
      <c r="M544" s="253"/>
      <c r="N544" s="616"/>
      <c r="O544" s="617"/>
      <c r="P544" s="617"/>
      <c r="Q544" s="618"/>
      <c r="R544" s="253"/>
      <c r="S544" s="694"/>
      <c r="T544" s="695"/>
      <c r="U544" s="695"/>
      <c r="V544" s="696"/>
      <c r="W544" s="253"/>
      <c r="X544" s="616"/>
      <c r="Y544" s="617"/>
      <c r="Z544" s="617"/>
      <c r="AA544" s="618"/>
      <c r="AB544" s="219"/>
    </row>
    <row r="545" spans="1:28" ht="13.9" customHeight="1" x14ac:dyDescent="0.2">
      <c r="A545" s="219"/>
      <c r="B545" s="219"/>
      <c r="C545" s="219"/>
      <c r="D545" s="631"/>
      <c r="E545" s="632"/>
      <c r="F545" s="632"/>
      <c r="G545" s="633"/>
      <c r="H545" s="253"/>
      <c r="I545" s="679"/>
      <c r="J545" s="680"/>
      <c r="K545" s="680"/>
      <c r="L545" s="681"/>
      <c r="M545" s="253"/>
      <c r="N545" s="631"/>
      <c r="O545" s="632"/>
      <c r="P545" s="632"/>
      <c r="Q545" s="633"/>
      <c r="R545" s="253"/>
      <c r="S545" s="697"/>
      <c r="T545" s="698"/>
      <c r="U545" s="698"/>
      <c r="V545" s="699"/>
      <c r="W545" s="253"/>
      <c r="X545" s="631"/>
      <c r="Y545" s="632"/>
      <c r="Z545" s="632"/>
      <c r="AA545" s="633"/>
      <c r="AB545" s="219"/>
    </row>
    <row r="546" spans="1:28" ht="13.9" customHeight="1" x14ac:dyDescent="0.2">
      <c r="A546" s="219"/>
      <c r="B546" s="219"/>
      <c r="C546" s="219"/>
      <c r="D546" s="631"/>
      <c r="E546" s="632"/>
      <c r="F546" s="632"/>
      <c r="G546" s="633"/>
      <c r="H546" s="253"/>
      <c r="I546" s="679"/>
      <c r="J546" s="680"/>
      <c r="K546" s="680"/>
      <c r="L546" s="681"/>
      <c r="M546" s="253"/>
      <c r="N546" s="272"/>
      <c r="O546" s="273"/>
      <c r="P546" s="273"/>
      <c r="Q546" s="274"/>
      <c r="R546" s="253"/>
      <c r="S546" s="564"/>
      <c r="T546" s="565"/>
      <c r="U546" s="565"/>
      <c r="V546" s="566"/>
      <c r="W546" s="253"/>
      <c r="X546" s="272"/>
      <c r="Y546" s="273"/>
      <c r="Z546" s="273"/>
      <c r="AA546" s="274"/>
      <c r="AB546" s="219"/>
    </row>
    <row r="547" spans="1:28" ht="13.9" customHeight="1" x14ac:dyDescent="0.2">
      <c r="A547" s="219"/>
      <c r="B547" s="219"/>
      <c r="C547" s="219"/>
      <c r="D547" s="631"/>
      <c r="E547" s="632"/>
      <c r="F547" s="632"/>
      <c r="G547" s="633"/>
      <c r="H547" s="253"/>
      <c r="I547" s="679"/>
      <c r="J547" s="680"/>
      <c r="K547" s="680"/>
      <c r="L547" s="681"/>
      <c r="M547" s="253"/>
      <c r="N547" s="631"/>
      <c r="O547" s="632"/>
      <c r="P547" s="632"/>
      <c r="Q547" s="633"/>
      <c r="R547" s="253"/>
      <c r="S547" s="697"/>
      <c r="T547" s="698"/>
      <c r="U547" s="698"/>
      <c r="V547" s="699"/>
      <c r="W547" s="253"/>
      <c r="X547" s="631"/>
      <c r="Y547" s="632"/>
      <c r="Z547" s="632"/>
      <c r="AA547" s="633"/>
      <c r="AB547" s="219"/>
    </row>
    <row r="548" spans="1:28" ht="13.9" customHeight="1" x14ac:dyDescent="0.2">
      <c r="A548" s="219"/>
      <c r="B548" s="219"/>
      <c r="C548" s="219"/>
      <c r="D548" s="631"/>
      <c r="E548" s="632"/>
      <c r="F548" s="632"/>
      <c r="G548" s="633"/>
      <c r="H548" s="253"/>
      <c r="I548" s="679"/>
      <c r="J548" s="680"/>
      <c r="K548" s="680"/>
      <c r="L548" s="681"/>
      <c r="M548" s="253"/>
      <c r="N548" s="631"/>
      <c r="O548" s="632"/>
      <c r="P548" s="632"/>
      <c r="Q548" s="633"/>
      <c r="R548" s="253"/>
      <c r="S548" s="697"/>
      <c r="T548" s="698"/>
      <c r="U548" s="698"/>
      <c r="V548" s="699"/>
      <c r="W548" s="253"/>
      <c r="X548" s="631"/>
      <c r="Y548" s="632"/>
      <c r="Z548" s="632"/>
      <c r="AA548" s="633"/>
      <c r="AB548" s="219"/>
    </row>
    <row r="549" spans="1:28" ht="13.9" customHeight="1" x14ac:dyDescent="0.2">
      <c r="A549" s="219"/>
      <c r="B549" s="219"/>
      <c r="C549" s="219"/>
      <c r="D549" s="595"/>
      <c r="E549" s="596"/>
      <c r="F549" s="596"/>
      <c r="G549" s="597"/>
      <c r="H549" s="253"/>
      <c r="I549" s="682"/>
      <c r="J549" s="683"/>
      <c r="K549" s="683"/>
      <c r="L549" s="684"/>
      <c r="M549" s="253"/>
      <c r="N549" s="595"/>
      <c r="O549" s="596"/>
      <c r="P549" s="596"/>
      <c r="Q549" s="597"/>
      <c r="R549" s="253"/>
      <c r="S549" s="700"/>
      <c r="T549" s="701"/>
      <c r="U549" s="701"/>
      <c r="V549" s="702"/>
      <c r="W549" s="253"/>
      <c r="X549" s="595"/>
      <c r="Y549" s="596"/>
      <c r="Z549" s="596"/>
      <c r="AA549" s="597"/>
      <c r="AB549" s="219"/>
    </row>
    <row r="550" spans="1:28" ht="13.9" customHeight="1" x14ac:dyDescent="0.25">
      <c r="A550" s="219"/>
      <c r="B550" s="219"/>
      <c r="C550" s="219"/>
      <c r="D550" s="598" t="s">
        <v>531</v>
      </c>
      <c r="E550" s="599"/>
      <c r="F550" s="599"/>
      <c r="G550" s="600"/>
      <c r="H550" s="253"/>
      <c r="I550" s="598" t="s">
        <v>590</v>
      </c>
      <c r="J550" s="599"/>
      <c r="K550" s="599"/>
      <c r="L550" s="600"/>
      <c r="M550" s="253"/>
      <c r="N550" s="598" t="s">
        <v>532</v>
      </c>
      <c r="O550" s="599"/>
      <c r="P550" s="599"/>
      <c r="Q550" s="600"/>
      <c r="R550" s="253"/>
      <c r="S550" s="685" t="s">
        <v>978</v>
      </c>
      <c r="T550" s="686"/>
      <c r="U550" s="686"/>
      <c r="V550" s="687"/>
      <c r="W550" s="253"/>
      <c r="X550" s="598" t="s">
        <v>195</v>
      </c>
      <c r="Y550" s="599"/>
      <c r="Z550" s="599"/>
      <c r="AA550" s="600"/>
      <c r="AB550" s="219"/>
    </row>
    <row r="551" spans="1:28" ht="27" customHeight="1" x14ac:dyDescent="0.2">
      <c r="A551" s="219"/>
      <c r="B551" s="219"/>
      <c r="C551" s="219"/>
      <c r="D551" s="601" t="s">
        <v>878</v>
      </c>
      <c r="E551" s="602"/>
      <c r="F551" s="603"/>
      <c r="G551" s="604"/>
      <c r="H551" s="266"/>
      <c r="I551" s="601" t="s">
        <v>879</v>
      </c>
      <c r="J551" s="602"/>
      <c r="K551" s="603"/>
      <c r="L551" s="604"/>
      <c r="M551" s="266"/>
      <c r="N551" s="601" t="s">
        <v>890</v>
      </c>
      <c r="O551" s="602"/>
      <c r="P551" s="603"/>
      <c r="Q551" s="604"/>
      <c r="R551" s="266"/>
      <c r="S551" s="688"/>
      <c r="T551" s="689"/>
      <c r="U551" s="690"/>
      <c r="V551" s="691"/>
      <c r="W551" s="266"/>
      <c r="X551" s="601" t="s">
        <v>652</v>
      </c>
      <c r="Y551" s="602"/>
      <c r="Z551" s="603"/>
      <c r="AA551" s="604"/>
      <c r="AB551" s="219"/>
    </row>
    <row r="552" spans="1:28" ht="16.149999999999999" customHeight="1" x14ac:dyDescent="0.25">
      <c r="A552" s="219"/>
      <c r="B552" s="219"/>
      <c r="C552" s="219"/>
      <c r="D552" s="612">
        <v>155</v>
      </c>
      <c r="E552" s="613"/>
      <c r="F552" s="623">
        <v>0</v>
      </c>
      <c r="G552" s="624"/>
      <c r="H552" s="253"/>
      <c r="I552" s="612">
        <v>80</v>
      </c>
      <c r="J552" s="613"/>
      <c r="K552" s="623">
        <v>0</v>
      </c>
      <c r="L552" s="624"/>
      <c r="M552" s="253"/>
      <c r="N552" s="612">
        <v>90</v>
      </c>
      <c r="O552" s="613"/>
      <c r="P552" s="623">
        <v>0</v>
      </c>
      <c r="Q552" s="624"/>
      <c r="R552" s="253"/>
      <c r="S552" s="692">
        <v>85</v>
      </c>
      <c r="T552" s="693"/>
      <c r="U552" s="623">
        <v>0</v>
      </c>
      <c r="V552" s="624"/>
      <c r="W552" s="253"/>
      <c r="X552" s="622">
        <v>105</v>
      </c>
      <c r="Y552" s="607"/>
      <c r="Z552" s="623">
        <v>0</v>
      </c>
      <c r="AA552" s="624"/>
      <c r="AB552" s="219"/>
    </row>
    <row r="553" spans="1:28" ht="27" customHeight="1" x14ac:dyDescent="0.25">
      <c r="A553" s="219"/>
      <c r="B553" s="219"/>
      <c r="C553" s="219"/>
      <c r="D553" s="497"/>
      <c r="E553" s="497"/>
      <c r="F553" s="485"/>
      <c r="G553" s="485"/>
      <c r="H553" s="253"/>
      <c r="I553" s="497"/>
      <c r="J553" s="497"/>
      <c r="K553" s="485"/>
      <c r="L553" s="485"/>
      <c r="M553" s="253"/>
      <c r="N553" s="497"/>
      <c r="O553" s="497"/>
      <c r="P553" s="485"/>
      <c r="Q553" s="485"/>
      <c r="R553" s="253"/>
      <c r="S553" s="497"/>
      <c r="T553" s="497"/>
      <c r="U553" s="485"/>
      <c r="V553" s="485"/>
      <c r="W553" s="253"/>
      <c r="X553" s="497"/>
      <c r="Y553" s="497"/>
      <c r="Z553" s="485"/>
      <c r="AA553" s="485"/>
      <c r="AB553" s="219"/>
    </row>
    <row r="554" spans="1:28" ht="13.9" customHeight="1" x14ac:dyDescent="0.2">
      <c r="A554" s="219"/>
      <c r="B554" s="219"/>
      <c r="C554" s="219"/>
      <c r="D554" s="616"/>
      <c r="E554" s="617"/>
      <c r="F554" s="617"/>
      <c r="G554" s="618"/>
      <c r="H554" s="253"/>
      <c r="I554" s="676"/>
      <c r="J554" s="677"/>
      <c r="K554" s="677"/>
      <c r="L554" s="678"/>
      <c r="M554" s="253"/>
      <c r="N554" s="676"/>
      <c r="O554" s="677"/>
      <c r="P554" s="677"/>
      <c r="Q554" s="678"/>
      <c r="R554" s="253"/>
      <c r="S554" s="616"/>
      <c r="T554" s="617"/>
      <c r="U554" s="617"/>
      <c r="V554" s="618"/>
      <c r="W554" s="253"/>
      <c r="X554" s="616"/>
      <c r="Y554" s="617"/>
      <c r="Z554" s="617"/>
      <c r="AA554" s="618"/>
      <c r="AB554" s="219"/>
    </row>
    <row r="555" spans="1:28" ht="13.9" customHeight="1" x14ac:dyDescent="0.2">
      <c r="A555" s="219"/>
      <c r="B555" s="219"/>
      <c r="C555" s="219"/>
      <c r="D555" s="631"/>
      <c r="E555" s="632"/>
      <c r="F555" s="632"/>
      <c r="G555" s="633"/>
      <c r="H555" s="253"/>
      <c r="I555" s="679"/>
      <c r="J555" s="680"/>
      <c r="K555" s="680"/>
      <c r="L555" s="681"/>
      <c r="M555" s="253"/>
      <c r="N555" s="679"/>
      <c r="O555" s="680"/>
      <c r="P555" s="680"/>
      <c r="Q555" s="681"/>
      <c r="R555" s="253"/>
      <c r="S555" s="631"/>
      <c r="T555" s="632"/>
      <c r="U555" s="632"/>
      <c r="V555" s="633"/>
      <c r="W555" s="253"/>
      <c r="X555" s="631"/>
      <c r="Y555" s="632"/>
      <c r="Z555" s="632"/>
      <c r="AA555" s="633"/>
      <c r="AB555" s="219"/>
    </row>
    <row r="556" spans="1:28" ht="13.9" customHeight="1" x14ac:dyDescent="0.2">
      <c r="A556" s="219"/>
      <c r="B556" s="219"/>
      <c r="C556" s="219"/>
      <c r="D556" s="631"/>
      <c r="E556" s="632"/>
      <c r="F556" s="632"/>
      <c r="G556" s="633"/>
      <c r="H556" s="253"/>
      <c r="I556" s="679"/>
      <c r="J556" s="680"/>
      <c r="K556" s="680"/>
      <c r="L556" s="681"/>
      <c r="M556" s="253"/>
      <c r="N556" s="679"/>
      <c r="O556" s="680"/>
      <c r="P556" s="680"/>
      <c r="Q556" s="681"/>
      <c r="R556" s="253"/>
      <c r="S556" s="272"/>
      <c r="T556" s="273"/>
      <c r="U556" s="273"/>
      <c r="V556" s="274"/>
      <c r="W556" s="253"/>
      <c r="X556" s="272"/>
      <c r="Y556" s="273"/>
      <c r="Z556" s="273"/>
      <c r="AA556" s="274"/>
      <c r="AB556" s="219"/>
    </row>
    <row r="557" spans="1:28" ht="13.9" customHeight="1" x14ac:dyDescent="0.2">
      <c r="A557" s="219"/>
      <c r="B557" s="219"/>
      <c r="C557" s="219"/>
      <c r="D557" s="631"/>
      <c r="E557" s="632"/>
      <c r="F557" s="632"/>
      <c r="G557" s="633"/>
      <c r="H557" s="253"/>
      <c r="I557" s="679"/>
      <c r="J557" s="680"/>
      <c r="K557" s="680"/>
      <c r="L557" s="681"/>
      <c r="M557" s="253"/>
      <c r="N557" s="679"/>
      <c r="O557" s="680"/>
      <c r="P557" s="680"/>
      <c r="Q557" s="681"/>
      <c r="R557" s="253"/>
      <c r="S557" s="631"/>
      <c r="T557" s="632"/>
      <c r="U557" s="632"/>
      <c r="V557" s="633"/>
      <c r="W557" s="253"/>
      <c r="X557" s="631"/>
      <c r="Y557" s="632"/>
      <c r="Z557" s="632"/>
      <c r="AA557" s="633"/>
      <c r="AB557" s="219"/>
    </row>
    <row r="558" spans="1:28" ht="13.9" customHeight="1" x14ac:dyDescent="0.2">
      <c r="A558" s="219"/>
      <c r="B558" s="219"/>
      <c r="C558" s="219"/>
      <c r="D558" s="631"/>
      <c r="E558" s="632"/>
      <c r="F558" s="632"/>
      <c r="G558" s="633"/>
      <c r="H558" s="253"/>
      <c r="I558" s="679"/>
      <c r="J558" s="680"/>
      <c r="K558" s="680"/>
      <c r="L558" s="681"/>
      <c r="M558" s="253"/>
      <c r="N558" s="679"/>
      <c r="O558" s="680"/>
      <c r="P558" s="680"/>
      <c r="Q558" s="681"/>
      <c r="R558" s="253"/>
      <c r="S558" s="631"/>
      <c r="T558" s="632"/>
      <c r="U558" s="632"/>
      <c r="V558" s="633"/>
      <c r="W558" s="253"/>
      <c r="X558" s="631"/>
      <c r="Y558" s="632"/>
      <c r="Z558" s="632"/>
      <c r="AA558" s="633"/>
      <c r="AB558" s="219"/>
    </row>
    <row r="559" spans="1:28" ht="13.9" customHeight="1" x14ac:dyDescent="0.2">
      <c r="A559" s="219"/>
      <c r="B559" s="219"/>
      <c r="C559" s="219"/>
      <c r="D559" s="595"/>
      <c r="E559" s="596"/>
      <c r="F559" s="596"/>
      <c r="G559" s="597"/>
      <c r="H559" s="253"/>
      <c r="I559" s="682"/>
      <c r="J559" s="683"/>
      <c r="K559" s="683"/>
      <c r="L559" s="684"/>
      <c r="M559" s="253"/>
      <c r="N559" s="682"/>
      <c r="O559" s="683"/>
      <c r="P559" s="683"/>
      <c r="Q559" s="684"/>
      <c r="R559" s="253"/>
      <c r="S559" s="595"/>
      <c r="T559" s="596"/>
      <c r="U559" s="596"/>
      <c r="V559" s="597"/>
      <c r="W559" s="253"/>
      <c r="X559" s="595"/>
      <c r="Y559" s="596"/>
      <c r="Z559" s="596"/>
      <c r="AA559" s="597"/>
      <c r="AB559" s="219"/>
    </row>
    <row r="560" spans="1:28" ht="13.9" customHeight="1" x14ac:dyDescent="0.25">
      <c r="A560" s="219"/>
      <c r="B560" s="219"/>
      <c r="C560" s="219"/>
      <c r="D560" s="598" t="s">
        <v>551</v>
      </c>
      <c r="E560" s="599"/>
      <c r="F560" s="599"/>
      <c r="G560" s="600"/>
      <c r="H560" s="253"/>
      <c r="I560" s="598" t="s">
        <v>552</v>
      </c>
      <c r="J560" s="599"/>
      <c r="K560" s="599"/>
      <c r="L560" s="600"/>
      <c r="M560" s="253"/>
      <c r="N560" s="598" t="s">
        <v>533</v>
      </c>
      <c r="O560" s="599"/>
      <c r="P560" s="599"/>
      <c r="Q560" s="600"/>
      <c r="R560" s="253"/>
      <c r="S560" s="598" t="s">
        <v>534</v>
      </c>
      <c r="T560" s="599"/>
      <c r="U560" s="599"/>
      <c r="V560" s="600"/>
      <c r="W560" s="253"/>
      <c r="X560" s="598" t="s">
        <v>535</v>
      </c>
      <c r="Y560" s="599"/>
      <c r="Z560" s="599"/>
      <c r="AA560" s="600"/>
      <c r="AB560" s="219"/>
    </row>
    <row r="561" spans="1:28" ht="27" customHeight="1" x14ac:dyDescent="0.2">
      <c r="A561" s="219"/>
      <c r="B561" s="219"/>
      <c r="C561" s="219"/>
      <c r="D561" s="601" t="s">
        <v>688</v>
      </c>
      <c r="E561" s="602"/>
      <c r="F561" s="603"/>
      <c r="G561" s="604"/>
      <c r="H561" s="266"/>
      <c r="I561" s="601" t="s">
        <v>553</v>
      </c>
      <c r="J561" s="602"/>
      <c r="K561" s="603"/>
      <c r="L561" s="604"/>
      <c r="M561" s="266"/>
      <c r="N561" s="601" t="s">
        <v>538</v>
      </c>
      <c r="O561" s="602"/>
      <c r="P561" s="603"/>
      <c r="Q561" s="604"/>
      <c r="R561" s="266"/>
      <c r="S561" s="601" t="s">
        <v>539</v>
      </c>
      <c r="T561" s="602"/>
      <c r="U561" s="603"/>
      <c r="V561" s="604"/>
      <c r="W561" s="266"/>
      <c r="X561" s="601" t="s">
        <v>540</v>
      </c>
      <c r="Y561" s="602"/>
      <c r="Z561" s="603"/>
      <c r="AA561" s="604"/>
      <c r="AB561" s="219"/>
    </row>
    <row r="562" spans="1:28" ht="16.149999999999999" customHeight="1" x14ac:dyDescent="0.25">
      <c r="A562" s="219"/>
      <c r="B562" s="219"/>
      <c r="C562" s="219"/>
      <c r="D562" s="612">
        <v>80</v>
      </c>
      <c r="E562" s="613"/>
      <c r="F562" s="623">
        <v>0</v>
      </c>
      <c r="G562" s="624"/>
      <c r="H562" s="253"/>
      <c r="I562" s="612">
        <v>120</v>
      </c>
      <c r="J562" s="613"/>
      <c r="K562" s="623">
        <v>0</v>
      </c>
      <c r="L562" s="624"/>
      <c r="M562" s="253"/>
      <c r="N562" s="612">
        <v>120</v>
      </c>
      <c r="O562" s="613"/>
      <c r="P562" s="623">
        <v>0</v>
      </c>
      <c r="Q562" s="624"/>
      <c r="R562" s="253"/>
      <c r="S562" s="612">
        <v>305</v>
      </c>
      <c r="T562" s="613"/>
      <c r="U562" s="623">
        <v>0</v>
      </c>
      <c r="V562" s="624"/>
      <c r="W562" s="253" t="s">
        <v>880</v>
      </c>
      <c r="X562" s="612">
        <v>400</v>
      </c>
      <c r="Y562" s="613"/>
      <c r="Z562" s="623">
        <v>0</v>
      </c>
      <c r="AA562" s="624"/>
      <c r="AB562" s="219"/>
    </row>
    <row r="563" spans="1:28" ht="27" customHeight="1" x14ac:dyDescent="0.25">
      <c r="A563" s="219"/>
      <c r="B563" s="219"/>
      <c r="C563" s="219"/>
      <c r="D563" s="497"/>
      <c r="E563" s="497"/>
      <c r="F563" s="485"/>
      <c r="G563" s="485"/>
      <c r="H563" s="253"/>
      <c r="I563" s="497"/>
      <c r="J563" s="497"/>
      <c r="K563" s="485"/>
      <c r="L563" s="485"/>
      <c r="M563" s="253"/>
      <c r="N563" s="497"/>
      <c r="O563" s="497"/>
      <c r="P563" s="485"/>
      <c r="Q563" s="485"/>
      <c r="R563" s="253"/>
      <c r="S563" s="497"/>
      <c r="T563" s="497"/>
      <c r="U563" s="485"/>
      <c r="V563" s="485"/>
      <c r="W563" s="253"/>
      <c r="X563" s="497"/>
      <c r="Y563" s="497"/>
      <c r="Z563" s="485"/>
      <c r="AA563" s="485"/>
      <c r="AB563" s="219"/>
    </row>
    <row r="564" spans="1:28" s="234" customFormat="1" ht="27" customHeight="1" x14ac:dyDescent="0.25">
      <c r="D564" s="498"/>
      <c r="E564" s="498"/>
      <c r="F564" s="499"/>
      <c r="G564" s="499"/>
      <c r="H564" s="500"/>
      <c r="I564" s="498"/>
      <c r="J564" s="498"/>
      <c r="K564" s="499"/>
      <c r="L564" s="499"/>
      <c r="M564" s="500"/>
      <c r="N564" s="498"/>
      <c r="O564" s="498"/>
      <c r="P564" s="499"/>
      <c r="Q564" s="499"/>
      <c r="R564" s="500"/>
      <c r="S564" s="498"/>
      <c r="T564" s="498"/>
      <c r="U564" s="499"/>
      <c r="V564" s="499"/>
      <c r="W564" s="500"/>
      <c r="X564" s="498"/>
      <c r="Y564" s="498"/>
      <c r="Z564" s="499"/>
      <c r="AA564" s="499"/>
    </row>
    <row r="565" spans="1:28" s="244" customFormat="1" ht="27" customHeight="1" x14ac:dyDescent="0.3">
      <c r="B565" s="354"/>
      <c r="C565" s="868"/>
      <c r="D565" s="869"/>
      <c r="E565" s="868"/>
      <c r="F565" s="868"/>
      <c r="G565" s="868"/>
      <c r="H565" s="868"/>
      <c r="I565" s="868"/>
      <c r="J565" s="868"/>
      <c r="K565" s="868"/>
      <c r="L565" s="868"/>
      <c r="M565" s="868"/>
      <c r="N565" s="868"/>
      <c r="O565" s="868"/>
      <c r="P565" s="868"/>
      <c r="Q565" s="868"/>
      <c r="R565" s="868"/>
      <c r="S565" s="868"/>
      <c r="T565" s="868"/>
      <c r="U565" s="868"/>
      <c r="V565" s="868"/>
      <c r="W565" s="868"/>
      <c r="X565" s="868"/>
      <c r="Y565" s="868"/>
      <c r="Z565" s="868"/>
      <c r="AA565" s="868"/>
      <c r="AB565" s="354"/>
    </row>
    <row r="566" spans="1:28" s="179" customFormat="1" ht="15" x14ac:dyDescent="0.25">
      <c r="D566" s="355"/>
      <c r="E566" s="829"/>
      <c r="F566" s="829"/>
      <c r="G566" s="829"/>
      <c r="H566" s="829"/>
      <c r="I566" s="829"/>
      <c r="J566" s="829"/>
      <c r="K566" s="829"/>
      <c r="L566" s="829"/>
      <c r="M566" s="829"/>
      <c r="N566" s="829"/>
      <c r="O566" s="829"/>
      <c r="P566" s="829"/>
      <c r="Q566" s="355"/>
      <c r="R566" s="174"/>
      <c r="S566" s="355"/>
      <c r="T566" s="356"/>
      <c r="U566" s="356"/>
      <c r="V566" s="356"/>
      <c r="W566" s="356"/>
      <c r="X566" s="356"/>
      <c r="Y566" s="356"/>
      <c r="Z566" s="356"/>
      <c r="AA566" s="356"/>
      <c r="AB566" s="356"/>
    </row>
    <row r="567" spans="1:28" s="179" customFormat="1" ht="18.75" x14ac:dyDescent="0.2">
      <c r="B567" s="357"/>
      <c r="C567" s="744"/>
      <c r="D567" s="744"/>
      <c r="E567" s="744"/>
      <c r="F567" s="744"/>
      <c r="G567" s="744"/>
      <c r="H567" s="744"/>
      <c r="I567" s="744"/>
      <c r="J567" s="744"/>
      <c r="K567" s="744"/>
      <c r="L567" s="744"/>
      <c r="M567" s="744"/>
      <c r="N567" s="744"/>
      <c r="O567" s="744"/>
      <c r="P567" s="744"/>
      <c r="Q567" s="744"/>
      <c r="R567" s="744"/>
      <c r="S567" s="744"/>
      <c r="T567" s="744"/>
      <c r="U567" s="744"/>
      <c r="V567" s="744"/>
      <c r="W567" s="744"/>
      <c r="X567" s="744"/>
      <c r="Y567" s="744"/>
      <c r="Z567" s="744"/>
      <c r="AA567" s="744"/>
      <c r="AB567" s="357"/>
    </row>
    <row r="568" spans="1:28" s="179" customFormat="1" ht="5.0999999999999996" customHeight="1" x14ac:dyDescent="0.2">
      <c r="B568" s="357"/>
      <c r="C568" s="357"/>
      <c r="D568" s="358"/>
      <c r="E568" s="358"/>
      <c r="F568" s="358"/>
      <c r="G568" s="358"/>
      <c r="H568" s="358"/>
      <c r="I568" s="358"/>
      <c r="J568" s="358"/>
      <c r="K568" s="358"/>
      <c r="L568" s="358"/>
      <c r="M568" s="358"/>
      <c r="N568" s="358"/>
      <c r="O568" s="358"/>
      <c r="P568" s="358"/>
      <c r="Q568" s="358"/>
      <c r="R568" s="358"/>
      <c r="S568" s="358"/>
      <c r="T568" s="358"/>
      <c r="U568" s="358"/>
      <c r="V568" s="358"/>
      <c r="W568" s="358"/>
      <c r="X568" s="358"/>
      <c r="Y568" s="358"/>
      <c r="Z568" s="358"/>
      <c r="AA568" s="358"/>
      <c r="AB568" s="358"/>
    </row>
    <row r="569" spans="1:28" s="179" customFormat="1" ht="22.5" customHeight="1" x14ac:dyDescent="0.3">
      <c r="B569" s="359"/>
      <c r="C569" s="359"/>
      <c r="D569" s="798"/>
      <c r="E569" s="798"/>
      <c r="F569" s="798"/>
      <c r="G569" s="798"/>
      <c r="H569" s="798"/>
      <c r="I569" s="798"/>
      <c r="J569" s="798"/>
      <c r="K569" s="798"/>
      <c r="L569" s="798"/>
      <c r="M569" s="798"/>
      <c r="N569" s="798"/>
      <c r="O569" s="798"/>
      <c r="P569" s="798"/>
      <c r="Q569" s="798"/>
      <c r="R569" s="798"/>
      <c r="S569" s="798"/>
      <c r="T569" s="798"/>
      <c r="U569" s="798"/>
      <c r="V569" s="798"/>
      <c r="W569" s="798"/>
      <c r="X569" s="798"/>
      <c r="Y569" s="798"/>
      <c r="Z569" s="798"/>
      <c r="AA569" s="798"/>
      <c r="AB569" s="359"/>
    </row>
    <row r="570" spans="1:28" s="179" customFormat="1" ht="27" customHeight="1" x14ac:dyDescent="0.3">
      <c r="B570" s="359"/>
      <c r="C570" s="359"/>
      <c r="D570" s="363"/>
      <c r="E570" s="363"/>
      <c r="F570" s="363"/>
      <c r="G570" s="363"/>
      <c r="H570" s="363"/>
      <c r="I570" s="363"/>
      <c r="J570" s="363"/>
      <c r="K570" s="363"/>
      <c r="L570" s="363"/>
      <c r="M570" s="363"/>
      <c r="N570" s="363"/>
      <c r="O570" s="363"/>
      <c r="P570" s="363"/>
      <c r="Q570" s="363"/>
      <c r="R570" s="363"/>
      <c r="S570" s="363"/>
      <c r="T570" s="363"/>
      <c r="U570" s="363"/>
      <c r="V570" s="363"/>
      <c r="W570" s="363"/>
      <c r="X570" s="363"/>
      <c r="Y570" s="363"/>
      <c r="Z570" s="363"/>
      <c r="AA570" s="363"/>
      <c r="AB570" s="359"/>
    </row>
    <row r="571" spans="1:28" s="179" customFormat="1" ht="27" customHeight="1" x14ac:dyDescent="0.2">
      <c r="B571" s="719" t="s">
        <v>493</v>
      </c>
      <c r="C571" s="719"/>
      <c r="D571" s="719"/>
      <c r="E571" s="719"/>
      <c r="F571" s="719"/>
      <c r="G571" s="719"/>
      <c r="H571" s="719"/>
      <c r="I571" s="719"/>
      <c r="J571" s="719"/>
      <c r="K571" s="719"/>
      <c r="L571" s="719"/>
      <c r="M571" s="719"/>
      <c r="N571" s="719"/>
      <c r="O571" s="719"/>
      <c r="P571" s="719"/>
      <c r="Q571" s="719"/>
      <c r="R571" s="361"/>
      <c r="S571" s="720" t="s">
        <v>494</v>
      </c>
      <c r="T571" s="720"/>
      <c r="U571" s="720"/>
      <c r="V571" s="720"/>
      <c r="W571" s="720"/>
      <c r="X571" s="720"/>
      <c r="Y571" s="720"/>
      <c r="Z571" s="720"/>
      <c r="AA571" s="720"/>
      <c r="AB571" s="720"/>
    </row>
    <row r="572" spans="1:28" s="386" customFormat="1" ht="27" customHeight="1" x14ac:dyDescent="0.2">
      <c r="B572" s="828" t="s">
        <v>495</v>
      </c>
      <c r="C572" s="828"/>
      <c r="D572" s="828"/>
      <c r="E572" s="828"/>
      <c r="F572" s="828"/>
      <c r="G572" s="828"/>
      <c r="H572" s="728"/>
      <c r="I572" s="729"/>
      <c r="J572" s="729"/>
      <c r="K572" s="729"/>
      <c r="L572" s="729"/>
      <c r="M572" s="729"/>
      <c r="N572" s="729"/>
      <c r="O572" s="729"/>
      <c r="P572" s="729"/>
      <c r="Q572" s="730"/>
      <c r="R572" s="362"/>
      <c r="S572" s="714" t="s">
        <v>13</v>
      </c>
      <c r="T572" s="715"/>
      <c r="U572" s="715"/>
      <c r="V572" s="715"/>
      <c r="W572" s="715"/>
      <c r="X572" s="743"/>
      <c r="Y572" s="789">
        <f>Resume!O4</f>
        <v>0</v>
      </c>
      <c r="Z572" s="790"/>
      <c r="AA572" s="790"/>
      <c r="AB572" s="790"/>
    </row>
    <row r="573" spans="1:28" s="386" customFormat="1" ht="27" customHeight="1" x14ac:dyDescent="0.2">
      <c r="B573" s="828" t="s">
        <v>496</v>
      </c>
      <c r="C573" s="828"/>
      <c r="D573" s="828"/>
      <c r="E573" s="828"/>
      <c r="F573" s="828"/>
      <c r="G573" s="828"/>
      <c r="H573" s="728"/>
      <c r="I573" s="729"/>
      <c r="J573" s="729"/>
      <c r="K573" s="729"/>
      <c r="L573" s="729"/>
      <c r="M573" s="729"/>
      <c r="N573" s="729"/>
      <c r="O573" s="729"/>
      <c r="P573" s="729"/>
      <c r="Q573" s="730"/>
      <c r="R573" s="362"/>
      <c r="S573" s="714" t="s">
        <v>1</v>
      </c>
      <c r="T573" s="715"/>
      <c r="U573" s="715"/>
      <c r="V573" s="715"/>
      <c r="W573" s="715"/>
      <c r="X573" s="743"/>
      <c r="Y573" s="790">
        <f>Resume!O13</f>
        <v>0</v>
      </c>
      <c r="Z573" s="790"/>
      <c r="AA573" s="790"/>
      <c r="AB573" s="790"/>
    </row>
    <row r="574" spans="1:28" s="386" customFormat="1" ht="27" customHeight="1" x14ac:dyDescent="0.2">
      <c r="B574" s="828" t="s">
        <v>497</v>
      </c>
      <c r="C574" s="828"/>
      <c r="D574" s="828"/>
      <c r="E574" s="828"/>
      <c r="F574" s="828"/>
      <c r="G574" s="828"/>
      <c r="H574" s="728"/>
      <c r="I574" s="729"/>
      <c r="J574" s="729"/>
      <c r="K574" s="729"/>
      <c r="L574" s="729"/>
      <c r="M574" s="729"/>
      <c r="N574" s="729"/>
      <c r="O574" s="729"/>
      <c r="P574" s="729"/>
      <c r="Q574" s="730"/>
      <c r="R574" s="362"/>
      <c r="S574" s="714" t="s">
        <v>316</v>
      </c>
      <c r="T574" s="715"/>
      <c r="U574" s="715"/>
      <c r="V574" s="715"/>
      <c r="W574" s="715"/>
      <c r="X574" s="743"/>
      <c r="Y574" s="789">
        <f>Resume!O28</f>
        <v>0</v>
      </c>
      <c r="Z574" s="790"/>
      <c r="AA574" s="790"/>
      <c r="AB574" s="790"/>
    </row>
    <row r="575" spans="1:28" s="386" customFormat="1" ht="27" customHeight="1" x14ac:dyDescent="0.2">
      <c r="B575" s="828" t="s">
        <v>498</v>
      </c>
      <c r="C575" s="828"/>
      <c r="D575" s="828"/>
      <c r="E575" s="828"/>
      <c r="F575" s="828"/>
      <c r="G575" s="828"/>
      <c r="H575" s="731"/>
      <c r="I575" s="732"/>
      <c r="J575" s="732"/>
      <c r="K575" s="732"/>
      <c r="L575" s="732"/>
      <c r="M575" s="732"/>
      <c r="N575" s="732"/>
      <c r="O575" s="732"/>
      <c r="P575" s="732"/>
      <c r="Q575" s="733"/>
      <c r="R575" s="362"/>
      <c r="S575" s="714" t="s">
        <v>317</v>
      </c>
      <c r="T575" s="715"/>
      <c r="U575" s="715"/>
      <c r="V575" s="715"/>
      <c r="W575" s="715"/>
      <c r="X575" s="743"/>
      <c r="Y575" s="790">
        <f>Resume!O89</f>
        <v>0</v>
      </c>
      <c r="Z575" s="790"/>
      <c r="AA575" s="790"/>
      <c r="AB575" s="790"/>
    </row>
    <row r="576" spans="1:28" s="386" customFormat="1" ht="27" customHeight="1" x14ac:dyDescent="0.2">
      <c r="B576" s="828" t="s">
        <v>499</v>
      </c>
      <c r="C576" s="828"/>
      <c r="D576" s="828"/>
      <c r="E576" s="828"/>
      <c r="F576" s="828"/>
      <c r="G576" s="828"/>
      <c r="H576" s="728"/>
      <c r="I576" s="729"/>
      <c r="J576" s="729"/>
      <c r="K576" s="729"/>
      <c r="L576" s="729"/>
      <c r="M576" s="729"/>
      <c r="N576" s="729"/>
      <c r="O576" s="729"/>
      <c r="P576" s="729"/>
      <c r="Q576" s="730"/>
      <c r="R576" s="362"/>
      <c r="S576" s="714" t="s">
        <v>14</v>
      </c>
      <c r="T576" s="715"/>
      <c r="U576" s="715"/>
      <c r="V576" s="715"/>
      <c r="W576" s="715"/>
      <c r="X576" s="743"/>
      <c r="Y576" s="790">
        <f>Resume!O110</f>
        <v>0</v>
      </c>
      <c r="Z576" s="790"/>
      <c r="AA576" s="790"/>
      <c r="AB576" s="790"/>
    </row>
    <row r="577" spans="2:28" s="386" customFormat="1" ht="27" customHeight="1" x14ac:dyDescent="0.2">
      <c r="B577" s="828" t="s">
        <v>500</v>
      </c>
      <c r="C577" s="828"/>
      <c r="D577" s="828"/>
      <c r="E577" s="828"/>
      <c r="F577" s="828"/>
      <c r="G577" s="828"/>
      <c r="H577" s="734" t="s">
        <v>408</v>
      </c>
      <c r="I577" s="735"/>
      <c r="J577" s="735"/>
      <c r="K577" s="735"/>
      <c r="L577" s="735"/>
      <c r="M577" s="735"/>
      <c r="N577" s="735"/>
      <c r="O577" s="735"/>
      <c r="P577" s="735"/>
      <c r="Q577" s="736"/>
      <c r="R577" s="393"/>
      <c r="S577" s="714" t="s">
        <v>492</v>
      </c>
      <c r="T577" s="715"/>
      <c r="U577" s="715"/>
      <c r="V577" s="715"/>
      <c r="W577" s="715"/>
      <c r="X577" s="743"/>
      <c r="Y577" s="789">
        <f>Resume!O151</f>
        <v>0</v>
      </c>
      <c r="Z577" s="789"/>
      <c r="AA577" s="789"/>
      <c r="AB577" s="789"/>
    </row>
    <row r="578" spans="2:28" s="386" customFormat="1" ht="27" customHeight="1" x14ac:dyDescent="0.2">
      <c r="B578" s="828" t="s">
        <v>501</v>
      </c>
      <c r="C578" s="828"/>
      <c r="D578" s="828"/>
      <c r="E578" s="828"/>
      <c r="F578" s="828"/>
      <c r="G578" s="828"/>
      <c r="H578" s="737"/>
      <c r="I578" s="738"/>
      <c r="J578" s="738"/>
      <c r="K578" s="738"/>
      <c r="L578" s="738"/>
      <c r="M578" s="738"/>
      <c r="N578" s="738"/>
      <c r="O578" s="738"/>
      <c r="P578" s="738"/>
      <c r="Q578" s="739"/>
      <c r="R578" s="362"/>
      <c r="S578" s="714" t="s">
        <v>112</v>
      </c>
      <c r="T578" s="715"/>
      <c r="U578" s="715"/>
      <c r="V578" s="715"/>
      <c r="W578" s="715"/>
      <c r="X578" s="743"/>
      <c r="Y578" s="789">
        <f>Resume!O155</f>
        <v>0</v>
      </c>
      <c r="Z578" s="790"/>
      <c r="AA578" s="790"/>
      <c r="AB578" s="790"/>
    </row>
    <row r="579" spans="2:28" s="386" customFormat="1" ht="27" customHeight="1" x14ac:dyDescent="0.2">
      <c r="B579" s="828" t="s">
        <v>502</v>
      </c>
      <c r="C579" s="828"/>
      <c r="D579" s="828"/>
      <c r="E579" s="828"/>
      <c r="F579" s="828"/>
      <c r="G579" s="828"/>
      <c r="H579" s="740" t="s">
        <v>512</v>
      </c>
      <c r="I579" s="741"/>
      <c r="J579" s="741"/>
      <c r="K579" s="741"/>
      <c r="L579" s="741"/>
      <c r="M579" s="741"/>
      <c r="N579" s="741"/>
      <c r="O579" s="741"/>
      <c r="P579" s="741"/>
      <c r="Q579" s="742"/>
      <c r="R579" s="394"/>
      <c r="S579" s="714" t="s">
        <v>545</v>
      </c>
      <c r="T579" s="715"/>
      <c r="U579" s="715"/>
      <c r="V579" s="715"/>
      <c r="W579" s="715"/>
      <c r="X579" s="743"/>
      <c r="Y579" s="790">
        <f>Resume!O177</f>
        <v>0</v>
      </c>
      <c r="Z579" s="790"/>
      <c r="AA579" s="790"/>
      <c r="AB579" s="790"/>
    </row>
    <row r="580" spans="2:28" s="386" customFormat="1" ht="27" customHeight="1" x14ac:dyDescent="0.2">
      <c r="B580" s="828" t="s">
        <v>503</v>
      </c>
      <c r="C580" s="828"/>
      <c r="D580" s="828"/>
      <c r="E580" s="828"/>
      <c r="F580" s="828"/>
      <c r="G580" s="828"/>
      <c r="H580" s="737"/>
      <c r="I580" s="738"/>
      <c r="J580" s="738"/>
      <c r="K580" s="738"/>
      <c r="L580" s="738"/>
      <c r="M580" s="738"/>
      <c r="N580" s="738"/>
      <c r="O580" s="738"/>
      <c r="P580" s="738"/>
      <c r="Q580" s="739"/>
      <c r="R580" s="362"/>
      <c r="S580" s="714" t="s">
        <v>113</v>
      </c>
      <c r="T580" s="715"/>
      <c r="U580" s="715"/>
      <c r="V580" s="715"/>
      <c r="W580" s="715"/>
      <c r="X580" s="743"/>
      <c r="Y580" s="789">
        <f>Resume!O203</f>
        <v>0</v>
      </c>
      <c r="Z580" s="789"/>
      <c r="AA580" s="789"/>
      <c r="AB580" s="789"/>
    </row>
    <row r="581" spans="2:28" s="386" customFormat="1" ht="27" customHeight="1" x14ac:dyDescent="0.2">
      <c r="B581" s="502"/>
      <c r="C581" s="502"/>
      <c r="D581" s="502"/>
      <c r="E581" s="502"/>
      <c r="F581" s="502"/>
      <c r="G581" s="502"/>
      <c r="H581" s="505"/>
      <c r="I581" s="505"/>
      <c r="J581" s="505"/>
      <c r="K581" s="505"/>
      <c r="L581" s="505"/>
      <c r="M581" s="505"/>
      <c r="N581" s="505"/>
      <c r="O581" s="505"/>
      <c r="P581" s="505"/>
      <c r="Q581" s="505"/>
      <c r="R581" s="503"/>
      <c r="S581" s="714" t="s">
        <v>544</v>
      </c>
      <c r="T581" s="715"/>
      <c r="U581" s="715"/>
      <c r="V581" s="715"/>
      <c r="W581" s="715"/>
      <c r="X581" s="743"/>
      <c r="Y581" s="789">
        <f>Resume!O212</f>
        <v>0</v>
      </c>
      <c r="Z581" s="789"/>
      <c r="AA581" s="789"/>
      <c r="AB581" s="789"/>
    </row>
    <row r="582" spans="2:28" s="386" customFormat="1" ht="27" customHeight="1" x14ac:dyDescent="0.2">
      <c r="B582" s="396"/>
      <c r="C582" s="396"/>
      <c r="D582" s="396"/>
      <c r="E582" s="396"/>
      <c r="F582" s="396"/>
      <c r="G582" s="396"/>
      <c r="H582" s="395"/>
      <c r="I582" s="395"/>
      <c r="J582" s="395"/>
      <c r="K582" s="395"/>
      <c r="L582" s="395"/>
      <c r="M582" s="395"/>
      <c r="N582" s="395"/>
      <c r="O582" s="395"/>
      <c r="P582" s="395"/>
      <c r="Q582" s="395"/>
      <c r="R582" s="395"/>
      <c r="S582" s="703" t="s">
        <v>19</v>
      </c>
      <c r="T582" s="704"/>
      <c r="U582" s="704"/>
      <c r="V582" s="704"/>
      <c r="W582" s="704"/>
      <c r="X582" s="705"/>
      <c r="Y582" s="794">
        <v>0</v>
      </c>
      <c r="Z582" s="794"/>
      <c r="AA582" s="794"/>
      <c r="AB582" s="794"/>
    </row>
    <row r="583" spans="2:28" s="386" customFormat="1" ht="27" customHeight="1" x14ac:dyDescent="0.2">
      <c r="B583" s="396"/>
      <c r="C583" s="396"/>
      <c r="D583" s="396"/>
      <c r="E583" s="396"/>
      <c r="F583" s="396"/>
      <c r="G583" s="396"/>
      <c r="H583" s="397"/>
      <c r="I583" s="397"/>
      <c r="J583" s="397"/>
      <c r="K583" s="397"/>
      <c r="L583" s="397"/>
      <c r="M583" s="397"/>
      <c r="N583" s="397"/>
      <c r="O583" s="397"/>
      <c r="P583" s="397"/>
      <c r="Q583" s="397"/>
      <c r="R583" s="397"/>
      <c r="S583" s="706" t="s">
        <v>19</v>
      </c>
      <c r="T583" s="707"/>
      <c r="U583" s="707"/>
      <c r="V583" s="707"/>
      <c r="W583" s="707"/>
      <c r="X583" s="707"/>
      <c r="Y583" s="824">
        <v>0</v>
      </c>
      <c r="Z583" s="825"/>
      <c r="AA583" s="825"/>
      <c r="AB583" s="826"/>
    </row>
    <row r="584" spans="2:28" s="386" customFormat="1" ht="27" customHeight="1" x14ac:dyDescent="0.2">
      <c r="B584" s="396"/>
      <c r="C584" s="396"/>
      <c r="D584" s="396"/>
      <c r="E584" s="396"/>
      <c r="F584" s="396"/>
      <c r="G584" s="396"/>
      <c r="H584" s="397"/>
      <c r="I584" s="397"/>
      <c r="J584" s="397"/>
      <c r="K584" s="397"/>
      <c r="L584" s="397"/>
      <c r="M584" s="397"/>
      <c r="N584" s="397"/>
      <c r="O584" s="397"/>
      <c r="P584" s="397"/>
      <c r="Q584" s="397"/>
      <c r="R584" s="397"/>
      <c r="S584" s="708" t="s">
        <v>15</v>
      </c>
      <c r="T584" s="709"/>
      <c r="U584" s="709"/>
      <c r="V584" s="709"/>
      <c r="W584" s="709"/>
      <c r="X584" s="710"/>
      <c r="Y584" s="795">
        <f>SUM(Y572:Y583)</f>
        <v>0</v>
      </c>
      <c r="Z584" s="796"/>
      <c r="AA584" s="796"/>
      <c r="AB584" s="797"/>
    </row>
    <row r="585" spans="2:28" s="386" customFormat="1" ht="27" customHeight="1" x14ac:dyDescent="0.2">
      <c r="B585" s="360"/>
      <c r="C585" s="360"/>
      <c r="D585" s="360"/>
      <c r="E585" s="360"/>
      <c r="F585" s="360"/>
      <c r="G585" s="360"/>
      <c r="H585" s="360"/>
      <c r="I585" s="360"/>
      <c r="J585" s="360"/>
      <c r="K585" s="360"/>
      <c r="L585" s="360"/>
      <c r="M585" s="360"/>
      <c r="N585" s="360"/>
      <c r="O585" s="360"/>
      <c r="P585" s="360"/>
      <c r="Q585" s="360"/>
      <c r="R585" s="360"/>
      <c r="S585" s="711" t="s">
        <v>18</v>
      </c>
      <c r="T585" s="712"/>
      <c r="U585" s="712"/>
      <c r="V585" s="712"/>
      <c r="W585" s="712"/>
      <c r="X585" s="713"/>
      <c r="Y585" s="783">
        <f>IF(Y584&lt;100,25,0)</f>
        <v>25</v>
      </c>
      <c r="Z585" s="784"/>
      <c r="AA585" s="784"/>
      <c r="AB585" s="785"/>
    </row>
    <row r="586" spans="2:28" s="386" customFormat="1" ht="27" customHeight="1" x14ac:dyDescent="0.2">
      <c r="B586" s="360"/>
      <c r="C586" s="360"/>
      <c r="D586" s="360"/>
      <c r="E586" s="360"/>
      <c r="F586" s="360"/>
      <c r="G586" s="360"/>
      <c r="H586" s="360"/>
      <c r="I586" s="360"/>
      <c r="J586" s="360"/>
      <c r="K586" s="360"/>
      <c r="L586" s="360"/>
      <c r="M586" s="360"/>
      <c r="N586" s="360"/>
      <c r="O586" s="360"/>
      <c r="P586" s="360"/>
      <c r="Q586" s="360"/>
      <c r="R586" s="360"/>
      <c r="S586" s="714" t="s">
        <v>20</v>
      </c>
      <c r="T586" s="715"/>
      <c r="U586" s="715"/>
      <c r="V586" s="715"/>
      <c r="W586" s="715"/>
      <c r="X586" s="715"/>
      <c r="Y586" s="786">
        <v>0</v>
      </c>
      <c r="Z586" s="787"/>
      <c r="AA586" s="787"/>
      <c r="AB586" s="788"/>
    </row>
    <row r="587" spans="2:28" s="386" customFormat="1" ht="27" customHeight="1" x14ac:dyDescent="0.2">
      <c r="B587" s="360"/>
      <c r="C587" s="360"/>
      <c r="D587" s="360"/>
      <c r="E587" s="360"/>
      <c r="F587" s="360"/>
      <c r="G587" s="360"/>
      <c r="H587" s="360"/>
      <c r="I587" s="360"/>
      <c r="J587" s="360"/>
      <c r="K587" s="360"/>
      <c r="L587" s="360"/>
      <c r="M587" s="360"/>
      <c r="N587" s="360"/>
      <c r="O587" s="360"/>
      <c r="P587" s="360"/>
      <c r="Q587" s="360"/>
      <c r="R587" s="360"/>
      <c r="S587" s="706" t="s">
        <v>21</v>
      </c>
      <c r="T587" s="707"/>
      <c r="U587" s="707"/>
      <c r="V587" s="707"/>
      <c r="W587" s="707"/>
      <c r="X587" s="707"/>
      <c r="Y587" s="786">
        <v>0</v>
      </c>
      <c r="Z587" s="787"/>
      <c r="AA587" s="787"/>
      <c r="AB587" s="788"/>
    </row>
    <row r="588" spans="2:28" s="386" customFormat="1" ht="27" customHeight="1" x14ac:dyDescent="0.2">
      <c r="B588" s="398"/>
      <c r="C588" s="398"/>
      <c r="D588" s="398"/>
      <c r="E588" s="398"/>
      <c r="F588" s="398"/>
      <c r="G588" s="398"/>
      <c r="H588" s="398"/>
      <c r="I588" s="398"/>
      <c r="J588" s="398"/>
      <c r="K588" s="398"/>
      <c r="L588" s="398"/>
      <c r="M588" s="398"/>
      <c r="N588" s="398"/>
      <c r="O588" s="398"/>
      <c r="P588" s="398"/>
      <c r="Q588" s="398"/>
      <c r="R588" s="398"/>
      <c r="S588" s="716" t="s">
        <v>6</v>
      </c>
      <c r="T588" s="717"/>
      <c r="U588" s="717"/>
      <c r="V588" s="717"/>
      <c r="W588" s="717"/>
      <c r="X588" s="718"/>
      <c r="Y588" s="780">
        <f>Y584+Y585+Y586+Y587</f>
        <v>25</v>
      </c>
      <c r="Z588" s="781"/>
      <c r="AA588" s="781"/>
      <c r="AB588" s="782"/>
    </row>
    <row r="591" spans="2:28" hidden="1" x14ac:dyDescent="0.2">
      <c r="D591" s="166" t="s">
        <v>438</v>
      </c>
    </row>
    <row r="592" spans="2:28" hidden="1" x14ac:dyDescent="0.2">
      <c r="D592" s="166" t="s">
        <v>439</v>
      </c>
    </row>
    <row r="593" spans="4:4" hidden="1" x14ac:dyDescent="0.2"/>
    <row r="594" spans="4:4" hidden="1" x14ac:dyDescent="0.2">
      <c r="D594" s="166" t="s">
        <v>480</v>
      </c>
    </row>
    <row r="595" spans="4:4" hidden="1" x14ac:dyDescent="0.2">
      <c r="D595" s="166" t="s">
        <v>481</v>
      </c>
    </row>
  </sheetData>
  <sheetProtection password="C6C1" sheet="1" objects="1" scenarios="1"/>
  <mergeCells count="1911">
    <mergeCell ref="S74:V74"/>
    <mergeCell ref="X74:AA74"/>
    <mergeCell ref="D75:E75"/>
    <mergeCell ref="F75:G75"/>
    <mergeCell ref="I75:J75"/>
    <mergeCell ref="K75:L75"/>
    <mergeCell ref="N75:O75"/>
    <mergeCell ref="P75:Q75"/>
    <mergeCell ref="S75:T75"/>
    <mergeCell ref="U75:V75"/>
    <mergeCell ref="X75:Y75"/>
    <mergeCell ref="Z75:AA75"/>
    <mergeCell ref="I407:J407"/>
    <mergeCell ref="X389:AA389"/>
    <mergeCell ref="D395:G395"/>
    <mergeCell ref="I500:L500"/>
    <mergeCell ref="N500:Q500"/>
    <mergeCell ref="S500:V500"/>
    <mergeCell ref="X500:AA500"/>
    <mergeCell ref="S331:V331"/>
    <mergeCell ref="I391:L391"/>
    <mergeCell ref="I372:J372"/>
    <mergeCell ref="K372:L372"/>
    <mergeCell ref="N372:O372"/>
    <mergeCell ref="P372:Q372"/>
    <mergeCell ref="S380:V380"/>
    <mergeCell ref="K361:L361"/>
    <mergeCell ref="N361:O361"/>
    <mergeCell ref="S376:V376"/>
    <mergeCell ref="D394:G394"/>
    <mergeCell ref="D370:G370"/>
    <mergeCell ref="I370:L370"/>
    <mergeCell ref="S510:V510"/>
    <mergeCell ref="S441:T441"/>
    <mergeCell ref="U441:V441"/>
    <mergeCell ref="X502:AA502"/>
    <mergeCell ref="X503:AA503"/>
    <mergeCell ref="X505:AA505"/>
    <mergeCell ref="X506:AA506"/>
    <mergeCell ref="X507:AA507"/>
    <mergeCell ref="X510:AA510"/>
    <mergeCell ref="D396:E396"/>
    <mergeCell ref="D402:G402"/>
    <mergeCell ref="D407:E407"/>
    <mergeCell ref="S400:V400"/>
    <mergeCell ref="X414:AA414"/>
    <mergeCell ref="X417:AA417"/>
    <mergeCell ref="P419:Q419"/>
    <mergeCell ref="S417:V417"/>
    <mergeCell ref="D399:G399"/>
    <mergeCell ref="I457:L457"/>
    <mergeCell ref="I453:L453"/>
    <mergeCell ref="S453:V453"/>
    <mergeCell ref="X419:Y419"/>
    <mergeCell ref="S422:V427"/>
    <mergeCell ref="K430:L430"/>
    <mergeCell ref="N425:Q425"/>
    <mergeCell ref="I419:J419"/>
    <mergeCell ref="U396:V396"/>
    <mergeCell ref="I396:J396"/>
    <mergeCell ref="D447:G447"/>
    <mergeCell ref="D441:E441"/>
    <mergeCell ref="F441:G441"/>
    <mergeCell ref="X499:AA499"/>
    <mergeCell ref="D523:G523"/>
    <mergeCell ref="D525:G525"/>
    <mergeCell ref="I434:L434"/>
    <mergeCell ref="D490:AA490"/>
    <mergeCell ref="I492:L497"/>
    <mergeCell ref="X497:AA497"/>
    <mergeCell ref="N495:Q495"/>
    <mergeCell ref="X473:AA473"/>
    <mergeCell ref="S465:T465"/>
    <mergeCell ref="S492:V492"/>
    <mergeCell ref="X465:Y465"/>
    <mergeCell ref="X493:AA493"/>
    <mergeCell ref="N493:Q493"/>
    <mergeCell ref="N423:Q423"/>
    <mergeCell ref="D439:G439"/>
    <mergeCell ref="S496:V496"/>
    <mergeCell ref="S433:V433"/>
    <mergeCell ref="S434:V434"/>
    <mergeCell ref="N430:O430"/>
    <mergeCell ref="S447:V447"/>
    <mergeCell ref="S430:T430"/>
    <mergeCell ref="I446:L446"/>
    <mergeCell ref="D436:G436"/>
    <mergeCell ref="I447:L447"/>
    <mergeCell ref="X461:AA461"/>
    <mergeCell ref="X458:AA458"/>
    <mergeCell ref="X457:AA457"/>
    <mergeCell ref="X462:AA462"/>
    <mergeCell ref="I451:L451"/>
    <mergeCell ref="I462:L462"/>
    <mergeCell ref="S451:V451"/>
    <mergeCell ref="D429:G429"/>
    <mergeCell ref="N389:Q389"/>
    <mergeCell ref="D386:AA386"/>
    <mergeCell ref="D389:G389"/>
    <mergeCell ref="S383:V383"/>
    <mergeCell ref="N391:Q391"/>
    <mergeCell ref="X380:AA380"/>
    <mergeCell ref="X379:AA379"/>
    <mergeCell ref="D383:G383"/>
    <mergeCell ref="D380:G380"/>
    <mergeCell ref="Z384:AA384"/>
    <mergeCell ref="X382:AA382"/>
    <mergeCell ref="X383:AA383"/>
    <mergeCell ref="AC452:AF452"/>
    <mergeCell ref="AD453:AG453"/>
    <mergeCell ref="AD451:AG451"/>
    <mergeCell ref="U430:V430"/>
    <mergeCell ref="Z430:AA430"/>
    <mergeCell ref="S405:V405"/>
    <mergeCell ref="S406:V406"/>
    <mergeCell ref="N427:Q427"/>
    <mergeCell ref="N418:Q418"/>
    <mergeCell ref="S436:V436"/>
    <mergeCell ref="S437:V437"/>
    <mergeCell ref="S438:V438"/>
    <mergeCell ref="S439:V439"/>
    <mergeCell ref="S440:V440"/>
    <mergeCell ref="I439:L439"/>
    <mergeCell ref="X451:AA451"/>
    <mergeCell ref="X452:AA452"/>
    <mergeCell ref="X315:AA315"/>
    <mergeCell ref="I323:L323"/>
    <mergeCell ref="N328:O328"/>
    <mergeCell ref="S347:V347"/>
    <mergeCell ref="S379:V379"/>
    <mergeCell ref="S377:V377"/>
    <mergeCell ref="K407:L407"/>
    <mergeCell ref="I411:L411"/>
    <mergeCell ref="N399:Q404"/>
    <mergeCell ref="I395:L395"/>
    <mergeCell ref="S395:V395"/>
    <mergeCell ref="S402:V402"/>
    <mergeCell ref="S403:V403"/>
    <mergeCell ref="X346:AA346"/>
    <mergeCell ref="X350:Y350"/>
    <mergeCell ref="S335:V335"/>
    <mergeCell ref="S336:V336"/>
    <mergeCell ref="S339:T339"/>
    <mergeCell ref="U339:V339"/>
    <mergeCell ref="N396:O396"/>
    <mergeCell ref="X377:AA377"/>
    <mergeCell ref="S382:V382"/>
    <mergeCell ref="P396:Q396"/>
    <mergeCell ref="U372:V372"/>
    <mergeCell ref="I404:L404"/>
    <mergeCell ref="N346:Q346"/>
    <mergeCell ref="S371:V371"/>
    <mergeCell ref="I364:L369"/>
    <mergeCell ref="I345:L345"/>
    <mergeCell ref="X395:AA395"/>
    <mergeCell ref="S404:V404"/>
    <mergeCell ref="S399:V399"/>
    <mergeCell ref="N23:O23"/>
    <mergeCell ref="N24:O24"/>
    <mergeCell ref="N25:O25"/>
    <mergeCell ref="N26:O26"/>
    <mergeCell ref="N27:O27"/>
    <mergeCell ref="N28:O28"/>
    <mergeCell ref="N29:O29"/>
    <mergeCell ref="N30:O30"/>
    <mergeCell ref="L22:M22"/>
    <mergeCell ref="L23:M23"/>
    <mergeCell ref="L24:M24"/>
    <mergeCell ref="L25:M25"/>
    <mergeCell ref="L26:M26"/>
    <mergeCell ref="L27:M27"/>
    <mergeCell ref="L28:M28"/>
    <mergeCell ref="D293:G293"/>
    <mergeCell ref="D294:G294"/>
    <mergeCell ref="D198:G203"/>
    <mergeCell ref="D218:G218"/>
    <mergeCell ref="F225:G225"/>
    <mergeCell ref="D290:G290"/>
    <mergeCell ref="D254:G254"/>
    <mergeCell ref="D22:F22"/>
    <mergeCell ref="D73:G73"/>
    <mergeCell ref="I73:L73"/>
    <mergeCell ref="N73:Q73"/>
    <mergeCell ref="D261:E261"/>
    <mergeCell ref="N249:Q249"/>
    <mergeCell ref="I292:L292"/>
    <mergeCell ref="N292:Q292"/>
    <mergeCell ref="N253:Q253"/>
    <mergeCell ref="I284:J284"/>
    <mergeCell ref="S581:X581"/>
    <mergeCell ref="Y581:AB581"/>
    <mergeCell ref="F31:H31"/>
    <mergeCell ref="D16:H17"/>
    <mergeCell ref="J16:N17"/>
    <mergeCell ref="Q16:U17"/>
    <mergeCell ref="W16:AA17"/>
    <mergeCell ref="I529:L529"/>
    <mergeCell ref="D530:E530"/>
    <mergeCell ref="F530:G530"/>
    <mergeCell ref="I530:J530"/>
    <mergeCell ref="K530:L530"/>
    <mergeCell ref="I522:L527"/>
    <mergeCell ref="F465:G465"/>
    <mergeCell ref="D427:G427"/>
    <mergeCell ref="D433:G433"/>
    <mergeCell ref="I433:L433"/>
    <mergeCell ref="D461:G461"/>
    <mergeCell ref="D460:G460"/>
    <mergeCell ref="I460:L460"/>
    <mergeCell ref="D454:E454"/>
    <mergeCell ref="D453:G453"/>
    <mergeCell ref="D376:G376"/>
    <mergeCell ref="D510:E510"/>
    <mergeCell ref="D522:G522"/>
    <mergeCell ref="D419:E419"/>
    <mergeCell ref="X325:AA325"/>
    <mergeCell ref="D438:G438"/>
    <mergeCell ref="D21:O21"/>
    <mergeCell ref="L30:M30"/>
    <mergeCell ref="N22:O22"/>
    <mergeCell ref="X320:AA320"/>
    <mergeCell ref="N393:Q393"/>
    <mergeCell ref="F407:G407"/>
    <mergeCell ref="N419:O419"/>
    <mergeCell ref="N426:Q426"/>
    <mergeCell ref="I412:L412"/>
    <mergeCell ref="D405:G405"/>
    <mergeCell ref="I405:L405"/>
    <mergeCell ref="X428:AA428"/>
    <mergeCell ref="N416:Q416"/>
    <mergeCell ref="I425:L425"/>
    <mergeCell ref="D423:G423"/>
    <mergeCell ref="I423:L423"/>
    <mergeCell ref="D428:G428"/>
    <mergeCell ref="S419:T419"/>
    <mergeCell ref="P430:Q430"/>
    <mergeCell ref="I422:L422"/>
    <mergeCell ref="D400:G400"/>
    <mergeCell ref="I400:L400"/>
    <mergeCell ref="X418:AA418"/>
    <mergeCell ref="U407:V407"/>
    <mergeCell ref="X412:AA412"/>
    <mergeCell ref="S412:V412"/>
    <mergeCell ref="N394:Q394"/>
    <mergeCell ref="S394:V394"/>
    <mergeCell ref="Z396:AA396"/>
    <mergeCell ref="D404:G404"/>
    <mergeCell ref="N412:Q412"/>
    <mergeCell ref="D403:G403"/>
    <mergeCell ref="I403:L403"/>
    <mergeCell ref="X394:AA394"/>
    <mergeCell ref="D422:G422"/>
    <mergeCell ref="X416:AA416"/>
    <mergeCell ref="D391:G391"/>
    <mergeCell ref="X392:AA392"/>
    <mergeCell ref="S393:V393"/>
    <mergeCell ref="P407:Q407"/>
    <mergeCell ref="I394:L394"/>
    <mergeCell ref="I418:L418"/>
    <mergeCell ref="D393:G393"/>
    <mergeCell ref="X393:AA393"/>
    <mergeCell ref="I399:L399"/>
    <mergeCell ref="S391:V391"/>
    <mergeCell ref="N376:Q376"/>
    <mergeCell ref="U384:V384"/>
    <mergeCell ref="X512:AA517"/>
    <mergeCell ref="S498:V498"/>
    <mergeCell ref="D434:G434"/>
    <mergeCell ref="D437:G437"/>
    <mergeCell ref="I437:L437"/>
    <mergeCell ref="I463:L463"/>
    <mergeCell ref="X463:AA463"/>
    <mergeCell ref="S461:V461"/>
    <mergeCell ref="X454:Y454"/>
    <mergeCell ref="Z454:AA454"/>
    <mergeCell ref="D465:E465"/>
    <mergeCell ref="X492:AA492"/>
    <mergeCell ref="I441:J441"/>
    <mergeCell ref="I506:L506"/>
    <mergeCell ref="N506:Q506"/>
    <mergeCell ref="S507:V507"/>
    <mergeCell ref="X453:AA453"/>
    <mergeCell ref="S458:V458"/>
    <mergeCell ref="U454:V454"/>
    <mergeCell ref="S457:V457"/>
    <mergeCell ref="X460:AA460"/>
    <mergeCell ref="N457:Q457"/>
    <mergeCell ref="N458:Q458"/>
    <mergeCell ref="N460:Q460"/>
    <mergeCell ref="N461:Q461"/>
    <mergeCell ref="N462:Q462"/>
    <mergeCell ref="N463:Q463"/>
    <mergeCell ref="D451:G451"/>
    <mergeCell ref="S450:V450"/>
    <mergeCell ref="K454:L454"/>
    <mergeCell ref="F454:G454"/>
    <mergeCell ref="D444:AA444"/>
    <mergeCell ref="N499:Q499"/>
    <mergeCell ref="S452:V452"/>
    <mergeCell ref="S503:V503"/>
    <mergeCell ref="D500:G500"/>
    <mergeCell ref="D458:G458"/>
    <mergeCell ref="D463:G463"/>
    <mergeCell ref="S454:T454"/>
    <mergeCell ref="I483:L483"/>
    <mergeCell ref="D484:G484"/>
    <mergeCell ref="I484:L484"/>
    <mergeCell ref="D485:G485"/>
    <mergeCell ref="I485:L485"/>
    <mergeCell ref="D486:G486"/>
    <mergeCell ref="I486:L486"/>
    <mergeCell ref="D487:E487"/>
    <mergeCell ref="F487:G487"/>
    <mergeCell ref="I487:J487"/>
    <mergeCell ref="K487:L487"/>
    <mergeCell ref="S464:V464"/>
    <mergeCell ref="N471:Q471"/>
    <mergeCell ref="N472:Q472"/>
    <mergeCell ref="S463:V463"/>
    <mergeCell ref="I461:L461"/>
    <mergeCell ref="D462:G462"/>
    <mergeCell ref="N475:Q475"/>
    <mergeCell ref="D471:G471"/>
    <mergeCell ref="F476:G476"/>
    <mergeCell ref="N492:Q492"/>
    <mergeCell ref="D472:G472"/>
    <mergeCell ref="I472:L472"/>
    <mergeCell ref="D452:G452"/>
    <mergeCell ref="X471:AA471"/>
    <mergeCell ref="S472:V472"/>
    <mergeCell ref="X472:AA472"/>
    <mergeCell ref="I452:L452"/>
    <mergeCell ref="D449:G449"/>
    <mergeCell ref="D479:G479"/>
    <mergeCell ref="I479:L479"/>
    <mergeCell ref="D480:G480"/>
    <mergeCell ref="D482:G482"/>
    <mergeCell ref="I482:L482"/>
    <mergeCell ref="D476:E476"/>
    <mergeCell ref="I454:J454"/>
    <mergeCell ref="D450:G450"/>
    <mergeCell ref="D483:G483"/>
    <mergeCell ref="X479:AA479"/>
    <mergeCell ref="S480:V480"/>
    <mergeCell ref="X480:AA480"/>
    <mergeCell ref="S482:V482"/>
    <mergeCell ref="X482:AA482"/>
    <mergeCell ref="S483:V483"/>
    <mergeCell ref="X483:AA483"/>
    <mergeCell ref="X520:Y520"/>
    <mergeCell ref="Z520:AA520"/>
    <mergeCell ref="I509:L509"/>
    <mergeCell ref="I510:J510"/>
    <mergeCell ref="K510:L510"/>
    <mergeCell ref="N510:O510"/>
    <mergeCell ref="I505:L505"/>
    <mergeCell ref="N497:Q497"/>
    <mergeCell ref="X508:AA508"/>
    <mergeCell ref="I498:L498"/>
    <mergeCell ref="Z465:AA465"/>
    <mergeCell ref="X496:AA496"/>
    <mergeCell ref="X495:AA495"/>
    <mergeCell ref="S474:V474"/>
    <mergeCell ref="X474:AA474"/>
    <mergeCell ref="X475:AA475"/>
    <mergeCell ref="N473:Q473"/>
    <mergeCell ref="N474:Q474"/>
    <mergeCell ref="N476:O476"/>
    <mergeCell ref="P476:Q476"/>
    <mergeCell ref="N469:Q469"/>
    <mergeCell ref="X509:AA509"/>
    <mergeCell ref="X476:Y476"/>
    <mergeCell ref="Z476:AA476"/>
    <mergeCell ref="I480:L480"/>
    <mergeCell ref="N479:Q479"/>
    <mergeCell ref="S509:V509"/>
    <mergeCell ref="N465:O465"/>
    <mergeCell ref="S493:V493"/>
    <mergeCell ref="I508:L508"/>
    <mergeCell ref="S505:V505"/>
    <mergeCell ref="S495:V495"/>
    <mergeCell ref="D518:G518"/>
    <mergeCell ref="D512:G517"/>
    <mergeCell ref="N520:O520"/>
    <mergeCell ref="P520:Q520"/>
    <mergeCell ref="S519:V519"/>
    <mergeCell ref="N508:Q508"/>
    <mergeCell ref="I507:L507"/>
    <mergeCell ref="N507:Q507"/>
    <mergeCell ref="N502:Q502"/>
    <mergeCell ref="S502:V502"/>
    <mergeCell ref="S506:V506"/>
    <mergeCell ref="S512:V517"/>
    <mergeCell ref="S508:V508"/>
    <mergeCell ref="S499:V499"/>
    <mergeCell ref="S520:T520"/>
    <mergeCell ref="U520:V520"/>
    <mergeCell ref="D520:E520"/>
    <mergeCell ref="F520:G520"/>
    <mergeCell ref="D519:G519"/>
    <mergeCell ref="N519:Q519"/>
    <mergeCell ref="I518:L518"/>
    <mergeCell ref="N518:Q518"/>
    <mergeCell ref="S518:V518"/>
    <mergeCell ref="D509:G509"/>
    <mergeCell ref="I519:L519"/>
    <mergeCell ref="N512:Q517"/>
    <mergeCell ref="D502:G507"/>
    <mergeCell ref="N503:Q503"/>
    <mergeCell ref="I502:L502"/>
    <mergeCell ref="I503:L503"/>
    <mergeCell ref="F510:G510"/>
    <mergeCell ref="P510:Q510"/>
    <mergeCell ref="S497:V497"/>
    <mergeCell ref="D508:G508"/>
    <mergeCell ref="N498:Q498"/>
    <mergeCell ref="D499:G499"/>
    <mergeCell ref="D464:G464"/>
    <mergeCell ref="D498:G498"/>
    <mergeCell ref="D492:G497"/>
    <mergeCell ref="D473:G473"/>
    <mergeCell ref="S476:T476"/>
    <mergeCell ref="U476:V476"/>
    <mergeCell ref="P465:Q465"/>
    <mergeCell ref="N468:Q468"/>
    <mergeCell ref="N496:Q496"/>
    <mergeCell ref="I465:J465"/>
    <mergeCell ref="I473:L473"/>
    <mergeCell ref="S473:V473"/>
    <mergeCell ref="I471:L471"/>
    <mergeCell ref="S471:V471"/>
    <mergeCell ref="I499:L499"/>
    <mergeCell ref="N464:Q464"/>
    <mergeCell ref="S475:V475"/>
    <mergeCell ref="N482:Q482"/>
    <mergeCell ref="N483:Q483"/>
    <mergeCell ref="N484:Q484"/>
    <mergeCell ref="N485:Q485"/>
    <mergeCell ref="N486:Q486"/>
    <mergeCell ref="N487:O487"/>
    <mergeCell ref="P487:Q487"/>
    <mergeCell ref="N480:Q480"/>
    <mergeCell ref="S479:V479"/>
    <mergeCell ref="I476:J476"/>
    <mergeCell ref="K476:L476"/>
    <mergeCell ref="I438:L438"/>
    <mergeCell ref="S415:V415"/>
    <mergeCell ref="I450:L450"/>
    <mergeCell ref="N428:Q428"/>
    <mergeCell ref="K441:L441"/>
    <mergeCell ref="S414:V414"/>
    <mergeCell ref="Z419:AA419"/>
    <mergeCell ref="F419:G419"/>
    <mergeCell ref="S416:V416"/>
    <mergeCell ref="D430:E430"/>
    <mergeCell ref="D417:G417"/>
    <mergeCell ref="N417:Q417"/>
    <mergeCell ref="I415:L415"/>
    <mergeCell ref="D426:G426"/>
    <mergeCell ref="I426:L426"/>
    <mergeCell ref="I414:L414"/>
    <mergeCell ref="I417:L417"/>
    <mergeCell ref="D440:G440"/>
    <mergeCell ref="K419:L419"/>
    <mergeCell ref="I430:J430"/>
    <mergeCell ref="N429:Q429"/>
    <mergeCell ref="S449:V449"/>
    <mergeCell ref="N415:Q415"/>
    <mergeCell ref="N414:Q414"/>
    <mergeCell ref="D418:G418"/>
    <mergeCell ref="N434:Q434"/>
    <mergeCell ref="N436:Q436"/>
    <mergeCell ref="N437:Q437"/>
    <mergeCell ref="I436:L436"/>
    <mergeCell ref="I427:L427"/>
    <mergeCell ref="X415:AA415"/>
    <mergeCell ref="X422:AA427"/>
    <mergeCell ref="X342:AA342"/>
    <mergeCell ref="S334:V334"/>
    <mergeCell ref="D336:G336"/>
    <mergeCell ref="D349:G349"/>
    <mergeCell ref="D334:G334"/>
    <mergeCell ref="D327:G327"/>
    <mergeCell ref="I338:L338"/>
    <mergeCell ref="D316:G316"/>
    <mergeCell ref="D315:G315"/>
    <mergeCell ref="S306:T306"/>
    <mergeCell ref="N337:Q337"/>
    <mergeCell ref="S304:V304"/>
    <mergeCell ref="X316:AA316"/>
    <mergeCell ref="N311:Q311"/>
    <mergeCell ref="S338:V338"/>
    <mergeCell ref="Z350:AA350"/>
    <mergeCell ref="X349:AA349"/>
    <mergeCell ref="X345:AA345"/>
    <mergeCell ref="S345:V345"/>
    <mergeCell ref="D338:G338"/>
    <mergeCell ref="S349:V349"/>
    <mergeCell ref="N343:Q343"/>
    <mergeCell ref="D347:G347"/>
    <mergeCell ref="X328:Y328"/>
    <mergeCell ref="I331:L331"/>
    <mergeCell ref="X339:Y339"/>
    <mergeCell ref="X343:AA343"/>
    <mergeCell ref="D346:G346"/>
    <mergeCell ref="D350:E350"/>
    <mergeCell ref="I332:L332"/>
    <mergeCell ref="N338:Q338"/>
    <mergeCell ref="D339:E339"/>
    <mergeCell ref="X287:AA292"/>
    <mergeCell ref="N288:Q288"/>
    <mergeCell ref="N287:Q287"/>
    <mergeCell ref="I298:L298"/>
    <mergeCell ref="I291:L291"/>
    <mergeCell ref="X314:AA314"/>
    <mergeCell ref="N314:Q314"/>
    <mergeCell ref="S314:V314"/>
    <mergeCell ref="I300:L300"/>
    <mergeCell ref="N300:Q300"/>
    <mergeCell ref="X306:Y306"/>
    <mergeCell ref="X317:Y317"/>
    <mergeCell ref="I303:L303"/>
    <mergeCell ref="I302:L302"/>
    <mergeCell ref="X299:AA299"/>
    <mergeCell ref="N293:Q293"/>
    <mergeCell ref="I305:L305"/>
    <mergeCell ref="X293:AA293"/>
    <mergeCell ref="X305:AA305"/>
    <mergeCell ref="X294:AA294"/>
    <mergeCell ref="Z295:AA295"/>
    <mergeCell ref="S293:V293"/>
    <mergeCell ref="N294:Q294"/>
    <mergeCell ref="X309:AA309"/>
    <mergeCell ref="X298:AA298"/>
    <mergeCell ref="S316:V316"/>
    <mergeCell ref="I317:J317"/>
    <mergeCell ref="P317:Q317"/>
    <mergeCell ref="Z317:AA317"/>
    <mergeCell ref="U306:V306"/>
    <mergeCell ref="N305:Q305"/>
    <mergeCell ref="N316:Q316"/>
    <mergeCell ref="X282:AA282"/>
    <mergeCell ref="X284:Y284"/>
    <mergeCell ref="S282:V282"/>
    <mergeCell ref="Z284:AA284"/>
    <mergeCell ref="D252:G252"/>
    <mergeCell ref="X277:AA277"/>
    <mergeCell ref="S259:V259"/>
    <mergeCell ref="X259:AA259"/>
    <mergeCell ref="P272:Q272"/>
    <mergeCell ref="N261:O261"/>
    <mergeCell ref="S280:V280"/>
    <mergeCell ref="I269:L269"/>
    <mergeCell ref="N269:Q269"/>
    <mergeCell ref="I270:L270"/>
    <mergeCell ref="N270:Q270"/>
    <mergeCell ref="D256:G256"/>
    <mergeCell ref="N259:Q259"/>
    <mergeCell ref="N260:Q260"/>
    <mergeCell ref="I261:J261"/>
    <mergeCell ref="K261:L261"/>
    <mergeCell ref="X283:AA283"/>
    <mergeCell ref="X280:AA280"/>
    <mergeCell ref="K272:L272"/>
    <mergeCell ref="D265:G265"/>
    <mergeCell ref="I265:L265"/>
    <mergeCell ref="X107:Y107"/>
    <mergeCell ref="D94:G94"/>
    <mergeCell ref="D205:E205"/>
    <mergeCell ref="F205:G205"/>
    <mergeCell ref="X201:AA201"/>
    <mergeCell ref="X202:AA202"/>
    <mergeCell ref="X203:AA203"/>
    <mergeCell ref="I203:L203"/>
    <mergeCell ref="I204:L204"/>
    <mergeCell ref="X235:AA235"/>
    <mergeCell ref="S230:V230"/>
    <mergeCell ref="I234:L234"/>
    <mergeCell ref="S96:V96"/>
    <mergeCell ref="I116:L116"/>
    <mergeCell ref="X96:AA96"/>
    <mergeCell ref="X94:AA94"/>
    <mergeCell ref="S95:V95"/>
    <mergeCell ref="D96:G96"/>
    <mergeCell ref="P127:Q127"/>
    <mergeCell ref="X120:AA120"/>
    <mergeCell ref="D147:G147"/>
    <mergeCell ref="X140:AA140"/>
    <mergeCell ref="D144:G144"/>
    <mergeCell ref="I147:L147"/>
    <mergeCell ref="S121:V121"/>
    <mergeCell ref="X121:AA121"/>
    <mergeCell ref="D141:E141"/>
    <mergeCell ref="X127:Y127"/>
    <mergeCell ref="D132:G132"/>
    <mergeCell ref="I132:L132"/>
    <mergeCell ref="D127:E127"/>
    <mergeCell ref="X95:AA95"/>
    <mergeCell ref="D26:F26"/>
    <mergeCell ref="D27:F27"/>
    <mergeCell ref="D28:F28"/>
    <mergeCell ref="D29:F29"/>
    <mergeCell ref="D30:F30"/>
    <mergeCell ref="I27:K27"/>
    <mergeCell ref="I29:K29"/>
    <mergeCell ref="G26:H26"/>
    <mergeCell ref="G27:H27"/>
    <mergeCell ref="I90:L90"/>
    <mergeCell ref="D40:G40"/>
    <mergeCell ref="T28:W28"/>
    <mergeCell ref="D84:G84"/>
    <mergeCell ref="N50:Q50"/>
    <mergeCell ref="F42:G42"/>
    <mergeCell ref="T31:W31"/>
    <mergeCell ref="X84:AA84"/>
    <mergeCell ref="I28:K28"/>
    <mergeCell ref="K87:L87"/>
    <mergeCell ref="L29:M29"/>
    <mergeCell ref="S87:T87"/>
    <mergeCell ref="D55:G59"/>
    <mergeCell ref="D60:G60"/>
    <mergeCell ref="D61:G61"/>
    <mergeCell ref="D62:E62"/>
    <mergeCell ref="F62:G62"/>
    <mergeCell ref="P87:Q87"/>
    <mergeCell ref="F87:G87"/>
    <mergeCell ref="R28:S28"/>
    <mergeCell ref="P52:Q52"/>
    <mergeCell ref="I30:K30"/>
    <mergeCell ref="D66:AA66"/>
    <mergeCell ref="T27:W27"/>
    <mergeCell ref="D33:AA33"/>
    <mergeCell ref="D95:G95"/>
    <mergeCell ref="L31:O31"/>
    <mergeCell ref="I31:J31"/>
    <mergeCell ref="I26:K26"/>
    <mergeCell ref="G28:H28"/>
    <mergeCell ref="G29:H29"/>
    <mergeCell ref="G30:H30"/>
    <mergeCell ref="I41:L41"/>
    <mergeCell ref="I80:L80"/>
    <mergeCell ref="S85:V85"/>
    <mergeCell ref="I91:L91"/>
    <mergeCell ref="S52:T52"/>
    <mergeCell ref="X126:AA126"/>
    <mergeCell ref="N83:Q83"/>
    <mergeCell ref="X81:AA81"/>
    <mergeCell ref="D42:E42"/>
    <mergeCell ref="S42:T42"/>
    <mergeCell ref="N100:Q100"/>
    <mergeCell ref="S117:T117"/>
    <mergeCell ref="N113:Q113"/>
    <mergeCell ref="U42:V42"/>
    <mergeCell ref="N93:Q93"/>
    <mergeCell ref="N51:Q51"/>
    <mergeCell ref="N40:Q40"/>
    <mergeCell ref="S40:V40"/>
    <mergeCell ref="R26:S26"/>
    <mergeCell ref="I83:L83"/>
    <mergeCell ref="N84:Q84"/>
    <mergeCell ref="S41:V41"/>
    <mergeCell ref="I45:L49"/>
    <mergeCell ref="I84:L84"/>
    <mergeCell ref="X80:AA80"/>
    <mergeCell ref="S81:V81"/>
    <mergeCell ref="S83:V83"/>
    <mergeCell ref="I85:L85"/>
    <mergeCell ref="D93:G93"/>
    <mergeCell ref="D80:G80"/>
    <mergeCell ref="I42:J42"/>
    <mergeCell ref="K42:L42"/>
    <mergeCell ref="I87:J87"/>
    <mergeCell ref="D52:E52"/>
    <mergeCell ref="N86:Q86"/>
    <mergeCell ref="F52:G52"/>
    <mergeCell ref="I52:J52"/>
    <mergeCell ref="X93:AA93"/>
    <mergeCell ref="S84:V84"/>
    <mergeCell ref="N81:Q81"/>
    <mergeCell ref="K52:L52"/>
    <mergeCell ref="D78:AA78"/>
    <mergeCell ref="Z87:AA87"/>
    <mergeCell ref="N87:O87"/>
    <mergeCell ref="D85:G85"/>
    <mergeCell ref="D86:G86"/>
    <mergeCell ref="D87:E87"/>
    <mergeCell ref="U87:V87"/>
    <mergeCell ref="X42:Y42"/>
    <mergeCell ref="S90:V90"/>
    <mergeCell ref="S73:V73"/>
    <mergeCell ref="X73:AA73"/>
    <mergeCell ref="D74:G74"/>
    <mergeCell ref="I74:L74"/>
    <mergeCell ref="N74:Q74"/>
    <mergeCell ref="U1:X1"/>
    <mergeCell ref="U52:V52"/>
    <mergeCell ref="X50:AA50"/>
    <mergeCell ref="T24:W24"/>
    <mergeCell ref="T25:W25"/>
    <mergeCell ref="T26:W26"/>
    <mergeCell ref="X51:AA51"/>
    <mergeCell ref="X31:AA31"/>
    <mergeCell ref="S51:V51"/>
    <mergeCell ref="X52:Y52"/>
    <mergeCell ref="Z52:AA52"/>
    <mergeCell ref="X29:AA29"/>
    <mergeCell ref="R22:S22"/>
    <mergeCell ref="R24:S24"/>
    <mergeCell ref="Z42:AA42"/>
    <mergeCell ref="N52:O52"/>
    <mergeCell ref="D19:AA19"/>
    <mergeCell ref="X27:AA27"/>
    <mergeCell ref="T21:AA21"/>
    <mergeCell ref="R25:S25"/>
    <mergeCell ref="D50:G50"/>
    <mergeCell ref="I50:L50"/>
    <mergeCell ref="I40:L40"/>
    <mergeCell ref="X22:AA22"/>
    <mergeCell ref="I25:K25"/>
    <mergeCell ref="D23:F23"/>
    <mergeCell ref="D24:F24"/>
    <mergeCell ref="D25:F25"/>
    <mergeCell ref="G22:H22"/>
    <mergeCell ref="G24:H24"/>
    <mergeCell ref="G23:H23"/>
    <mergeCell ref="G25:H25"/>
    <mergeCell ref="B20:AB20"/>
    <mergeCell ref="X141:Y141"/>
    <mergeCell ref="S91:V91"/>
    <mergeCell ref="S93:V93"/>
    <mergeCell ref="S94:V94"/>
    <mergeCell ref="X113:AA113"/>
    <mergeCell ref="X40:AA40"/>
    <mergeCell ref="S110:V110"/>
    <mergeCell ref="X114:AA114"/>
    <mergeCell ref="D116:G116"/>
    <mergeCell ref="X115:AA115"/>
    <mergeCell ref="F97:G97"/>
    <mergeCell ref="I100:L100"/>
    <mergeCell ref="I101:L101"/>
    <mergeCell ref="P107:Q107"/>
    <mergeCell ref="I107:J107"/>
    <mergeCell ref="K107:L107"/>
    <mergeCell ref="I120:L125"/>
    <mergeCell ref="X101:AA101"/>
    <mergeCell ref="S97:T97"/>
    <mergeCell ref="U97:V97"/>
    <mergeCell ref="D90:G90"/>
    <mergeCell ref="D91:G91"/>
    <mergeCell ref="N90:Q90"/>
    <mergeCell ref="N105:Q105"/>
    <mergeCell ref="D97:E97"/>
    <mergeCell ref="N97:O97"/>
    <mergeCell ref="X87:Y87"/>
    <mergeCell ref="E98:F98"/>
    <mergeCell ref="S50:V50"/>
    <mergeCell ref="X28:AA28"/>
    <mergeCell ref="N42:O42"/>
    <mergeCell ref="D184:G184"/>
    <mergeCell ref="S184:V184"/>
    <mergeCell ref="D181:G181"/>
    <mergeCell ref="U141:V141"/>
    <mergeCell ref="D160:G160"/>
    <mergeCell ref="I138:L138"/>
    <mergeCell ref="N80:Q80"/>
    <mergeCell ref="X83:AA83"/>
    <mergeCell ref="I22:K22"/>
    <mergeCell ref="I23:K23"/>
    <mergeCell ref="I24:K24"/>
    <mergeCell ref="P42:Q42"/>
    <mergeCell ref="N45:Q49"/>
    <mergeCell ref="X41:AA41"/>
    <mergeCell ref="X26:AA26"/>
    <mergeCell ref="X25:AA25"/>
    <mergeCell ref="I86:L86"/>
    <mergeCell ref="N85:Q85"/>
    <mergeCell ref="N91:Q91"/>
    <mergeCell ref="N116:Q116"/>
    <mergeCell ref="S104:V104"/>
    <mergeCell ref="I106:L106"/>
    <mergeCell ref="Z117:AA117"/>
    <mergeCell ref="S122:V122"/>
    <mergeCell ref="S106:V106"/>
    <mergeCell ref="D105:G105"/>
    <mergeCell ref="X111:AA111"/>
    <mergeCell ref="T22:W22"/>
    <mergeCell ref="X24:AA24"/>
    <mergeCell ref="S45:V49"/>
    <mergeCell ref="I93:L93"/>
    <mergeCell ref="I81:L81"/>
    <mergeCell ref="B132:B174"/>
    <mergeCell ref="X174:Y174"/>
    <mergeCell ref="N171:Q171"/>
    <mergeCell ref="N172:Q172"/>
    <mergeCell ref="N152:O152"/>
    <mergeCell ref="S172:V172"/>
    <mergeCell ref="D44:G44"/>
    <mergeCell ref="X85:AA85"/>
    <mergeCell ref="X86:AA86"/>
    <mergeCell ref="X90:AA90"/>
    <mergeCell ref="X91:AA91"/>
    <mergeCell ref="D41:G41"/>
    <mergeCell ref="P97:Q97"/>
    <mergeCell ref="X135:AA135"/>
    <mergeCell ref="I51:L51"/>
    <mergeCell ref="D51:G51"/>
    <mergeCell ref="X122:AA122"/>
    <mergeCell ref="N94:Q94"/>
    <mergeCell ref="X106:AA106"/>
    <mergeCell ref="D107:E107"/>
    <mergeCell ref="F107:G107"/>
    <mergeCell ref="I117:J117"/>
    <mergeCell ref="D133:G133"/>
    <mergeCell ref="D117:E117"/>
    <mergeCell ref="S105:V105"/>
    <mergeCell ref="N101:Q101"/>
    <mergeCell ref="I97:J97"/>
    <mergeCell ref="J98:K98"/>
    <mergeCell ref="N104:Q104"/>
    <mergeCell ref="N95:Q95"/>
    <mergeCell ref="K117:L117"/>
    <mergeCell ref="I105:L105"/>
    <mergeCell ref="F117:G117"/>
    <mergeCell ref="D140:G140"/>
    <mergeCell ref="Z97:AA97"/>
    <mergeCell ref="I111:L111"/>
    <mergeCell ref="I113:L113"/>
    <mergeCell ref="I114:L114"/>
    <mergeCell ref="N117:O117"/>
    <mergeCell ref="N126:Q126"/>
    <mergeCell ref="D165:G170"/>
    <mergeCell ref="D114:G114"/>
    <mergeCell ref="D111:G111"/>
    <mergeCell ref="D113:G113"/>
    <mergeCell ref="N115:Q115"/>
    <mergeCell ref="N107:O107"/>
    <mergeCell ref="D110:G110"/>
    <mergeCell ref="N114:Q114"/>
    <mergeCell ref="D126:G126"/>
    <mergeCell ref="D115:G115"/>
    <mergeCell ref="X116:AA116"/>
    <mergeCell ref="F152:G152"/>
    <mergeCell ref="X105:AA105"/>
    <mergeCell ref="D137:G137"/>
    <mergeCell ref="N140:Q140"/>
    <mergeCell ref="D151:G151"/>
    <mergeCell ref="D152:E152"/>
    <mergeCell ref="D135:G135"/>
    <mergeCell ref="I145:L145"/>
    <mergeCell ref="S133:V133"/>
    <mergeCell ref="S135:V135"/>
    <mergeCell ref="S138:V138"/>
    <mergeCell ref="X137:AA137"/>
    <mergeCell ref="N138:Q138"/>
    <mergeCell ref="I192:L192"/>
    <mergeCell ref="I195:J195"/>
    <mergeCell ref="I173:L173"/>
    <mergeCell ref="X146:AA146"/>
    <mergeCell ref="I140:L140"/>
    <mergeCell ref="N132:Q132"/>
    <mergeCell ref="N161:Q161"/>
    <mergeCell ref="S162:V162"/>
    <mergeCell ref="S132:V132"/>
    <mergeCell ref="I150:L150"/>
    <mergeCell ref="I141:J141"/>
    <mergeCell ref="I183:L183"/>
    <mergeCell ref="I161:L161"/>
    <mergeCell ref="K152:L152"/>
    <mergeCell ref="S181:V181"/>
    <mergeCell ref="I143:L143"/>
    <mergeCell ref="X165:AA165"/>
    <mergeCell ref="S183:V183"/>
    <mergeCell ref="I174:J174"/>
    <mergeCell ref="I178:L178"/>
    <mergeCell ref="N183:Q183"/>
    <mergeCell ref="K174:L174"/>
    <mergeCell ref="X133:AA133"/>
    <mergeCell ref="X169:AA169"/>
    <mergeCell ref="S171:V171"/>
    <mergeCell ref="N174:O174"/>
    <mergeCell ref="S173:V173"/>
    <mergeCell ref="I137:L137"/>
    <mergeCell ref="S152:T152"/>
    <mergeCell ref="I160:L160"/>
    <mergeCell ref="D136:G136"/>
    <mergeCell ref="F163:G163"/>
    <mergeCell ref="D154:G159"/>
    <mergeCell ref="D163:E163"/>
    <mergeCell ref="D145:G145"/>
    <mergeCell ref="F141:G141"/>
    <mergeCell ref="D161:G161"/>
    <mergeCell ref="N137:Q137"/>
    <mergeCell ref="P152:Q152"/>
    <mergeCell ref="N143:Q148"/>
    <mergeCell ref="X154:AA159"/>
    <mergeCell ref="X160:AA160"/>
    <mergeCell ref="N173:Q173"/>
    <mergeCell ref="S143:V148"/>
    <mergeCell ref="X143:AA143"/>
    <mergeCell ref="X151:AA151"/>
    <mergeCell ref="X166:AA166"/>
    <mergeCell ref="D171:G171"/>
    <mergeCell ref="D174:E174"/>
    <mergeCell ref="D150:G150"/>
    <mergeCell ref="D178:G178"/>
    <mergeCell ref="D183:G183"/>
    <mergeCell ref="D173:G173"/>
    <mergeCell ref="I151:L151"/>
    <mergeCell ref="K141:L141"/>
    <mergeCell ref="I144:L144"/>
    <mergeCell ref="I171:L171"/>
    <mergeCell ref="F174:G174"/>
    <mergeCell ref="N182:Q182"/>
    <mergeCell ref="I181:L181"/>
    <mergeCell ref="D143:G143"/>
    <mergeCell ref="S160:V160"/>
    <mergeCell ref="X172:AA172"/>
    <mergeCell ref="S161:V161"/>
    <mergeCell ref="Z174:AA174"/>
    <mergeCell ref="I163:J163"/>
    <mergeCell ref="I154:L159"/>
    <mergeCell ref="N154:Q159"/>
    <mergeCell ref="D148:G148"/>
    <mergeCell ref="X163:Y163"/>
    <mergeCell ref="X150:AA150"/>
    <mergeCell ref="X181:AA181"/>
    <mergeCell ref="D172:G172"/>
    <mergeCell ref="D149:G149"/>
    <mergeCell ref="S120:V120"/>
    <mergeCell ref="X139:AA139"/>
    <mergeCell ref="P141:Q141"/>
    <mergeCell ref="N149:Q149"/>
    <mergeCell ref="S126:V126"/>
    <mergeCell ref="U127:V127"/>
    <mergeCell ref="S150:V150"/>
    <mergeCell ref="U152:V152"/>
    <mergeCell ref="S139:V139"/>
    <mergeCell ref="S149:V149"/>
    <mergeCell ref="X124:AA124"/>
    <mergeCell ref="S140:V140"/>
    <mergeCell ref="S141:T141"/>
    <mergeCell ref="N151:Q151"/>
    <mergeCell ref="S151:V151"/>
    <mergeCell ref="U163:V163"/>
    <mergeCell ref="X136:AA136"/>
    <mergeCell ref="N160:Q160"/>
    <mergeCell ref="S124:V124"/>
    <mergeCell ref="X162:AA162"/>
    <mergeCell ref="S127:T127"/>
    <mergeCell ref="D131:AA131"/>
    <mergeCell ref="N141:O141"/>
    <mergeCell ref="I139:L139"/>
    <mergeCell ref="N127:O127"/>
    <mergeCell ref="Z163:AA163"/>
    <mergeCell ref="X144:AA144"/>
    <mergeCell ref="Z127:AA127"/>
    <mergeCell ref="X147:AA147"/>
    <mergeCell ref="X125:AA125"/>
    <mergeCell ref="N133:Q133"/>
    <mergeCell ref="D138:G138"/>
    <mergeCell ref="I188:L188"/>
    <mergeCell ref="X194:AA194"/>
    <mergeCell ref="N230:Q230"/>
    <mergeCell ref="P174:Q174"/>
    <mergeCell ref="N202:Q202"/>
    <mergeCell ref="S199:V199"/>
    <mergeCell ref="S201:V201"/>
    <mergeCell ref="S202:V202"/>
    <mergeCell ref="N208:Q208"/>
    <mergeCell ref="S208:V208"/>
    <mergeCell ref="X208:AA208"/>
    <mergeCell ref="N192:Q192"/>
    <mergeCell ref="N181:Q181"/>
    <mergeCell ref="N231:Q231"/>
    <mergeCell ref="X231:AA231"/>
    <mergeCell ref="S179:V179"/>
    <mergeCell ref="S163:T163"/>
    <mergeCell ref="N165:Q170"/>
    <mergeCell ref="P163:Q163"/>
    <mergeCell ref="P185:Q185"/>
    <mergeCell ref="P195:Q195"/>
    <mergeCell ref="I165:L170"/>
    <mergeCell ref="I231:L231"/>
    <mergeCell ref="X185:Y185"/>
    <mergeCell ref="I191:L191"/>
    <mergeCell ref="X205:Y205"/>
    <mergeCell ref="N198:Q198"/>
    <mergeCell ref="N199:Q199"/>
    <mergeCell ref="N188:Q188"/>
    <mergeCell ref="N184:Q184"/>
    <mergeCell ref="Z185:AA185"/>
    <mergeCell ref="N203:Q203"/>
    <mergeCell ref="N209:Q209"/>
    <mergeCell ref="S231:V231"/>
    <mergeCell ref="S193:V193"/>
    <mergeCell ref="S192:V192"/>
    <mergeCell ref="N185:O185"/>
    <mergeCell ref="Z205:AA205"/>
    <mergeCell ref="X195:Y195"/>
    <mergeCell ref="U185:V185"/>
    <mergeCell ref="X204:AA204"/>
    <mergeCell ref="N193:Q193"/>
    <mergeCell ref="X230:AA230"/>
    <mergeCell ref="S205:T205"/>
    <mergeCell ref="X171:AA171"/>
    <mergeCell ref="N179:Q179"/>
    <mergeCell ref="N233:Q233"/>
    <mergeCell ref="S209:V209"/>
    <mergeCell ref="S204:V204"/>
    <mergeCell ref="N204:Q204"/>
    <mergeCell ref="N205:O205"/>
    <mergeCell ref="P205:Q205"/>
    <mergeCell ref="S203:V203"/>
    <mergeCell ref="X233:AA233"/>
    <mergeCell ref="Z195:AA195"/>
    <mergeCell ref="S236:V236"/>
    <mergeCell ref="D233:G233"/>
    <mergeCell ref="I233:L233"/>
    <mergeCell ref="N241:Q241"/>
    <mergeCell ref="I245:L245"/>
    <mergeCell ref="P261:Q261"/>
    <mergeCell ref="I252:L252"/>
    <mergeCell ref="N245:Q245"/>
    <mergeCell ref="X247:AA247"/>
    <mergeCell ref="X250:Y250"/>
    <mergeCell ref="I172:L172"/>
    <mergeCell ref="I185:J185"/>
    <mergeCell ref="X183:AA183"/>
    <mergeCell ref="I182:L182"/>
    <mergeCell ref="I179:L179"/>
    <mergeCell ref="I198:L198"/>
    <mergeCell ref="K205:L205"/>
    <mergeCell ref="S215:T215"/>
    <mergeCell ref="U215:V215"/>
    <mergeCell ref="X215:Y215"/>
    <mergeCell ref="Z215:AA215"/>
    <mergeCell ref="N212:Q212"/>
    <mergeCell ref="K215:L215"/>
    <mergeCell ref="N215:O215"/>
    <mergeCell ref="S178:V178"/>
    <mergeCell ref="K185:L185"/>
    <mergeCell ref="X199:AA199"/>
    <mergeCell ref="X198:AA198"/>
    <mergeCell ref="N247:Q247"/>
    <mergeCell ref="X237:AA237"/>
    <mergeCell ref="P239:Q239"/>
    <mergeCell ref="S182:V182"/>
    <mergeCell ref="D191:G191"/>
    <mergeCell ref="F185:G185"/>
    <mergeCell ref="D238:G238"/>
    <mergeCell ref="N236:Q236"/>
    <mergeCell ref="D229:AA229"/>
    <mergeCell ref="S241:V241"/>
    <mergeCell ref="X238:AA238"/>
    <mergeCell ref="X239:Y239"/>
    <mergeCell ref="S235:V235"/>
    <mergeCell ref="I238:L238"/>
    <mergeCell ref="I242:L242"/>
    <mergeCell ref="D241:G241"/>
    <mergeCell ref="D276:G276"/>
    <mergeCell ref="X276:AA276"/>
    <mergeCell ref="S246:V246"/>
    <mergeCell ref="D253:G253"/>
    <mergeCell ref="I230:L230"/>
    <mergeCell ref="N263:Q263"/>
    <mergeCell ref="N258:Q258"/>
    <mergeCell ref="K250:L250"/>
    <mergeCell ref="S252:V252"/>
    <mergeCell ref="X252:AA257"/>
    <mergeCell ref="S253:V253"/>
    <mergeCell ref="S254:V254"/>
    <mergeCell ref="S256:V256"/>
    <mergeCell ref="S257:V257"/>
    <mergeCell ref="S258:V258"/>
    <mergeCell ref="X258:AA258"/>
    <mergeCell ref="D189:G189"/>
    <mergeCell ref="X188:AA193"/>
    <mergeCell ref="S185:T185"/>
    <mergeCell ref="N201:Q201"/>
    <mergeCell ref="N237:Q237"/>
    <mergeCell ref="D185:E185"/>
    <mergeCell ref="D179:G179"/>
    <mergeCell ref="D219:G219"/>
    <mergeCell ref="D221:G221"/>
    <mergeCell ref="D222:G222"/>
    <mergeCell ref="D223:G223"/>
    <mergeCell ref="D224:G224"/>
    <mergeCell ref="D225:E225"/>
    <mergeCell ref="X249:AA249"/>
    <mergeCell ref="S242:V242"/>
    <mergeCell ref="U239:V239"/>
    <mergeCell ref="K239:L239"/>
    <mergeCell ref="D204:G204"/>
    <mergeCell ref="I241:L241"/>
    <mergeCell ref="X234:AA234"/>
    <mergeCell ref="I247:L247"/>
    <mergeCell ref="S249:V249"/>
    <mergeCell ref="D237:G237"/>
    <mergeCell ref="D236:G236"/>
    <mergeCell ref="K195:L195"/>
    <mergeCell ref="I199:L199"/>
    <mergeCell ref="I202:L202"/>
    <mergeCell ref="U195:V195"/>
    <mergeCell ref="U205:V205"/>
    <mergeCell ref="D193:G193"/>
    <mergeCell ref="P215:Q215"/>
    <mergeCell ref="N243:Q243"/>
    <mergeCell ref="S239:T239"/>
    <mergeCell ref="D162:G162"/>
    <mergeCell ref="I162:L162"/>
    <mergeCell ref="N162:Q162"/>
    <mergeCell ref="N235:Q235"/>
    <mergeCell ref="D188:G188"/>
    <mergeCell ref="I205:J205"/>
    <mergeCell ref="I201:L201"/>
    <mergeCell ref="D192:G192"/>
    <mergeCell ref="I193:L193"/>
    <mergeCell ref="N191:Q191"/>
    <mergeCell ref="I235:L235"/>
    <mergeCell ref="X179:AA179"/>
    <mergeCell ref="Z239:AA239"/>
    <mergeCell ref="N239:O239"/>
    <mergeCell ref="S234:V234"/>
    <mergeCell ref="S237:V237"/>
    <mergeCell ref="N234:Q234"/>
    <mergeCell ref="S233:V233"/>
    <mergeCell ref="D194:G194"/>
    <mergeCell ref="D208:G213"/>
    <mergeCell ref="I208:L208"/>
    <mergeCell ref="I209:L209"/>
    <mergeCell ref="X209:AA209"/>
    <mergeCell ref="I211:L211"/>
    <mergeCell ref="N211:Q211"/>
    <mergeCell ref="S211:V211"/>
    <mergeCell ref="X211:AA211"/>
    <mergeCell ref="I212:L212"/>
    <mergeCell ref="I184:L184"/>
    <mergeCell ref="X182:AA182"/>
    <mergeCell ref="S198:V198"/>
    <mergeCell ref="X184:AA184"/>
    <mergeCell ref="I95:L95"/>
    <mergeCell ref="I94:L94"/>
    <mergeCell ref="D101:G101"/>
    <mergeCell ref="K97:L97"/>
    <mergeCell ref="N411:Q411"/>
    <mergeCell ref="S86:V86"/>
    <mergeCell ref="D100:G100"/>
    <mergeCell ref="D104:G104"/>
    <mergeCell ref="I194:L194"/>
    <mergeCell ref="F384:G384"/>
    <mergeCell ref="I104:L104"/>
    <mergeCell ref="S100:V100"/>
    <mergeCell ref="S101:V101"/>
    <mergeCell ref="N106:Q106"/>
    <mergeCell ref="N327:Q327"/>
    <mergeCell ref="I328:J328"/>
    <mergeCell ref="S303:V303"/>
    <mergeCell ref="I283:L283"/>
    <mergeCell ref="D281:G281"/>
    <mergeCell ref="S294:V294"/>
    <mergeCell ref="N395:Q395"/>
    <mergeCell ref="N252:Q252"/>
    <mergeCell ref="N280:Q280"/>
    <mergeCell ref="I276:L276"/>
    <mergeCell ref="F250:G250"/>
    <mergeCell ref="D277:G277"/>
    <mergeCell ref="S389:V389"/>
    <mergeCell ref="K396:L396"/>
    <mergeCell ref="I237:L237"/>
    <mergeCell ref="N283:Q283"/>
    <mergeCell ref="N284:O284"/>
    <mergeCell ref="P117:Q117"/>
    <mergeCell ref="N392:Q392"/>
    <mergeCell ref="S407:T407"/>
    <mergeCell ref="B580:G580"/>
    <mergeCell ref="B579:G579"/>
    <mergeCell ref="B577:G577"/>
    <mergeCell ref="T29:W29"/>
    <mergeCell ref="N41:Q41"/>
    <mergeCell ref="X97:Y97"/>
    <mergeCell ref="S80:V80"/>
    <mergeCell ref="X104:AA104"/>
    <mergeCell ref="X338:AA338"/>
    <mergeCell ref="B298:B307"/>
    <mergeCell ref="I321:L321"/>
    <mergeCell ref="I248:L248"/>
    <mergeCell ref="U250:V250"/>
    <mergeCell ref="I250:J250"/>
    <mergeCell ref="S248:V248"/>
    <mergeCell ref="P250:Q250"/>
    <mergeCell ref="S250:T250"/>
    <mergeCell ref="N250:O250"/>
    <mergeCell ref="Y579:AB579"/>
    <mergeCell ref="N96:Q96"/>
    <mergeCell ref="D106:G106"/>
    <mergeCell ref="D31:E31"/>
    <mergeCell ref="D81:G81"/>
    <mergeCell ref="D83:G83"/>
    <mergeCell ref="Y580:AB580"/>
    <mergeCell ref="S327:V327"/>
    <mergeCell ref="K384:L384"/>
    <mergeCell ref="I392:L392"/>
    <mergeCell ref="I350:J350"/>
    <mergeCell ref="S384:T384"/>
    <mergeCell ref="X347:AA347"/>
    <mergeCell ref="D348:G348"/>
    <mergeCell ref="S370:V370"/>
    <mergeCell ref="D384:E384"/>
    <mergeCell ref="S372:T372"/>
    <mergeCell ref="X353:AA353"/>
    <mergeCell ref="X354:AA354"/>
    <mergeCell ref="X360:AA360"/>
    <mergeCell ref="K350:L350"/>
    <mergeCell ref="X381:AA381"/>
    <mergeCell ref="N377:Q377"/>
    <mergeCell ref="D388:G388"/>
    <mergeCell ref="D377:G377"/>
    <mergeCell ref="I377:L377"/>
    <mergeCell ref="N381:Q381"/>
    <mergeCell ref="N382:Q382"/>
    <mergeCell ref="I382:L382"/>
    <mergeCell ref="F372:G372"/>
    <mergeCell ref="D364:G369"/>
    <mergeCell ref="I348:L348"/>
    <mergeCell ref="D381:G381"/>
    <mergeCell ref="X357:AA357"/>
    <mergeCell ref="X358:AA358"/>
    <mergeCell ref="N349:Q349"/>
    <mergeCell ref="X356:AA356"/>
    <mergeCell ref="D379:G379"/>
    <mergeCell ref="F350:G350"/>
    <mergeCell ref="B574:G574"/>
    <mergeCell ref="N529:Q529"/>
    <mergeCell ref="S529:V529"/>
    <mergeCell ref="N530:O530"/>
    <mergeCell ref="P530:Q530"/>
    <mergeCell ref="S530:T530"/>
    <mergeCell ref="U530:V530"/>
    <mergeCell ref="N509:Q509"/>
    <mergeCell ref="N505:Q505"/>
    <mergeCell ref="D528:G528"/>
    <mergeCell ref="I528:L528"/>
    <mergeCell ref="D529:G529"/>
    <mergeCell ref="C565:AA565"/>
    <mergeCell ref="D532:AA532"/>
    <mergeCell ref="X534:AA534"/>
    <mergeCell ref="N535:Q535"/>
    <mergeCell ref="S535:V535"/>
    <mergeCell ref="X535:AA535"/>
    <mergeCell ref="N537:Q537"/>
    <mergeCell ref="S537:V537"/>
    <mergeCell ref="X537:AA537"/>
    <mergeCell ref="N538:Q538"/>
    <mergeCell ref="S538:V538"/>
    <mergeCell ref="X538:AA538"/>
    <mergeCell ref="N539:Q539"/>
    <mergeCell ref="S539:V539"/>
    <mergeCell ref="X539:AA539"/>
    <mergeCell ref="D540:G540"/>
    <mergeCell ref="D541:G541"/>
    <mergeCell ref="I541:L541"/>
    <mergeCell ref="N541:Q541"/>
    <mergeCell ref="S541:V541"/>
    <mergeCell ref="B309:B318"/>
    <mergeCell ref="D311:G311"/>
    <mergeCell ref="B320:B329"/>
    <mergeCell ref="D317:E317"/>
    <mergeCell ref="B388:B397"/>
    <mergeCell ref="X518:AA518"/>
    <mergeCell ref="S328:T328"/>
    <mergeCell ref="D320:G320"/>
    <mergeCell ref="I339:J339"/>
    <mergeCell ref="I336:L336"/>
    <mergeCell ref="I324:L324"/>
    <mergeCell ref="B331:B340"/>
    <mergeCell ref="X498:AA498"/>
    <mergeCell ref="D321:G321"/>
    <mergeCell ref="D314:G314"/>
    <mergeCell ref="I440:L440"/>
    <mergeCell ref="I428:L428"/>
    <mergeCell ref="D425:G425"/>
    <mergeCell ref="X348:AA348"/>
    <mergeCell ref="F361:G361"/>
    <mergeCell ref="P361:Q361"/>
    <mergeCell ref="N324:Q324"/>
    <mergeCell ref="U419:V419"/>
    <mergeCell ref="N345:Q345"/>
    <mergeCell ref="I326:L326"/>
    <mergeCell ref="I512:L517"/>
    <mergeCell ref="B411:B419"/>
    <mergeCell ref="S462:V462"/>
    <mergeCell ref="D457:G457"/>
    <mergeCell ref="I458:L458"/>
    <mergeCell ref="S446:V446"/>
    <mergeCell ref="B422:B442"/>
    <mergeCell ref="B276:B285"/>
    <mergeCell ref="D406:G406"/>
    <mergeCell ref="S353:V358"/>
    <mergeCell ref="S359:V359"/>
    <mergeCell ref="S360:V360"/>
    <mergeCell ref="S361:T361"/>
    <mergeCell ref="U361:V361"/>
    <mergeCell ref="I353:L358"/>
    <mergeCell ref="N353:Q358"/>
    <mergeCell ref="I359:L359"/>
    <mergeCell ref="N359:Q359"/>
    <mergeCell ref="I360:L360"/>
    <mergeCell ref="N360:Q360"/>
    <mergeCell ref="I361:J361"/>
    <mergeCell ref="B353:B362"/>
    <mergeCell ref="N388:Q388"/>
    <mergeCell ref="D392:G392"/>
    <mergeCell ref="N383:Q383"/>
    <mergeCell ref="S281:V281"/>
    <mergeCell ref="N306:O306"/>
    <mergeCell ref="K284:L284"/>
    <mergeCell ref="S381:V381"/>
    <mergeCell ref="I379:L379"/>
    <mergeCell ref="S300:V300"/>
    <mergeCell ref="N370:Q370"/>
    <mergeCell ref="B287:B296"/>
    <mergeCell ref="D359:G359"/>
    <mergeCell ref="S309:V309"/>
    <mergeCell ref="I294:L294"/>
    <mergeCell ref="P295:Q295"/>
    <mergeCell ref="F284:G284"/>
    <mergeCell ref="D288:G288"/>
    <mergeCell ref="D228:AA228"/>
    <mergeCell ref="D176:AA176"/>
    <mergeCell ref="D130:AA130"/>
    <mergeCell ref="D257:G257"/>
    <mergeCell ref="D258:G258"/>
    <mergeCell ref="D259:G259"/>
    <mergeCell ref="D260:G260"/>
    <mergeCell ref="F261:G261"/>
    <mergeCell ref="D120:G120"/>
    <mergeCell ref="D121:G121"/>
    <mergeCell ref="D123:G123"/>
    <mergeCell ref="K163:L163"/>
    <mergeCell ref="S194:V194"/>
    <mergeCell ref="N194:Q194"/>
    <mergeCell ref="S189:V189"/>
    <mergeCell ref="S188:V188"/>
    <mergeCell ref="D239:E239"/>
    <mergeCell ref="D250:E250"/>
    <mergeCell ref="D245:G245"/>
    <mergeCell ref="S195:T195"/>
    <mergeCell ref="D242:G242"/>
    <mergeCell ref="D243:G243"/>
    <mergeCell ref="N178:Q178"/>
    <mergeCell ref="N163:O163"/>
    <mergeCell ref="D124:G124"/>
    <mergeCell ref="D125:G125"/>
    <mergeCell ref="S165:V170"/>
    <mergeCell ref="N242:Q242"/>
    <mergeCell ref="S243:V243"/>
    <mergeCell ref="X173:AA173"/>
    <mergeCell ref="D247:G247"/>
    <mergeCell ref="S238:V238"/>
    <mergeCell ref="Y583:AB583"/>
    <mergeCell ref="X388:AA388"/>
    <mergeCell ref="Z250:AA250"/>
    <mergeCell ref="X313:AA313"/>
    <mergeCell ref="X327:AA327"/>
    <mergeCell ref="N279:Q279"/>
    <mergeCell ref="B578:G578"/>
    <mergeCell ref="B576:G576"/>
    <mergeCell ref="B575:G575"/>
    <mergeCell ref="B573:G573"/>
    <mergeCell ref="B572:G572"/>
    <mergeCell ref="I388:L388"/>
    <mergeCell ref="K328:L328"/>
    <mergeCell ref="N331:Q331"/>
    <mergeCell ref="D335:G335"/>
    <mergeCell ref="D313:G313"/>
    <mergeCell ref="I243:L243"/>
    <mergeCell ref="Y572:AB572"/>
    <mergeCell ref="Y573:AB573"/>
    <mergeCell ref="E566:P566"/>
    <mergeCell ref="D526:G526"/>
    <mergeCell ref="D534:G539"/>
    <mergeCell ref="I534:L539"/>
    <mergeCell ref="N534:Q534"/>
    <mergeCell ref="B399:B408"/>
    <mergeCell ref="N405:Q405"/>
    <mergeCell ref="D304:G304"/>
    <mergeCell ref="N406:Q406"/>
    <mergeCell ref="I402:L402"/>
    <mergeCell ref="N335:Q335"/>
    <mergeCell ref="I520:J520"/>
    <mergeCell ref="K520:L520"/>
    <mergeCell ref="Z107:AA107"/>
    <mergeCell ref="N189:Q189"/>
    <mergeCell ref="X178:AA178"/>
    <mergeCell ref="X149:AA149"/>
    <mergeCell ref="X152:Y152"/>
    <mergeCell ref="X148:AA148"/>
    <mergeCell ref="X167:AA167"/>
    <mergeCell ref="X161:AA161"/>
    <mergeCell ref="D279:G279"/>
    <mergeCell ref="N325:Q325"/>
    <mergeCell ref="X110:AA110"/>
    <mergeCell ref="I126:L126"/>
    <mergeCell ref="I135:L135"/>
    <mergeCell ref="Z152:AA152"/>
    <mergeCell ref="Z141:AA141"/>
    <mergeCell ref="S114:V114"/>
    <mergeCell ref="X117:Y117"/>
    <mergeCell ref="X132:AA132"/>
    <mergeCell ref="I136:L136"/>
    <mergeCell ref="N136:Q136"/>
    <mergeCell ref="N135:Q135"/>
    <mergeCell ref="I133:L133"/>
    <mergeCell ref="D234:G234"/>
    <mergeCell ref="I256:L256"/>
    <mergeCell ref="I257:L257"/>
    <mergeCell ref="I258:L258"/>
    <mergeCell ref="I259:L259"/>
    <mergeCell ref="D231:G231"/>
    <mergeCell ref="I236:L236"/>
    <mergeCell ref="D195:E195"/>
    <mergeCell ref="D230:G230"/>
    <mergeCell ref="U117:V117"/>
    <mergeCell ref="X100:AA100"/>
    <mergeCell ref="F127:G127"/>
    <mergeCell ref="I127:J127"/>
    <mergeCell ref="I152:J152"/>
    <mergeCell ref="S125:V125"/>
    <mergeCell ref="D139:G139"/>
    <mergeCell ref="I383:L383"/>
    <mergeCell ref="I393:L393"/>
    <mergeCell ref="I260:L260"/>
    <mergeCell ref="X248:AA248"/>
    <mergeCell ref="N150:Q150"/>
    <mergeCell ref="I315:L315"/>
    <mergeCell ref="F339:G339"/>
    <mergeCell ref="P384:Q384"/>
    <mergeCell ref="X384:Y384"/>
    <mergeCell ref="I148:L148"/>
    <mergeCell ref="S154:V159"/>
    <mergeCell ref="I189:L189"/>
    <mergeCell ref="S174:T174"/>
    <mergeCell ref="S137:V137"/>
    <mergeCell ref="S136:V136"/>
    <mergeCell ref="I149:L149"/>
    <mergeCell ref="N139:Q139"/>
    <mergeCell ref="X138:AA138"/>
    <mergeCell ref="D182:G182"/>
    <mergeCell ref="X376:AA376"/>
    <mergeCell ref="F239:G239"/>
    <mergeCell ref="D235:G235"/>
    <mergeCell ref="N195:O195"/>
    <mergeCell ref="P284:Q284"/>
    <mergeCell ref="N257:Q257"/>
    <mergeCell ref="N248:Q248"/>
    <mergeCell ref="Y588:AB588"/>
    <mergeCell ref="Y585:AB585"/>
    <mergeCell ref="Y586:AB586"/>
    <mergeCell ref="X170:AA170"/>
    <mergeCell ref="Y574:AB574"/>
    <mergeCell ref="Y575:AB575"/>
    <mergeCell ref="Y576:AB576"/>
    <mergeCell ref="S276:V276"/>
    <mergeCell ref="S295:T295"/>
    <mergeCell ref="U284:V284"/>
    <mergeCell ref="X241:AA246"/>
    <mergeCell ref="X279:AA279"/>
    <mergeCell ref="S191:V191"/>
    <mergeCell ref="S113:V113"/>
    <mergeCell ref="S350:T350"/>
    <mergeCell ref="U350:V350"/>
    <mergeCell ref="U174:V174"/>
    <mergeCell ref="Z339:AA339"/>
    <mergeCell ref="S321:V321"/>
    <mergeCell ref="S342:V342"/>
    <mergeCell ref="X519:AA519"/>
    <mergeCell ref="S411:V411"/>
    <mergeCell ref="S388:V388"/>
    <mergeCell ref="Y582:AB582"/>
    <mergeCell ref="Y578:AB578"/>
    <mergeCell ref="Y577:AB577"/>
    <mergeCell ref="S346:V346"/>
    <mergeCell ref="S313:V313"/>
    <mergeCell ref="S315:V315"/>
    <mergeCell ref="Y587:AB587"/>
    <mergeCell ref="Y584:AB584"/>
    <mergeCell ref="D569:AA569"/>
    <mergeCell ref="B342:B351"/>
    <mergeCell ref="D527:G527"/>
    <mergeCell ref="I540:L540"/>
    <mergeCell ref="N540:Q540"/>
    <mergeCell ref="S540:V540"/>
    <mergeCell ref="X540:AA540"/>
    <mergeCell ref="S534:V534"/>
    <mergeCell ref="D474:G474"/>
    <mergeCell ref="I474:L474"/>
    <mergeCell ref="X468:AA468"/>
    <mergeCell ref="D469:G469"/>
    <mergeCell ref="I469:L469"/>
    <mergeCell ref="S469:V469"/>
    <mergeCell ref="X469:AA469"/>
    <mergeCell ref="X450:AA450"/>
    <mergeCell ref="I468:L468"/>
    <mergeCell ref="S468:V468"/>
    <mergeCell ref="X430:Y430"/>
    <mergeCell ref="X429:AA429"/>
    <mergeCell ref="F430:G430"/>
    <mergeCell ref="X464:AA464"/>
    <mergeCell ref="I464:L464"/>
    <mergeCell ref="I449:L449"/>
    <mergeCell ref="S460:V460"/>
    <mergeCell ref="U465:V465"/>
    <mergeCell ref="S396:T396"/>
    <mergeCell ref="D475:G475"/>
    <mergeCell ref="I475:L475"/>
    <mergeCell ref="I429:L429"/>
    <mergeCell ref="D446:G446"/>
    <mergeCell ref="S429:V429"/>
    <mergeCell ref="I389:L389"/>
    <mergeCell ref="I115:L115"/>
    <mergeCell ref="D374:AA374"/>
    <mergeCell ref="S115:V115"/>
    <mergeCell ref="I254:L254"/>
    <mergeCell ref="S245:V245"/>
    <mergeCell ref="N342:Q342"/>
    <mergeCell ref="I325:L325"/>
    <mergeCell ref="D323:G323"/>
    <mergeCell ref="D326:G326"/>
    <mergeCell ref="I346:L346"/>
    <mergeCell ref="I334:L334"/>
    <mergeCell ref="N336:Q336"/>
    <mergeCell ref="I349:L349"/>
    <mergeCell ref="P350:Q350"/>
    <mergeCell ref="D331:G331"/>
    <mergeCell ref="D332:G332"/>
    <mergeCell ref="I337:L337"/>
    <mergeCell ref="K339:L339"/>
    <mergeCell ref="N339:O339"/>
    <mergeCell ref="P339:Q339"/>
    <mergeCell ref="D328:E328"/>
    <mergeCell ref="F328:G328"/>
    <mergeCell ref="F195:G195"/>
    <mergeCell ref="Z328:AA328"/>
    <mergeCell ref="X236:AA236"/>
    <mergeCell ref="I267:L267"/>
    <mergeCell ref="X331:AA336"/>
    <mergeCell ref="D361:E361"/>
    <mergeCell ref="X359:AA359"/>
    <mergeCell ref="N238:Q238"/>
    <mergeCell ref="S116:V116"/>
    <mergeCell ref="N281:Q281"/>
    <mergeCell ref="I96:L96"/>
    <mergeCell ref="N522:Q522"/>
    <mergeCell ref="S522:V522"/>
    <mergeCell ref="N523:Q523"/>
    <mergeCell ref="S523:V523"/>
    <mergeCell ref="N525:Q525"/>
    <mergeCell ref="S525:V525"/>
    <mergeCell ref="N526:Q526"/>
    <mergeCell ref="S526:V526"/>
    <mergeCell ref="N527:Q527"/>
    <mergeCell ref="S527:V527"/>
    <mergeCell ref="N528:Q528"/>
    <mergeCell ref="S528:V528"/>
    <mergeCell ref="K127:L127"/>
    <mergeCell ref="I253:L253"/>
    <mergeCell ref="I110:L110"/>
    <mergeCell ref="U107:V107"/>
    <mergeCell ref="N110:Q110"/>
    <mergeCell ref="S107:T107"/>
    <mergeCell ref="S111:V111"/>
    <mergeCell ref="I306:J306"/>
    <mergeCell ref="N111:Q111"/>
    <mergeCell ref="I268:L268"/>
    <mergeCell ref="N268:Q268"/>
    <mergeCell ref="S264:V264"/>
    <mergeCell ref="S265:V265"/>
    <mergeCell ref="S267:V267"/>
    <mergeCell ref="S268:V268"/>
    <mergeCell ref="S269:V269"/>
    <mergeCell ref="S270:V270"/>
    <mergeCell ref="N120:Q125"/>
    <mergeCell ref="I279:L279"/>
    <mergeCell ref="S582:X582"/>
    <mergeCell ref="S583:X583"/>
    <mergeCell ref="S584:X584"/>
    <mergeCell ref="S585:X585"/>
    <mergeCell ref="S586:X586"/>
    <mergeCell ref="S587:X587"/>
    <mergeCell ref="S588:X588"/>
    <mergeCell ref="B571:Q571"/>
    <mergeCell ref="S571:AB571"/>
    <mergeCell ref="W11:AA13"/>
    <mergeCell ref="J11:N15"/>
    <mergeCell ref="D11:H14"/>
    <mergeCell ref="Q11:U15"/>
    <mergeCell ref="H572:Q572"/>
    <mergeCell ref="H573:Q573"/>
    <mergeCell ref="H574:Q574"/>
    <mergeCell ref="H575:Q575"/>
    <mergeCell ref="H576:Q576"/>
    <mergeCell ref="H577:Q577"/>
    <mergeCell ref="H578:Q578"/>
    <mergeCell ref="H579:Q579"/>
    <mergeCell ref="H580:Q580"/>
    <mergeCell ref="S572:X572"/>
    <mergeCell ref="S573:X573"/>
    <mergeCell ref="S574:X574"/>
    <mergeCell ref="S575:X575"/>
    <mergeCell ref="S576:X576"/>
    <mergeCell ref="S577:X577"/>
    <mergeCell ref="S578:X578"/>
    <mergeCell ref="S579:X579"/>
    <mergeCell ref="S580:X580"/>
    <mergeCell ref="C567:AA567"/>
    <mergeCell ref="X541:AA541"/>
    <mergeCell ref="D542:E542"/>
    <mergeCell ref="F542:G542"/>
    <mergeCell ref="I542:J542"/>
    <mergeCell ref="K542:L542"/>
    <mergeCell ref="N542:O542"/>
    <mergeCell ref="P542:Q542"/>
    <mergeCell ref="S542:T542"/>
    <mergeCell ref="U542:V542"/>
    <mergeCell ref="X542:Y542"/>
    <mergeCell ref="Z542:AA542"/>
    <mergeCell ref="D544:G549"/>
    <mergeCell ref="I544:L549"/>
    <mergeCell ref="N544:Q544"/>
    <mergeCell ref="S544:V544"/>
    <mergeCell ref="X544:AA544"/>
    <mergeCell ref="N545:Q545"/>
    <mergeCell ref="S545:V545"/>
    <mergeCell ref="X545:AA545"/>
    <mergeCell ref="N547:Q547"/>
    <mergeCell ref="S547:V547"/>
    <mergeCell ref="X547:AA547"/>
    <mergeCell ref="N548:Q548"/>
    <mergeCell ref="S548:V548"/>
    <mergeCell ref="X548:AA548"/>
    <mergeCell ref="N549:Q549"/>
    <mergeCell ref="S549:V549"/>
    <mergeCell ref="X549:AA549"/>
    <mergeCell ref="X560:AA560"/>
    <mergeCell ref="D550:G550"/>
    <mergeCell ref="I550:L550"/>
    <mergeCell ref="N550:Q550"/>
    <mergeCell ref="S550:V550"/>
    <mergeCell ref="X550:AA550"/>
    <mergeCell ref="D551:G551"/>
    <mergeCell ref="I551:L551"/>
    <mergeCell ref="N551:Q551"/>
    <mergeCell ref="S551:V551"/>
    <mergeCell ref="X551:AA551"/>
    <mergeCell ref="D552:E552"/>
    <mergeCell ref="F552:G552"/>
    <mergeCell ref="I552:J552"/>
    <mergeCell ref="K552:L552"/>
    <mergeCell ref="N552:O552"/>
    <mergeCell ref="P552:Q552"/>
    <mergeCell ref="S552:T552"/>
    <mergeCell ref="U552:V552"/>
    <mergeCell ref="X552:Y552"/>
    <mergeCell ref="Z552:AA552"/>
    <mergeCell ref="D561:G561"/>
    <mergeCell ref="I561:L561"/>
    <mergeCell ref="N561:Q561"/>
    <mergeCell ref="S561:V561"/>
    <mergeCell ref="X561:AA561"/>
    <mergeCell ref="D562:E562"/>
    <mergeCell ref="F562:G562"/>
    <mergeCell ref="I562:J562"/>
    <mergeCell ref="K562:L562"/>
    <mergeCell ref="N562:O562"/>
    <mergeCell ref="P562:Q562"/>
    <mergeCell ref="S562:T562"/>
    <mergeCell ref="U562:V562"/>
    <mergeCell ref="X562:Y562"/>
    <mergeCell ref="Z562:AA562"/>
    <mergeCell ref="D554:G559"/>
    <mergeCell ref="I554:L559"/>
    <mergeCell ref="S554:V554"/>
    <mergeCell ref="X554:AA554"/>
    <mergeCell ref="S555:V555"/>
    <mergeCell ref="X555:AA555"/>
    <mergeCell ref="S557:V557"/>
    <mergeCell ref="X557:AA557"/>
    <mergeCell ref="S558:V558"/>
    <mergeCell ref="X558:AA558"/>
    <mergeCell ref="S559:V559"/>
    <mergeCell ref="X559:AA559"/>
    <mergeCell ref="N554:Q559"/>
    <mergeCell ref="D560:G560"/>
    <mergeCell ref="I560:L560"/>
    <mergeCell ref="N560:Q560"/>
    <mergeCell ref="S560:V560"/>
    <mergeCell ref="I406:L406"/>
    <mergeCell ref="F396:G396"/>
    <mergeCell ref="S428:V428"/>
    <mergeCell ref="X396:Y396"/>
    <mergeCell ref="N407:O407"/>
    <mergeCell ref="I416:L416"/>
    <mergeCell ref="X411:AA411"/>
    <mergeCell ref="S418:V418"/>
    <mergeCell ref="N422:Q422"/>
    <mergeCell ref="Z306:AA306"/>
    <mergeCell ref="I304:L304"/>
    <mergeCell ref="S311:V311"/>
    <mergeCell ref="N310:Q310"/>
    <mergeCell ref="D302:G302"/>
    <mergeCell ref="N320:Q320"/>
    <mergeCell ref="X323:AA323"/>
    <mergeCell ref="D306:E306"/>
    <mergeCell ref="X302:AA302"/>
    <mergeCell ref="N303:Q303"/>
    <mergeCell ref="X310:AA310"/>
    <mergeCell ref="N317:O317"/>
    <mergeCell ref="K306:L306"/>
    <mergeCell ref="D325:G325"/>
    <mergeCell ref="N334:Q334"/>
    <mergeCell ref="I376:L376"/>
    <mergeCell ref="N302:Q302"/>
    <mergeCell ref="X324:AA324"/>
    <mergeCell ref="I327:L327"/>
    <mergeCell ref="X321:AA321"/>
    <mergeCell ref="S325:V325"/>
    <mergeCell ref="N348:Q348"/>
    <mergeCell ref="N309:Q309"/>
    <mergeCell ref="X337:AA337"/>
    <mergeCell ref="S324:V324"/>
    <mergeCell ref="X326:AA326"/>
    <mergeCell ref="I239:J239"/>
    <mergeCell ref="I293:L293"/>
    <mergeCell ref="N291:Q291"/>
    <mergeCell ref="P306:Q306"/>
    <mergeCell ref="I263:L263"/>
    <mergeCell ref="N246:Q246"/>
    <mergeCell ref="D249:G249"/>
    <mergeCell ref="I249:L249"/>
    <mergeCell ref="D248:G248"/>
    <mergeCell ref="D246:G246"/>
    <mergeCell ref="N254:Q254"/>
    <mergeCell ref="N256:Q256"/>
    <mergeCell ref="F317:G317"/>
    <mergeCell ref="N290:Q290"/>
    <mergeCell ref="N313:Q313"/>
    <mergeCell ref="P328:Q328"/>
    <mergeCell ref="D284:E284"/>
    <mergeCell ref="D309:G309"/>
    <mergeCell ref="N326:Q326"/>
    <mergeCell ref="N332:Q332"/>
    <mergeCell ref="I316:L316"/>
    <mergeCell ref="S247:V247"/>
    <mergeCell ref="I246:L246"/>
    <mergeCell ref="D263:G263"/>
    <mergeCell ref="D282:G282"/>
    <mergeCell ref="N276:Q276"/>
    <mergeCell ref="N282:Q282"/>
    <mergeCell ref="I295:J295"/>
    <mergeCell ref="S298:V298"/>
    <mergeCell ref="N267:Q267"/>
    <mergeCell ref="D268:G268"/>
    <mergeCell ref="D283:G283"/>
    <mergeCell ref="I282:L282"/>
    <mergeCell ref="D300:G300"/>
    <mergeCell ref="D295:E295"/>
    <mergeCell ref="F295:G295"/>
    <mergeCell ref="I287:L287"/>
    <mergeCell ref="I299:L299"/>
    <mergeCell ref="N299:Q299"/>
    <mergeCell ref="N295:O295"/>
    <mergeCell ref="S302:V302"/>
    <mergeCell ref="I320:L320"/>
    <mergeCell ref="S337:V337"/>
    <mergeCell ref="D343:G343"/>
    <mergeCell ref="D372:E372"/>
    <mergeCell ref="N371:Q371"/>
    <mergeCell ref="D342:G342"/>
    <mergeCell ref="I343:L343"/>
    <mergeCell ref="S348:V348"/>
    <mergeCell ref="N298:Q298"/>
    <mergeCell ref="S343:V343"/>
    <mergeCell ref="D345:G345"/>
    <mergeCell ref="S261:T261"/>
    <mergeCell ref="U261:V261"/>
    <mergeCell ref="X261:Y261"/>
    <mergeCell ref="Z261:AA261"/>
    <mergeCell ref="D264:G264"/>
    <mergeCell ref="S299:V299"/>
    <mergeCell ref="D324:G324"/>
    <mergeCell ref="S332:V332"/>
    <mergeCell ref="I264:L264"/>
    <mergeCell ref="N264:Q264"/>
    <mergeCell ref="D303:G303"/>
    <mergeCell ref="S392:V392"/>
    <mergeCell ref="D337:G337"/>
    <mergeCell ref="N384:O384"/>
    <mergeCell ref="N347:Q347"/>
    <mergeCell ref="D310:G310"/>
    <mergeCell ref="S263:V263"/>
    <mergeCell ref="D280:G280"/>
    <mergeCell ref="S279:V279"/>
    <mergeCell ref="I384:J384"/>
    <mergeCell ref="D274:AA274"/>
    <mergeCell ref="I381:L381"/>
    <mergeCell ref="D371:G371"/>
    <mergeCell ref="I371:L371"/>
    <mergeCell ref="D271:G271"/>
    <mergeCell ref="I271:L271"/>
    <mergeCell ref="N271:Q271"/>
    <mergeCell ref="D272:E272"/>
    <mergeCell ref="F272:G272"/>
    <mergeCell ref="I272:J272"/>
    <mergeCell ref="N265:Q265"/>
    <mergeCell ref="D267:G267"/>
    <mergeCell ref="U328:V328"/>
    <mergeCell ref="D298:G298"/>
    <mergeCell ref="K295:L295"/>
    <mergeCell ref="D299:G299"/>
    <mergeCell ref="N304:Q304"/>
    <mergeCell ref="D305:G305"/>
    <mergeCell ref="S305:V305"/>
    <mergeCell ref="S317:T317"/>
    <mergeCell ref="N315:Q315"/>
    <mergeCell ref="S310:V310"/>
    <mergeCell ref="S320:V320"/>
    <mergeCell ref="Y1:AA1"/>
    <mergeCell ref="X446:AA446"/>
    <mergeCell ref="X447:AA447"/>
    <mergeCell ref="X449:AA449"/>
    <mergeCell ref="S212:V212"/>
    <mergeCell ref="X212:AA212"/>
    <mergeCell ref="I213:L213"/>
    <mergeCell ref="N213:Q213"/>
    <mergeCell ref="S213:V213"/>
    <mergeCell ref="X213:AA213"/>
    <mergeCell ref="D214:G214"/>
    <mergeCell ref="I214:L214"/>
    <mergeCell ref="N214:Q214"/>
    <mergeCell ref="S214:V214"/>
    <mergeCell ref="X214:AA214"/>
    <mergeCell ref="D215:E215"/>
    <mergeCell ref="F215:G215"/>
    <mergeCell ref="I215:J215"/>
    <mergeCell ref="D270:G270"/>
    <mergeCell ref="S260:V260"/>
    <mergeCell ref="X260:AA260"/>
    <mergeCell ref="I347:L347"/>
    <mergeCell ref="N350:O350"/>
    <mergeCell ref="F306:G306"/>
    <mergeCell ref="S323:V323"/>
    <mergeCell ref="N321:Q321"/>
    <mergeCell ref="X295:Y295"/>
    <mergeCell ref="X300:AA300"/>
    <mergeCell ref="X311:AA311"/>
    <mergeCell ref="N433:Q433"/>
    <mergeCell ref="N379:Q379"/>
    <mergeCell ref="D382:G382"/>
    <mergeCell ref="S271:V271"/>
    <mergeCell ref="S272:T272"/>
    <mergeCell ref="U272:V272"/>
    <mergeCell ref="D269:G269"/>
    <mergeCell ref="D353:G358"/>
    <mergeCell ref="N272:O272"/>
    <mergeCell ref="D291:G291"/>
    <mergeCell ref="N277:Q277"/>
    <mergeCell ref="I288:L288"/>
    <mergeCell ref="I277:L277"/>
    <mergeCell ref="S277:V277"/>
    <mergeCell ref="D287:G287"/>
    <mergeCell ref="D292:G292"/>
    <mergeCell ref="I280:L280"/>
    <mergeCell ref="D360:G360"/>
    <mergeCell ref="I309:L314"/>
    <mergeCell ref="K317:L317"/>
    <mergeCell ref="I290:L290"/>
    <mergeCell ref="U317:V317"/>
    <mergeCell ref="S287:V292"/>
    <mergeCell ref="U295:V295"/>
    <mergeCell ref="S484:V484"/>
    <mergeCell ref="X484:AA484"/>
    <mergeCell ref="S485:V485"/>
    <mergeCell ref="X485:AA485"/>
    <mergeCell ref="S486:V486"/>
    <mergeCell ref="X486:AA486"/>
    <mergeCell ref="S487:T487"/>
    <mergeCell ref="U487:V487"/>
    <mergeCell ref="X487:Y487"/>
    <mergeCell ref="Z487:AA487"/>
    <mergeCell ref="K465:L465"/>
    <mergeCell ref="X281:AA281"/>
    <mergeCell ref="I281:L281"/>
    <mergeCell ref="X361:Y361"/>
    <mergeCell ref="Z361:AA361"/>
    <mergeCell ref="D468:G468"/>
    <mergeCell ref="S326:V326"/>
    <mergeCell ref="N438:Q438"/>
    <mergeCell ref="N439:Q439"/>
    <mergeCell ref="N440:Q440"/>
    <mergeCell ref="N441:O441"/>
    <mergeCell ref="P441:Q441"/>
    <mergeCell ref="S283:V283"/>
    <mergeCell ref="S284:T284"/>
    <mergeCell ref="X304:AA304"/>
    <mergeCell ref="X303:AA303"/>
    <mergeCell ref="X391:AA391"/>
    <mergeCell ref="I380:L380"/>
    <mergeCell ref="I342:L342"/>
    <mergeCell ref="N323:Q323"/>
    <mergeCell ref="I335:L335"/>
    <mergeCell ref="N380:Q380"/>
  </mergeCells>
  <phoneticPr fontId="3" type="noConversion"/>
  <conditionalFormatting sqref="U530:V530 P530:Q530 K530:L530 F530:G530 F520:G520 K520:L520 P520:Q520 U520:V520 Z520:AA520 P510:Q510 K510:L510 F510:G510 Z465:AA465 F454:G454 K454:L454 K441:L441 F441:G441 F430:G430 K430:L430 P430:Q430 U430:V430 Z430:AA430 U419:V419 F407:G407 K407:L407 P407:Q407 P396:Q396 K396:L396 F396:G396 P384:Q384 K384:L384 F384:G384 F361:G361 K361:L361 P361:Q361 U361:V361 P350:Q350 F350:G350 F339:G339 K339:L339 P339:Q339 U339:V339 P328:Q328 K328:L328 F328:G328 F317:G317 K317:L317 P317:Q317 U306:V306 P306:Q306 K306:L306 F306:G306 F295:G295 K295:L295 P295:Q295 U295:V295 Z295:AA295 Z284:AA284 F284:G284 F239:G239 K239:L239 P239:Q239 U239:V239 Z239:AA239 Z250:AA250 U250:V250 K250:L250 F250:G250 F261:G261 F185:G185 K185:L185 P185:Q185 U185:V185 Z185:AA185 Z195:AA195 U195:V195 K195:L195 F195:G195 F205:G205 F141:G141 K141:L141 P141:Q141 U141:V141 Z141:AA141 Z152:AA152 U152:V152 P152:Q152 K152:L152 F152:G152 F163:G163 K163:L163 P163:Q163 U163:V163 Z163:AA163 F174:G174 F87:G87 K87:L87 P87:Q87 U87:V87 Z87:AA87 Z97:AA97 U97:V97 P97:Q97 K97:L97 F97:G97 F107:G107 K107:L107 P107:Q107 U107:V107 Z107:AA107 Z117:AA117 U117:V117 P117:Q117 K117:L117 F117:G117 F42:G42 K42:L42 P42:Q42 U42:V42 Z42:AA42 Z52:AA52 U52:V52 P52:Q52 K52:L52 F52:G52 N22:O30 F542:G564 K542:L564 Z542:AA543 U542:V543 P542:Q564 U465:V465 U553:V564 Z553:AA564">
    <cfRule type="cellIs" dxfId="202" priority="144" operator="notEqual">
      <formula>0</formula>
    </cfRule>
  </conditionalFormatting>
  <conditionalFormatting sqref="H579">
    <cfRule type="expression" dxfId="201" priority="877" stopIfTrue="1">
      <formula>$H$578=$D$592</formula>
    </cfRule>
  </conditionalFormatting>
  <conditionalFormatting sqref="Y586:AB587 U530:V530 P530:Q530 K530:L530 F530:G530 F520:G520 K520:L520 P520:Q520 U520:V520 Z520:AA520 P510:Q510 K510:L510 F510:G510 Z465:AA465 F454:G454 K454:L454 K441:L441 F441:G441 F430:G430 K430:L430 P430:Q430 U430:V430 Z430:AA430 U419:V419 F407:G407 K407:L407 P407:Q407 P396:Q396 K396:L396 F396:G396 F384:G384 K384:L384 P384:Q384 F141:G141 K141:L141 P141:Q141 U141:V141 Z141:AA141 Z152:AA152 U152:V152 P152:Q152 K152:L152 F152:G152 F163:G163 K163:L163 P163:Q163 U163:V163 Z163:AA163 F174:G174 F185:G185 K185:L185 P185:Q185 U185:V185 Z185:AA185 Z195:AA195 U195:V195 K195:L195 F195:G195 F205:G205 P328:Q328 F42:G42 K42:L42 P42:Q42 U42:V42 Z42:AA42 Z52:AA52 U52:V52 P52:Q52 K52:L52 F52:G52 F87:G87 K87:L87 P87:Q87 U87:V87 Z87:AA87 Z97:AA97 U97:V97 P97:Q97 K97:L97 F97:G97 F107:G107 K107:L107 P107:Q107 U107:V107 Z107:AA107 Z117:AA117 U117:V117 P117:Q117 K117:L117 F117:G117 Z239:AA239 Z250:AA250 U250:V250 U239:V239 P239:Q239 K250:L250 K239:L239 F239:G239 F250:G250 F261:G261 F284:G284 Z284:AA284 Z295:AA295 U295:V295 P295:Q295 K295:L295 F295:G295 F306:G306 K306:L306 P306:Q306 U306:V306 P317:Q317 K317:L317 F317:G317 F328:G328 K328:L328 U339:V339 P339:Q339 K339:L339 F339:G339 F350:G350 P350:Q350 U361:V361 P361:Q361 K361:L361 F361:G361 Y572:AB583 N22:O30 F542:G564 K542:L564 Z542:AA543 U542:V543 P542:Q564 U553:V564 Z553:AA564">
    <cfRule type="cellIs" dxfId="200" priority="136" operator="notEqual">
      <formula>0</formula>
    </cfRule>
  </conditionalFormatting>
  <conditionalFormatting sqref="Y585:AB585">
    <cfRule type="cellIs" dxfId="199" priority="129" operator="notEqual">
      <formula>0</formula>
    </cfRule>
  </conditionalFormatting>
  <conditionalFormatting sqref="Z339:AA339">
    <cfRule type="cellIs" dxfId="198" priority="126" operator="notEqual">
      <formula>0</formula>
    </cfRule>
  </conditionalFormatting>
  <conditionalFormatting sqref="Z339:AA339">
    <cfRule type="cellIs" dxfId="197" priority="125" operator="notEqual">
      <formula>0</formula>
    </cfRule>
  </conditionalFormatting>
  <conditionalFormatting sqref="Z384:AA384">
    <cfRule type="cellIs" dxfId="196" priority="124" operator="notEqual">
      <formula>0</formula>
    </cfRule>
  </conditionalFormatting>
  <conditionalFormatting sqref="Z384:AA384">
    <cfRule type="cellIs" dxfId="195" priority="123" operator="notEqual">
      <formula>0</formula>
    </cfRule>
  </conditionalFormatting>
  <conditionalFormatting sqref="U384:V384">
    <cfRule type="cellIs" dxfId="194" priority="122" operator="notEqual">
      <formula>0</formula>
    </cfRule>
  </conditionalFormatting>
  <conditionalFormatting sqref="U384:V384">
    <cfRule type="cellIs" dxfId="193" priority="121" operator="notEqual">
      <formula>0</formula>
    </cfRule>
  </conditionalFormatting>
  <conditionalFormatting sqref="Z476:AA476 K476:L476 F476:G476 U476:V476">
    <cfRule type="cellIs" dxfId="192" priority="120" operator="notEqual">
      <formula>0</formula>
    </cfRule>
  </conditionalFormatting>
  <conditionalFormatting sqref="Z476:AA476 K476:L476 F476:G476">
    <cfRule type="cellIs" dxfId="191" priority="119" operator="notEqual">
      <formula>0</formula>
    </cfRule>
  </conditionalFormatting>
  <conditionalFormatting sqref="F465:G465">
    <cfRule type="cellIs" dxfId="190" priority="118" operator="notEqual">
      <formula>0</formula>
    </cfRule>
  </conditionalFormatting>
  <conditionalFormatting sqref="F465:G465">
    <cfRule type="cellIs" dxfId="189" priority="117" operator="notEqual">
      <formula>0</formula>
    </cfRule>
  </conditionalFormatting>
  <conditionalFormatting sqref="K465:L465">
    <cfRule type="cellIs" dxfId="188" priority="116" operator="notEqual">
      <formula>0</formula>
    </cfRule>
  </conditionalFormatting>
  <conditionalFormatting sqref="K465:L465">
    <cfRule type="cellIs" dxfId="187" priority="115" operator="notEqual">
      <formula>0</formula>
    </cfRule>
  </conditionalFormatting>
  <conditionalFormatting sqref="U454:V454">
    <cfRule type="cellIs" dxfId="186" priority="114" operator="notEqual">
      <formula>0</formula>
    </cfRule>
  </conditionalFormatting>
  <conditionalFormatting sqref="U454:V454">
    <cfRule type="cellIs" dxfId="185" priority="113" operator="notEqual">
      <formula>0</formula>
    </cfRule>
  </conditionalFormatting>
  <conditionalFormatting sqref="U396:V396">
    <cfRule type="cellIs" dxfId="184" priority="112" operator="notEqual">
      <formula>0</formula>
    </cfRule>
  </conditionalFormatting>
  <conditionalFormatting sqref="U396:V396">
    <cfRule type="cellIs" dxfId="183" priority="111" operator="notEqual">
      <formula>0</formula>
    </cfRule>
  </conditionalFormatting>
  <conditionalFormatting sqref="U407:V407">
    <cfRule type="cellIs" dxfId="182" priority="110" operator="notEqual">
      <formula>0</formula>
    </cfRule>
  </conditionalFormatting>
  <conditionalFormatting sqref="U407:V407">
    <cfRule type="cellIs" dxfId="181" priority="109" operator="notEqual">
      <formula>0</formula>
    </cfRule>
  </conditionalFormatting>
  <conditionalFormatting sqref="F272:G272 K272:L272 P272:Q272">
    <cfRule type="cellIs" dxfId="180" priority="99" operator="notEqual">
      <formula>0</formula>
    </cfRule>
  </conditionalFormatting>
  <conditionalFormatting sqref="F215:G215 K215:L215 P215:Q215 U215:V215 Z215:AA215">
    <cfRule type="cellIs" dxfId="179" priority="101" operator="notEqual">
      <formula>0</formula>
    </cfRule>
  </conditionalFormatting>
  <conditionalFormatting sqref="Z361:AA361">
    <cfRule type="cellIs" dxfId="178" priority="108" operator="notEqual">
      <formula>0</formula>
    </cfRule>
  </conditionalFormatting>
  <conditionalFormatting sqref="Z361:AA361">
    <cfRule type="cellIs" dxfId="177" priority="107" operator="notEqual">
      <formula>0</formula>
    </cfRule>
  </conditionalFormatting>
  <conditionalFormatting sqref="K350:L350">
    <cfRule type="cellIs" dxfId="176" priority="106" operator="notEqual">
      <formula>0</formula>
    </cfRule>
  </conditionalFormatting>
  <conditionalFormatting sqref="K350:L350">
    <cfRule type="cellIs" dxfId="175" priority="105" operator="notEqual">
      <formula>0</formula>
    </cfRule>
  </conditionalFormatting>
  <conditionalFormatting sqref="F272:G272 K272:L272 P272:Q272">
    <cfRule type="cellIs" dxfId="174" priority="100" operator="notEqual">
      <formula>0</formula>
    </cfRule>
  </conditionalFormatting>
  <conditionalFormatting sqref="F215:G215 K215:L215 P215:Q215 U215:V215 Z215:AA215">
    <cfRule type="cellIs" dxfId="173" priority="102" operator="notEqual">
      <formula>0</formula>
    </cfRule>
  </conditionalFormatting>
  <conditionalFormatting sqref="Z205:AA205 U205:V205">
    <cfRule type="cellIs" dxfId="172" priority="98" operator="notEqual">
      <formula>0</formula>
    </cfRule>
  </conditionalFormatting>
  <conditionalFormatting sqref="Z205:AA205 U205:V205">
    <cfRule type="cellIs" dxfId="171" priority="97" operator="notEqual">
      <formula>0</formula>
    </cfRule>
  </conditionalFormatting>
  <conditionalFormatting sqref="P205:Q205">
    <cfRule type="cellIs" dxfId="170" priority="96" operator="notEqual">
      <formula>0</formula>
    </cfRule>
  </conditionalFormatting>
  <conditionalFormatting sqref="P205:Q205">
    <cfRule type="cellIs" dxfId="169" priority="95" operator="notEqual">
      <formula>0</formula>
    </cfRule>
  </conditionalFormatting>
  <conditionalFormatting sqref="K205:L205">
    <cfRule type="cellIs" dxfId="168" priority="94" operator="notEqual">
      <formula>0</formula>
    </cfRule>
  </conditionalFormatting>
  <conditionalFormatting sqref="K205:L205">
    <cfRule type="cellIs" dxfId="167" priority="93" operator="notEqual">
      <formula>0</formula>
    </cfRule>
  </conditionalFormatting>
  <conditionalFormatting sqref="P195:Q195">
    <cfRule type="cellIs" dxfId="166" priority="92" operator="notEqual">
      <formula>0</formula>
    </cfRule>
  </conditionalFormatting>
  <conditionalFormatting sqref="P195:Q195">
    <cfRule type="cellIs" dxfId="165" priority="91" operator="notEqual">
      <formula>0</formula>
    </cfRule>
  </conditionalFormatting>
  <conditionalFormatting sqref="Z261:AA261 U261:V261">
    <cfRule type="cellIs" dxfId="164" priority="90" operator="notEqual">
      <formula>0</formula>
    </cfRule>
  </conditionalFormatting>
  <conditionalFormatting sqref="Z261:AA261 U261:V261">
    <cfRule type="cellIs" dxfId="163" priority="89" operator="notEqual">
      <formula>0</formula>
    </cfRule>
  </conditionalFormatting>
  <conditionalFormatting sqref="P261:Q261">
    <cfRule type="cellIs" dxfId="162" priority="88" operator="notEqual">
      <formula>0</formula>
    </cfRule>
  </conditionalFormatting>
  <conditionalFormatting sqref="P261:Q261">
    <cfRule type="cellIs" dxfId="161" priority="87" operator="notEqual">
      <formula>0</formula>
    </cfRule>
  </conditionalFormatting>
  <conditionalFormatting sqref="K261:L261">
    <cfRule type="cellIs" dxfId="160" priority="86" operator="notEqual">
      <formula>0</formula>
    </cfRule>
  </conditionalFormatting>
  <conditionalFormatting sqref="K261:L261">
    <cfRule type="cellIs" dxfId="159" priority="85" operator="notEqual">
      <formula>0</formula>
    </cfRule>
  </conditionalFormatting>
  <conditionalFormatting sqref="P250:Q250">
    <cfRule type="cellIs" dxfId="158" priority="84" operator="notEqual">
      <formula>0</formula>
    </cfRule>
  </conditionalFormatting>
  <conditionalFormatting sqref="P250:Q250">
    <cfRule type="cellIs" dxfId="157" priority="83" operator="notEqual">
      <formula>0</formula>
    </cfRule>
  </conditionalFormatting>
  <conditionalFormatting sqref="F364:G372 K364:L372 U370:V372 P370:Q372">
    <cfRule type="cellIs" dxfId="156" priority="82" operator="notEqual">
      <formula>0</formula>
    </cfRule>
  </conditionalFormatting>
  <conditionalFormatting sqref="F364:G372 K364:L372 U370:V372 P370:Q372">
    <cfRule type="cellIs" dxfId="155" priority="81" operator="notEqual">
      <formula>0</formula>
    </cfRule>
  </conditionalFormatting>
  <conditionalFormatting sqref="Z454:AA454">
    <cfRule type="cellIs" dxfId="154" priority="74" operator="notEqual">
      <formula>0</formula>
    </cfRule>
  </conditionalFormatting>
  <conditionalFormatting sqref="Z454:AA454">
    <cfRule type="cellIs" dxfId="153" priority="73" operator="notEqual">
      <formula>0</formula>
    </cfRule>
  </conditionalFormatting>
  <conditionalFormatting sqref="U465:V465">
    <cfRule type="cellIs" dxfId="152" priority="72" operator="notEqual">
      <formula>0</formula>
    </cfRule>
  </conditionalFormatting>
  <conditionalFormatting sqref="U476:V476">
    <cfRule type="cellIs" dxfId="151" priority="71" operator="notEqual">
      <formula>0</formula>
    </cfRule>
  </conditionalFormatting>
  <conditionalFormatting sqref="U328:V328">
    <cfRule type="cellIs" dxfId="150" priority="70" operator="notEqual">
      <formula>0</formula>
    </cfRule>
  </conditionalFormatting>
  <conditionalFormatting sqref="U328:V328">
    <cfRule type="cellIs" dxfId="149" priority="69" operator="notEqual">
      <formula>0</formula>
    </cfRule>
  </conditionalFormatting>
  <conditionalFormatting sqref="F62:G62">
    <cfRule type="cellIs" dxfId="148" priority="66" operator="notEqual">
      <formula>0</formula>
    </cfRule>
  </conditionalFormatting>
  <conditionalFormatting sqref="F62:G62">
    <cfRule type="cellIs" dxfId="147" priority="65" operator="notEqual">
      <formula>0</formula>
    </cfRule>
  </conditionalFormatting>
  <conditionalFormatting sqref="P127:Q127">
    <cfRule type="cellIs" dxfId="146" priority="64" operator="notEqual">
      <formula>0</formula>
    </cfRule>
  </conditionalFormatting>
  <conditionalFormatting sqref="P127:Q127">
    <cfRule type="cellIs" dxfId="145" priority="63" operator="notEqual">
      <formula>0</formula>
    </cfRule>
  </conditionalFormatting>
  <conditionalFormatting sqref="K127:L127">
    <cfRule type="cellIs" dxfId="144" priority="62" operator="notEqual">
      <formula>0</formula>
    </cfRule>
  </conditionalFormatting>
  <conditionalFormatting sqref="K127:L127">
    <cfRule type="cellIs" dxfId="143" priority="61" operator="notEqual">
      <formula>0</formula>
    </cfRule>
  </conditionalFormatting>
  <conditionalFormatting sqref="F127:G127">
    <cfRule type="cellIs" dxfId="142" priority="60" operator="notEqual">
      <formula>0</formula>
    </cfRule>
  </conditionalFormatting>
  <conditionalFormatting sqref="F127:G127">
    <cfRule type="cellIs" dxfId="141" priority="59" operator="notEqual">
      <formula>0</formula>
    </cfRule>
  </conditionalFormatting>
  <conditionalFormatting sqref="K284:L284">
    <cfRule type="cellIs" dxfId="140" priority="58" operator="notEqual">
      <formula>0</formula>
    </cfRule>
  </conditionalFormatting>
  <conditionalFormatting sqref="K284:L284">
    <cfRule type="cellIs" dxfId="139" priority="57" operator="notEqual">
      <formula>0</formula>
    </cfRule>
  </conditionalFormatting>
  <conditionalFormatting sqref="P284:Q284">
    <cfRule type="cellIs" dxfId="138" priority="56" operator="notEqual">
      <formula>0</formula>
    </cfRule>
  </conditionalFormatting>
  <conditionalFormatting sqref="P284:Q284">
    <cfRule type="cellIs" dxfId="137" priority="55" operator="notEqual">
      <formula>0</formula>
    </cfRule>
  </conditionalFormatting>
  <conditionalFormatting sqref="U284:V284">
    <cfRule type="cellIs" dxfId="136" priority="54" operator="notEqual">
      <formula>0</formula>
    </cfRule>
  </conditionalFormatting>
  <conditionalFormatting sqref="U284:V284">
    <cfRule type="cellIs" dxfId="135" priority="53" operator="notEqual">
      <formula>0</formula>
    </cfRule>
  </conditionalFormatting>
  <conditionalFormatting sqref="U174:V174">
    <cfRule type="cellIs" dxfId="134" priority="52" operator="notEqual">
      <formula>0</formula>
    </cfRule>
  </conditionalFormatting>
  <conditionalFormatting sqref="U174:V174">
    <cfRule type="cellIs" dxfId="133" priority="51" operator="notEqual">
      <formula>0</formula>
    </cfRule>
  </conditionalFormatting>
  <conditionalFormatting sqref="P174:Q174">
    <cfRule type="cellIs" dxfId="132" priority="47" operator="notEqual">
      <formula>0</formula>
    </cfRule>
  </conditionalFormatting>
  <conditionalFormatting sqref="K174:L174">
    <cfRule type="cellIs" dxfId="131" priority="50" operator="notEqual">
      <formula>0</formula>
    </cfRule>
  </conditionalFormatting>
  <conditionalFormatting sqref="K174:L174">
    <cfRule type="cellIs" dxfId="130" priority="49" operator="notEqual">
      <formula>0</formula>
    </cfRule>
  </conditionalFormatting>
  <conditionalFormatting sqref="P174:Q174">
    <cfRule type="cellIs" dxfId="129" priority="48" operator="notEqual">
      <formula>0</formula>
    </cfRule>
  </conditionalFormatting>
  <conditionalFormatting sqref="F225:G225">
    <cfRule type="cellIs" dxfId="128" priority="45" operator="notEqual">
      <formula>0</formula>
    </cfRule>
  </conditionalFormatting>
  <conditionalFormatting sqref="F225:G225">
    <cfRule type="cellIs" dxfId="127" priority="46" operator="notEqual">
      <formula>0</formula>
    </cfRule>
  </conditionalFormatting>
  <conditionalFormatting sqref="U272:V272">
    <cfRule type="cellIs" dxfId="126" priority="44" operator="notEqual">
      <formula>0</formula>
    </cfRule>
  </conditionalFormatting>
  <conditionalFormatting sqref="U272:V272">
    <cfRule type="cellIs" dxfId="125" priority="43" operator="notEqual">
      <formula>0</formula>
    </cfRule>
  </conditionalFormatting>
  <conditionalFormatting sqref="U317:V317">
    <cfRule type="cellIs" dxfId="124" priority="42" operator="notEqual">
      <formula>0</formula>
    </cfRule>
  </conditionalFormatting>
  <conditionalFormatting sqref="U317:V317">
    <cfRule type="cellIs" dxfId="123" priority="41" operator="notEqual">
      <formula>0</formula>
    </cfRule>
  </conditionalFormatting>
  <conditionalFormatting sqref="Z317:AA317">
    <cfRule type="cellIs" dxfId="122" priority="40" operator="notEqual">
      <formula>0</formula>
    </cfRule>
  </conditionalFormatting>
  <conditionalFormatting sqref="Z317:AA317">
    <cfRule type="cellIs" dxfId="121" priority="39" operator="notEqual">
      <formula>0</formula>
    </cfRule>
  </conditionalFormatting>
  <conditionalFormatting sqref="Z396:AA396">
    <cfRule type="cellIs" dxfId="120" priority="38" operator="notEqual">
      <formula>0</formula>
    </cfRule>
  </conditionalFormatting>
  <conditionalFormatting sqref="Z396:AA396">
    <cfRule type="cellIs" dxfId="119" priority="37" operator="notEqual">
      <formula>0</formula>
    </cfRule>
  </conditionalFormatting>
  <conditionalFormatting sqref="P441:Q441">
    <cfRule type="cellIs" dxfId="118" priority="36" operator="notEqual">
      <formula>0</formula>
    </cfRule>
  </conditionalFormatting>
  <conditionalFormatting sqref="P441:Q441">
    <cfRule type="cellIs" dxfId="117" priority="35" operator="notEqual">
      <formula>0</formula>
    </cfRule>
  </conditionalFormatting>
  <conditionalFormatting sqref="P457:Q465">
    <cfRule type="cellIs" dxfId="116" priority="34" operator="notEqual">
      <formula>0</formula>
    </cfRule>
  </conditionalFormatting>
  <conditionalFormatting sqref="P457:Q465">
    <cfRule type="cellIs" dxfId="115" priority="33" operator="notEqual">
      <formula>0</formula>
    </cfRule>
  </conditionalFormatting>
  <conditionalFormatting sqref="Z552:AA552">
    <cfRule type="cellIs" dxfId="114" priority="28" operator="notEqual">
      <formula>0</formula>
    </cfRule>
  </conditionalFormatting>
  <conditionalFormatting sqref="Z552:AA552">
    <cfRule type="cellIs" dxfId="113" priority="27" operator="notEqual">
      <formula>0</formula>
    </cfRule>
  </conditionalFormatting>
  <conditionalFormatting sqref="K487:L487 F487:G487">
    <cfRule type="cellIs" dxfId="112" priority="26" operator="notEqual">
      <formula>0</formula>
    </cfRule>
  </conditionalFormatting>
  <conditionalFormatting sqref="K487:L487">
    <cfRule type="cellIs" dxfId="111" priority="25" operator="notEqual">
      <formula>0</formula>
    </cfRule>
  </conditionalFormatting>
  <conditionalFormatting sqref="F487:G487">
    <cfRule type="cellIs" dxfId="110" priority="24" operator="notEqual">
      <formula>0</formula>
    </cfRule>
  </conditionalFormatting>
  <conditionalFormatting sqref="P479:Q487">
    <cfRule type="cellIs" dxfId="109" priority="23" operator="notEqual">
      <formula>0</formula>
    </cfRule>
  </conditionalFormatting>
  <conditionalFormatting sqref="P479:Q487">
    <cfRule type="cellIs" dxfId="108" priority="22" operator="notEqual">
      <formula>0</formula>
    </cfRule>
  </conditionalFormatting>
  <conditionalFormatting sqref="P468:Q476">
    <cfRule type="cellIs" dxfId="107" priority="21" operator="notEqual">
      <formula>0</formula>
    </cfRule>
  </conditionalFormatting>
  <conditionalFormatting sqref="P468:Q476">
    <cfRule type="cellIs" dxfId="106" priority="20" operator="notEqual">
      <formula>0</formula>
    </cfRule>
  </conditionalFormatting>
  <conditionalFormatting sqref="Z487:AA487 U487:V487">
    <cfRule type="cellIs" dxfId="105" priority="19" operator="notEqual">
      <formula>0</formula>
    </cfRule>
  </conditionalFormatting>
  <conditionalFormatting sqref="Z487:AA487">
    <cfRule type="cellIs" dxfId="104" priority="18" operator="notEqual">
      <formula>0</formula>
    </cfRule>
  </conditionalFormatting>
  <conditionalFormatting sqref="U487:V487">
    <cfRule type="cellIs" dxfId="103" priority="17" operator="notEqual">
      <formula>0</formula>
    </cfRule>
  </conditionalFormatting>
  <conditionalFormatting sqref="U441:V441">
    <cfRule type="cellIs" dxfId="102" priority="16" operator="notEqual">
      <formula>0</formula>
    </cfRule>
  </conditionalFormatting>
  <conditionalFormatting sqref="U441:V441">
    <cfRule type="cellIs" dxfId="101" priority="15" operator="notEqual">
      <formula>0</formula>
    </cfRule>
  </conditionalFormatting>
  <conditionalFormatting sqref="F419:G419">
    <cfRule type="cellIs" dxfId="100" priority="14" operator="notEqual">
      <formula>0</formula>
    </cfRule>
  </conditionalFormatting>
  <conditionalFormatting sqref="F419:G419">
    <cfRule type="cellIs" dxfId="99" priority="13" operator="notEqual">
      <formula>0</formula>
    </cfRule>
  </conditionalFormatting>
  <conditionalFormatting sqref="K419:L419">
    <cfRule type="cellIs" dxfId="98" priority="12" operator="notEqual">
      <formula>0</formula>
    </cfRule>
  </conditionalFormatting>
  <conditionalFormatting sqref="K419:L419">
    <cfRule type="cellIs" dxfId="97" priority="11" operator="notEqual">
      <formula>0</formula>
    </cfRule>
  </conditionalFormatting>
  <conditionalFormatting sqref="P419:Q419">
    <cfRule type="cellIs" dxfId="96" priority="10" operator="notEqual">
      <formula>0</formula>
    </cfRule>
  </conditionalFormatting>
  <conditionalFormatting sqref="P419:Q419">
    <cfRule type="cellIs" dxfId="95" priority="9" operator="notEqual">
      <formula>0</formula>
    </cfRule>
  </conditionalFormatting>
  <conditionalFormatting sqref="F75:G75 K75:L75 P75:Q75 U75:V75 Z75:AA75">
    <cfRule type="cellIs" dxfId="94" priority="8" operator="notEqual">
      <formula>0</formula>
    </cfRule>
  </conditionalFormatting>
  <conditionalFormatting sqref="F75:G75 K75:L75 P75:Q75 U75:V75 Z75:AA75">
    <cfRule type="cellIs" dxfId="93" priority="7" operator="notEqual">
      <formula>0</formula>
    </cfRule>
  </conditionalFormatting>
  <conditionalFormatting sqref="U350:V350 Z350:AA350">
    <cfRule type="cellIs" dxfId="92" priority="6" operator="notEqual">
      <formula>0</formula>
    </cfRule>
  </conditionalFormatting>
  <conditionalFormatting sqref="U350:V350 Z350:AA350">
    <cfRule type="cellIs" dxfId="91" priority="5" operator="notEqual">
      <formula>0</formula>
    </cfRule>
  </conditionalFormatting>
  <conditionalFormatting sqref="U364:V369 P364:Q369">
    <cfRule type="cellIs" dxfId="90" priority="4" operator="notEqual">
      <formula>0</formula>
    </cfRule>
  </conditionalFormatting>
  <conditionalFormatting sqref="U364:V369 P364:Q369">
    <cfRule type="cellIs" dxfId="89" priority="3" operator="notEqual">
      <formula>0</formula>
    </cfRule>
  </conditionalFormatting>
  <conditionalFormatting sqref="U552:V552">
    <cfRule type="cellIs" dxfId="88" priority="2" operator="notEqual">
      <formula>0</formula>
    </cfRule>
  </conditionalFormatting>
  <conditionalFormatting sqref="U552:V552">
    <cfRule type="cellIs" dxfId="87" priority="1" operator="notEqual">
      <formula>0</formula>
    </cfRule>
  </conditionalFormatting>
  <dataValidations count="3">
    <dataValidation type="list" allowBlank="1" showInputMessage="1" showErrorMessage="1" sqref="H578:R578">
      <formula1>$D$590:$D$592</formula1>
    </dataValidation>
    <dataValidation type="list" allowBlank="1" showInputMessage="1" showErrorMessage="1" sqref="R580:R581 H580:Q580">
      <formula1>$D$594:$D$595</formula1>
    </dataValidation>
    <dataValidation type="list" allowBlank="1" showInputMessage="1" showErrorMessage="1" sqref="U441:V441 P419:Q419 K419:L419 F419:G419">
      <formula1>$AE$428:$AE$437</formula1>
    </dataValidation>
  </dataValidations>
  <hyperlinks>
    <hyperlink ref="N509:Q509" r:id="rId1" display="Fabrication &amp; design training at Flexpipe's facility.  Click here for dates available"/>
    <hyperlink ref="S509:V509" r:id="rId2" display="Fabrication &amp; design training at Flexpipe's facility.  Click here for dates available"/>
  </hyperlinks>
  <printOptions horizontalCentered="1" verticalCentered="1"/>
  <pageMargins left="0.23622047244094491" right="0.23622047244094491" top="0.35433070866141736" bottom="0.35433070866141736" header="0" footer="0"/>
  <pageSetup scale="48" orientation="portrait" r:id="rId3"/>
  <headerFooter alignWithMargins="0"/>
  <rowBreaks count="6" manualBreakCount="6">
    <brk id="77" max="27" man="1"/>
    <brk id="175" max="27" man="1"/>
    <brk id="273" max="27" man="1"/>
    <brk id="373" max="27" man="1"/>
    <brk id="443" max="27" man="1"/>
    <brk id="531" max="27" man="1"/>
  </rowBreaks>
  <colBreaks count="1" manualBreakCount="1">
    <brk id="28" max="1048575" man="1"/>
  </colBreaks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9" tint="-0.249977111117893"/>
  </sheetPr>
  <dimension ref="A1:W117"/>
  <sheetViews>
    <sheetView zoomScaleNormal="100" workbookViewId="0">
      <selection activeCell="B3" sqref="B3"/>
    </sheetView>
  </sheetViews>
  <sheetFormatPr baseColWidth="10" defaultColWidth="9.28515625" defaultRowHeight="12.75" x14ac:dyDescent="0.2"/>
  <cols>
    <col min="1" max="1" width="1.7109375" style="401" customWidth="1"/>
    <col min="2" max="2" width="10.42578125" style="401" customWidth="1"/>
    <col min="3" max="3" width="16.42578125" style="401" customWidth="1"/>
    <col min="4" max="4" width="25.28515625" style="401" customWidth="1"/>
    <col min="5" max="5" width="23.28515625" style="401" customWidth="1"/>
    <col min="6" max="6" width="15.28515625" style="401" customWidth="1"/>
    <col min="7" max="7" width="14.5703125" style="401" customWidth="1"/>
    <col min="8" max="8" width="9.28515625" style="401" customWidth="1"/>
    <col min="9" max="9" width="16.7109375" style="401" customWidth="1"/>
    <col min="10" max="10" width="19.5703125" style="401" customWidth="1"/>
    <col min="11" max="11" width="11.42578125" style="401" customWidth="1"/>
    <col min="12" max="12" width="22.5703125" style="401" customWidth="1"/>
    <col min="13" max="13" width="12.5703125" style="401" customWidth="1"/>
    <col min="14" max="14" width="10" style="401" customWidth="1"/>
    <col min="15" max="15" width="9.28515625" style="401" customWidth="1"/>
    <col min="16" max="16" width="7.7109375" style="401" customWidth="1"/>
    <col min="17" max="17" width="8.5703125" style="401" customWidth="1"/>
    <col min="18" max="18" width="20.5703125" style="401" customWidth="1"/>
    <col min="19" max="19" width="10.5703125" style="401" customWidth="1"/>
    <col min="20" max="20" width="8.5703125" style="401" customWidth="1"/>
    <col min="21" max="21" width="10" style="401" customWidth="1"/>
    <col min="22" max="22" width="13.42578125" style="401" customWidth="1"/>
    <col min="23" max="23" width="14" style="401" customWidth="1"/>
    <col min="24" max="24" width="6.5703125" style="401" customWidth="1"/>
    <col min="25" max="27" width="12.5703125" style="401" customWidth="1"/>
    <col min="28" max="28" width="71.5703125" style="401" customWidth="1"/>
    <col min="29" max="29" width="50.42578125" style="401" customWidth="1"/>
    <col min="30" max="53" width="9.28515625" style="401" customWidth="1"/>
    <col min="54" max="16384" width="9.28515625" style="401"/>
  </cols>
  <sheetData>
    <row r="1" spans="1:13" ht="13.15" customHeight="1" x14ac:dyDescent="0.35">
      <c r="A1" s="399"/>
      <c r="B1" s="400"/>
      <c r="C1" s="399"/>
      <c r="D1" s="399"/>
      <c r="E1" s="1045" t="s">
        <v>30</v>
      </c>
      <c r="F1" s="1046"/>
      <c r="G1" s="1046"/>
    </row>
    <row r="2" spans="1:13" ht="13.15" customHeight="1" x14ac:dyDescent="0.35">
      <c r="A2" s="399"/>
      <c r="B2" s="400"/>
      <c r="C2" s="399"/>
      <c r="D2" s="399"/>
      <c r="E2" s="1046"/>
      <c r="F2" s="1046"/>
      <c r="G2" s="1046"/>
      <c r="I2" s="402"/>
    </row>
    <row r="3" spans="1:13" ht="23.65" customHeight="1" x14ac:dyDescent="0.2">
      <c r="A3" s="399"/>
      <c r="B3" s="403"/>
      <c r="C3" s="404"/>
      <c r="D3" s="1"/>
      <c r="E3" s="399"/>
      <c r="F3" s="405" t="s">
        <v>31</v>
      </c>
      <c r="G3" s="484"/>
    </row>
    <row r="4" spans="1:13" ht="12.4" customHeight="1" x14ac:dyDescent="0.2">
      <c r="A4" s="399"/>
      <c r="B4" s="3" t="e">
        <f>VLOOKUP(B3,B84:E87,2)</f>
        <v>#N/A</v>
      </c>
      <c r="C4" s="1"/>
      <c r="D4" s="1"/>
      <c r="E4" s="399"/>
      <c r="F4" s="406"/>
      <c r="G4" s="407"/>
    </row>
    <row r="5" spans="1:13" ht="12.4" customHeight="1" x14ac:dyDescent="0.2">
      <c r="A5" s="399"/>
      <c r="B5" s="3" t="e">
        <f>VLOOKUP(B3,B84:E87,3)</f>
        <v>#N/A</v>
      </c>
      <c r="C5" s="1"/>
      <c r="D5" s="404"/>
      <c r="E5" s="399"/>
      <c r="F5" s="408" t="s">
        <v>32</v>
      </c>
      <c r="G5" s="407">
        <f ca="1">TODAY()</f>
        <v>43878</v>
      </c>
    </row>
    <row r="6" spans="1:13" ht="12.4" customHeight="1" x14ac:dyDescent="0.2">
      <c r="A6" s="399"/>
      <c r="B6" s="3" t="e">
        <f>VLOOKUP(B3,B84:E87,4)</f>
        <v>#N/A</v>
      </c>
      <c r="C6" s="1"/>
      <c r="D6" s="1"/>
      <c r="E6" s="399"/>
      <c r="F6" s="408" t="str">
        <f>VLOOKUP(E1,B91:W93,4)</f>
        <v>Valid until:</v>
      </c>
      <c r="G6" s="407">
        <f ca="1">G5+45</f>
        <v>43923</v>
      </c>
      <c r="I6" s="402"/>
    </row>
    <row r="7" spans="1:13" ht="8.65" customHeight="1" x14ac:dyDescent="0.2">
      <c r="A7" s="399"/>
      <c r="B7" s="409"/>
      <c r="C7" s="399"/>
      <c r="D7" s="399"/>
      <c r="E7" s="399"/>
      <c r="F7" s="399"/>
      <c r="G7" s="399"/>
    </row>
    <row r="8" spans="1:13" ht="12.4" customHeight="1" x14ac:dyDescent="0.2">
      <c r="A8" s="399"/>
      <c r="B8" s="410" t="str">
        <f>VLOOKUP(E1,B91:W93,2)</f>
        <v>Customer:</v>
      </c>
      <c r="C8" s="1047">
        <f>'Order form'!H573</f>
        <v>0</v>
      </c>
      <c r="D8" s="1047"/>
      <c r="E8" s="412" t="str">
        <f>VLOOKUP(E1,B91:W93,5)</f>
        <v>Salesperson:</v>
      </c>
      <c r="F8" s="399"/>
      <c r="G8" s="1"/>
      <c r="I8" s="48"/>
      <c r="J8" s="5"/>
      <c r="K8" s="5"/>
      <c r="L8" s="6"/>
      <c r="M8" s="5"/>
    </row>
    <row r="9" spans="1:13" ht="12.4" customHeight="1" x14ac:dyDescent="0.2">
      <c r="A9" s="399"/>
      <c r="B9" s="410" t="str">
        <f>VLOOKUP(E1,B91:W93,3)</f>
        <v>Company:</v>
      </c>
      <c r="C9" s="1047">
        <f>'Order form'!H572</f>
        <v>0</v>
      </c>
      <c r="D9" s="1047"/>
      <c r="E9" s="412" t="str">
        <f>VLOOKUP(E1,B91:W93,6)</f>
        <v>Phone:</v>
      </c>
      <c r="F9" s="399" t="e">
        <f>VLOOKUP(F8,B68:F82,2,FALSE)</f>
        <v>#N/A</v>
      </c>
      <c r="G9" s="1"/>
      <c r="I9" s="48"/>
      <c r="J9" s="5"/>
      <c r="K9" s="5"/>
      <c r="L9" s="6"/>
      <c r="M9" s="5"/>
    </row>
    <row r="10" spans="1:13" ht="12.4" customHeight="1" x14ac:dyDescent="0.2">
      <c r="A10" s="399"/>
      <c r="B10" s="410"/>
      <c r="C10" s="477"/>
      <c r="D10" s="477"/>
      <c r="E10" s="412" t="s">
        <v>505</v>
      </c>
      <c r="F10" s="411" t="e">
        <f>VLOOKUP(F8,B68:F82,3,FALSE)</f>
        <v>#N/A</v>
      </c>
      <c r="G10" s="1"/>
      <c r="I10" s="48"/>
      <c r="J10" s="5"/>
      <c r="K10" s="5"/>
      <c r="L10" s="6"/>
      <c r="M10" s="5"/>
    </row>
    <row r="11" spans="1:13" ht="12.4" customHeight="1" x14ac:dyDescent="0.2">
      <c r="A11" s="399"/>
      <c r="B11" s="413"/>
      <c r="C11" s="410"/>
      <c r="D11" s="410"/>
      <c r="E11" s="412" t="str">
        <f>VLOOKUP(E1,B91:W93,7)</f>
        <v>Mobile:</v>
      </c>
      <c r="F11" s="399" t="e">
        <f>VLOOKUP(F8,B68:F82,4,FALSE)</f>
        <v>#N/A</v>
      </c>
      <c r="G11" s="1"/>
      <c r="I11" s="48"/>
      <c r="J11" s="5"/>
      <c r="K11" s="5"/>
      <c r="L11" s="6"/>
      <c r="M11" s="5"/>
    </row>
    <row r="12" spans="1:13" ht="12.4" customHeight="1" x14ac:dyDescent="0.2">
      <c r="A12" s="399"/>
      <c r="B12" s="413"/>
      <c r="C12" s="410"/>
      <c r="D12" s="410"/>
      <c r="E12" s="412" t="str">
        <f>VLOOKUP(E1,B91:W93,8)</f>
        <v>Email:</v>
      </c>
      <c r="F12" s="399" t="e">
        <f>VLOOKUP(F8,B68:F82,5,FALSE)</f>
        <v>#N/A</v>
      </c>
      <c r="G12" s="414"/>
      <c r="I12" s="48"/>
      <c r="J12" s="5"/>
      <c r="K12" s="5"/>
      <c r="L12" s="6"/>
      <c r="M12" s="5"/>
    </row>
    <row r="13" spans="1:13" ht="12.4" customHeight="1" x14ac:dyDescent="0.2">
      <c r="A13" s="399"/>
      <c r="B13" s="410"/>
      <c r="C13" s="410"/>
      <c r="D13" s="410"/>
      <c r="E13" s="412" t="str">
        <f>VLOOKUP(E1,B91:W93,9)</f>
        <v>Website:</v>
      </c>
      <c r="F13" s="9" t="s">
        <v>40</v>
      </c>
      <c r="G13" s="415"/>
      <c r="I13" s="48"/>
      <c r="J13" s="5"/>
      <c r="K13" s="5"/>
      <c r="L13" s="6"/>
      <c r="M13" s="5"/>
    </row>
    <row r="14" spans="1:13" ht="4.1500000000000004" customHeight="1" x14ac:dyDescent="0.2">
      <c r="A14" s="399"/>
      <c r="B14" s="416"/>
      <c r="C14" s="4"/>
      <c r="D14" s="4"/>
      <c r="E14" s="4"/>
      <c r="F14" s="7"/>
      <c r="G14" s="399"/>
      <c r="I14" s="48"/>
      <c r="J14" s="48"/>
      <c r="K14" s="48"/>
      <c r="L14" s="417"/>
      <c r="M14" s="5"/>
    </row>
    <row r="15" spans="1:13" ht="12.75" customHeight="1" x14ac:dyDescent="0.2">
      <c r="A15" s="399"/>
      <c r="B15" s="1048" t="str">
        <f>VLOOKUP(E1,B91:W93,10)</f>
        <v>FREIGHT DETAILS</v>
      </c>
      <c r="C15" s="1049"/>
      <c r="D15" s="1050"/>
      <c r="E15" s="1051" t="str">
        <f>VLOOKUP(E1,B91:W93,11)</f>
        <v>LEAD TIME</v>
      </c>
      <c r="F15" s="1052"/>
      <c r="G15" s="418" t="str">
        <f>VLOOKUP(E1,B91:W93,12)</f>
        <v>TERMS</v>
      </c>
    </row>
    <row r="16" spans="1:13" x14ac:dyDescent="0.2">
      <c r="A16" s="399"/>
      <c r="B16" s="1040"/>
      <c r="C16" s="1041"/>
      <c r="D16" s="1042"/>
      <c r="E16" s="1043"/>
      <c r="F16" s="1044"/>
      <c r="G16" s="419"/>
      <c r="I16" s="402"/>
    </row>
    <row r="17" spans="1:12" ht="6" customHeight="1" x14ac:dyDescent="0.2">
      <c r="A17" s="399"/>
      <c r="B17" s="420"/>
      <c r="C17" s="420"/>
      <c r="D17" s="420"/>
      <c r="E17" s="420"/>
      <c r="F17" s="420"/>
      <c r="G17" s="421"/>
      <c r="I17" s="402"/>
    </row>
    <row r="18" spans="1:12" x14ac:dyDescent="0.2">
      <c r="A18" s="399"/>
      <c r="B18" s="443" t="str">
        <f>VLOOKUP(E1,B91:W93,13)</f>
        <v>QUANTITY</v>
      </c>
      <c r="C18" s="444" t="str">
        <f>VLOOKUP(E1,B91:W93,22)</f>
        <v>PART #</v>
      </c>
      <c r="D18" s="1035" t="str">
        <f>VLOOKUP(E1,B91:W93,14)</f>
        <v>DESCRIPTION</v>
      </c>
      <c r="E18" s="1036"/>
      <c r="F18" s="443" t="str">
        <f>VLOOKUP(E1,B91:W93,15)</f>
        <v>UNIT PRICE</v>
      </c>
      <c r="G18" s="443" t="s">
        <v>60</v>
      </c>
    </row>
    <row r="19" spans="1:12" ht="13.9" customHeight="1" x14ac:dyDescent="0.2">
      <c r="A19" s="399"/>
      <c r="B19" s="422"/>
      <c r="C19" s="1037"/>
      <c r="D19" s="1038"/>
      <c r="E19" s="1039"/>
      <c r="F19" s="422"/>
      <c r="G19" s="423"/>
    </row>
    <row r="20" spans="1:12" s="426" customFormat="1" ht="12.75" customHeight="1" x14ac:dyDescent="0.25">
      <c r="A20" s="424"/>
      <c r="B20" s="425">
        <f>IFERROR(INDEX(Resume!$C$3:$F$231,MATCH(ROW($B1),Resume!$N$3:$N$231,0),MATCH(Quotation!B$18,Resume!$C$2:$F$2,0)),"")</f>
        <v>1</v>
      </c>
      <c r="C20" s="10">
        <f>IFERROR(INDEX(Resume!$C$3:$F$231,MATCH(ROW($B1),Resume!$N$3:$N$231,0),MATCH(Quotation!C$18,Resume!$C$2:$F$2,0)),"")</f>
        <v>0</v>
      </c>
      <c r="D20" s="1033" t="str">
        <f>IFERROR(INDEX(Resume!$C$3:$F$231,MATCH(ROW($B1),Resume!$N$3:$N$231,0),MATCH(Quotation!D$18,Resume!$C$2:$F$2,0)),"")</f>
        <v>PREPARATION CHARGE:</v>
      </c>
      <c r="E20" s="1034"/>
      <c r="F20" s="493">
        <f>IFERROR(INDEX(Resume!$C$3:$F$231,MATCH(ROW($B1),Resume!$N$3:$N$231,0),MATCH(Quotation!F$18,Resume!$C$2:$F$2,0)),"")</f>
        <v>25</v>
      </c>
      <c r="G20" s="494">
        <f t="shared" ref="G20:G58" si="0">IFERROR(F20*B20,"")</f>
        <v>25</v>
      </c>
      <c r="I20" s="401"/>
      <c r="J20" s="401"/>
      <c r="K20" s="401"/>
      <c r="L20" s="401"/>
    </row>
    <row r="21" spans="1:12" x14ac:dyDescent="0.2">
      <c r="A21" s="399"/>
      <c r="B21" s="425" t="str">
        <f>IFERROR(INDEX(Resume!$C$3:$F$231,MATCH(ROW($B2),Resume!$N$3:$N$231,0),MATCH(Quotation!B$18,Resume!$C$2:$F$2,0)),"")</f>
        <v/>
      </c>
      <c r="C21" s="10" t="str">
        <f>IFERROR(INDEX(Resume!$C$3:$F$231,MATCH(ROW($B2),Resume!$N$3:$N$231,0),MATCH(Quotation!C$18,Resume!$C$2:$F$2,0)),"")</f>
        <v/>
      </c>
      <c r="D21" s="1033" t="str">
        <f>IFERROR(INDEX(Resume!$C$3:$F$231,MATCH(ROW($B2),Resume!$N$3:$N$231,0),MATCH(Quotation!D$18,Resume!$C$2:$F$2,0)),"")</f>
        <v/>
      </c>
      <c r="E21" s="1034"/>
      <c r="F21" s="493" t="str">
        <f>IFERROR(INDEX(Resume!$C$3:$F$231,MATCH(ROW($B2),Resume!$N$3:$N$231,0),MATCH(Quotation!F$18,Resume!$C$2:$F$2,0)),"")</f>
        <v/>
      </c>
      <c r="G21" s="494" t="str">
        <f t="shared" si="0"/>
        <v/>
      </c>
    </row>
    <row r="22" spans="1:12" x14ac:dyDescent="0.2">
      <c r="A22" s="399"/>
      <c r="B22" s="425" t="str">
        <f>IFERROR(INDEX(Resume!$C$3:$F$231,MATCH(ROW($B3),Resume!$N$3:$N$231,0),MATCH(Quotation!B$18,Resume!$C$2:$F$2,0)),"")</f>
        <v/>
      </c>
      <c r="C22" s="10" t="str">
        <f>IFERROR(INDEX(Resume!$C$3:$F$231,MATCH(ROW($B3),Resume!$N$3:$N$231,0),MATCH(Quotation!C$18,Resume!$C$2:$F$2,0)),"")</f>
        <v/>
      </c>
      <c r="D22" s="1033" t="str">
        <f>IFERROR(INDEX(Resume!$C$3:$F$231,MATCH(ROW($B3),Resume!$N$3:$N$231,0),MATCH(Quotation!D$18,Resume!$C$2:$F$2,0)),"")</f>
        <v/>
      </c>
      <c r="E22" s="1034"/>
      <c r="F22" s="493" t="str">
        <f>IFERROR(INDEX(Resume!$C$3:$F$231,MATCH(ROW($B3),Resume!$N$3:$N$231,0),MATCH(Quotation!F$18,Resume!$C$2:$F$2,0)),"")</f>
        <v/>
      </c>
      <c r="G22" s="494" t="str">
        <f t="shared" si="0"/>
        <v/>
      </c>
      <c r="I22" s="402"/>
    </row>
    <row r="23" spans="1:12" x14ac:dyDescent="0.2">
      <c r="A23" s="399"/>
      <c r="B23" s="425" t="str">
        <f>IFERROR(INDEX(Resume!$C$3:$F$231,MATCH(ROW($B4),Resume!$N$3:$N$231,0),MATCH(Quotation!B$18,Resume!$C$2:$F$2,0)),"")</f>
        <v/>
      </c>
      <c r="C23" s="10" t="str">
        <f>IFERROR(INDEX(Resume!$C$3:$F$231,MATCH(ROW($B4),Resume!$N$3:$N$231,0),MATCH(Quotation!C$18,Resume!$C$2:$F$2,0)),"")</f>
        <v/>
      </c>
      <c r="D23" s="1033" t="str">
        <f>IFERROR(INDEX(Resume!$C$3:$F$231,MATCH(ROW($B4),Resume!$N$3:$N$231,0),MATCH(Quotation!D$18,Resume!$C$2:$F$2,0)),"")</f>
        <v/>
      </c>
      <c r="E23" s="1034"/>
      <c r="F23" s="493" t="str">
        <f>IFERROR(INDEX(Resume!$C$3:$F$231,MATCH(ROW($B4),Resume!$N$3:$N$231,0),MATCH(Quotation!F$18,Resume!$C$2:$F$2,0)),"")</f>
        <v/>
      </c>
      <c r="G23" s="494" t="str">
        <f t="shared" si="0"/>
        <v/>
      </c>
    </row>
    <row r="24" spans="1:12" x14ac:dyDescent="0.2">
      <c r="A24" s="399"/>
      <c r="B24" s="425" t="str">
        <f>IFERROR(INDEX(Resume!$C$3:$F$231,MATCH(ROW($B5),Resume!$N$3:$N$231,0),MATCH(Quotation!B$18,Resume!$C$2:$F$2,0)),"")</f>
        <v/>
      </c>
      <c r="C24" s="10" t="str">
        <f>IFERROR(INDEX(Resume!$C$3:$F$231,MATCH(ROW($B5),Resume!$N$3:$N$231,0),MATCH(Quotation!C$18,Resume!$C$2:$F$2,0)),"")</f>
        <v/>
      </c>
      <c r="D24" s="1033" t="str">
        <f>IFERROR(INDEX(Resume!$C$3:$F$231,MATCH(ROW($B5),Resume!$N$3:$N$231,0),MATCH(Quotation!D$18,Resume!$C$2:$F$2,0)),"")</f>
        <v/>
      </c>
      <c r="E24" s="1034"/>
      <c r="F24" s="493" t="str">
        <f>IFERROR(INDEX(Resume!$C$3:$F$231,MATCH(ROW($B5),Resume!$N$3:$N$231,0),MATCH(Quotation!F$18,Resume!$C$2:$F$2,0)),"")</f>
        <v/>
      </c>
      <c r="G24" s="494" t="str">
        <f t="shared" si="0"/>
        <v/>
      </c>
    </row>
    <row r="25" spans="1:12" x14ac:dyDescent="0.2">
      <c r="A25" s="399"/>
      <c r="B25" s="425" t="str">
        <f>IFERROR(INDEX(Resume!$C$3:$F$231,MATCH(ROW($B6),Resume!$N$3:$N$231,0),MATCH(Quotation!B$18,Resume!$C$2:$F$2,0)),"")</f>
        <v/>
      </c>
      <c r="C25" s="10" t="str">
        <f>IFERROR(INDEX(Resume!$C$3:$F$231,MATCH(ROW($B6),Resume!$N$3:$N$231,0),MATCH(Quotation!C$18,Resume!$C$2:$F$2,0)),"")</f>
        <v/>
      </c>
      <c r="D25" s="1033" t="str">
        <f>IFERROR(INDEX(Resume!$C$3:$F$231,MATCH(ROW($B6),Resume!$N$3:$N$231,0),MATCH(Quotation!D$18,Resume!$C$2:$F$2,0)),"")</f>
        <v/>
      </c>
      <c r="E25" s="1034"/>
      <c r="F25" s="493" t="str">
        <f>IFERROR(INDEX(Resume!$C$3:$F$231,MATCH(ROW($B6),Resume!$N$3:$N$231,0),MATCH(Quotation!F$18,Resume!$C$2:$F$2,0)),"")</f>
        <v/>
      </c>
      <c r="G25" s="494" t="str">
        <f t="shared" si="0"/>
        <v/>
      </c>
    </row>
    <row r="26" spans="1:12" x14ac:dyDescent="0.2">
      <c r="A26" s="399"/>
      <c r="B26" s="425" t="str">
        <f>IFERROR(INDEX(Resume!$C$3:$F$231,MATCH(ROW($B7),Resume!$N$3:$N$231,0),MATCH(Quotation!B$18,Resume!$C$2:$F$2,0)),"")</f>
        <v/>
      </c>
      <c r="C26" s="10" t="str">
        <f>IFERROR(INDEX(Resume!$C$3:$F$231,MATCH(ROW($B7),Resume!$N$3:$N$231,0),MATCH(Quotation!C$18,Resume!$C$2:$F$2,0)),"")</f>
        <v/>
      </c>
      <c r="D26" s="1033" t="str">
        <f>IFERROR(INDEX(Resume!$C$3:$F$231,MATCH(ROW($B7),Resume!$N$3:$N$231,0),MATCH(Quotation!D$18,Resume!$C$2:$F$2,0)),"")</f>
        <v/>
      </c>
      <c r="E26" s="1034"/>
      <c r="F26" s="493" t="str">
        <f>IFERROR(INDEX(Resume!$C$3:$F$231,MATCH(ROW($B7),Resume!$N$3:$N$231,0),MATCH(Quotation!F$18,Resume!$C$2:$F$2,0)),"")</f>
        <v/>
      </c>
      <c r="G26" s="494" t="str">
        <f t="shared" si="0"/>
        <v/>
      </c>
      <c r="I26" s="402"/>
    </row>
    <row r="27" spans="1:12" s="426" customFormat="1" ht="12.75" customHeight="1" x14ac:dyDescent="0.25">
      <c r="A27" s="424"/>
      <c r="B27" s="425" t="str">
        <f>IFERROR(INDEX(Resume!$C$3:$F$231,MATCH(ROW($B8),Resume!$N$3:$N$231,0),MATCH(Quotation!B$18,Resume!$C$2:$F$2,0)),"")</f>
        <v/>
      </c>
      <c r="C27" s="10" t="str">
        <f>IFERROR(INDEX(Resume!$C$3:$F$231,MATCH(ROW($B8),Resume!$N$3:$N$231,0),MATCH(Quotation!C$18,Resume!$C$2:$F$2,0)),"")</f>
        <v/>
      </c>
      <c r="D27" s="1033" t="str">
        <f>IFERROR(INDEX(Resume!$C$3:$F$231,MATCH(ROW($B8),Resume!$N$3:$N$231,0),MATCH(Quotation!D$18,Resume!$C$2:$F$2,0)),"")</f>
        <v/>
      </c>
      <c r="E27" s="1034"/>
      <c r="F27" s="493" t="str">
        <f>IFERROR(INDEX(Resume!$C$3:$F$231,MATCH(ROW($B8),Resume!$N$3:$N$231,0),MATCH(Quotation!F$18,Resume!$C$2:$F$2,0)),"")</f>
        <v/>
      </c>
      <c r="G27" s="494" t="str">
        <f t="shared" si="0"/>
        <v/>
      </c>
      <c r="I27" s="401"/>
    </row>
    <row r="28" spans="1:12" x14ac:dyDescent="0.2">
      <c r="A28" s="399"/>
      <c r="B28" s="425" t="str">
        <f>IFERROR(INDEX(Resume!$C$3:$F$231,MATCH(ROW($B9),Resume!$N$3:$N$231,0),MATCH(Quotation!B$18,Resume!$C$2:$F$2,0)),"")</f>
        <v/>
      </c>
      <c r="C28" s="10" t="str">
        <f>IFERROR(INDEX(Resume!$C$3:$F$231,MATCH(ROW($B9),Resume!$N$3:$N$231,0),MATCH(Quotation!C$18,Resume!$C$2:$F$2,0)),"")</f>
        <v/>
      </c>
      <c r="D28" s="1033" t="str">
        <f>IFERROR(INDEX(Resume!$C$3:$F$231,MATCH(ROW($B9),Resume!$N$3:$N$231,0),MATCH(Quotation!D$18,Resume!$C$2:$F$2,0)),"")</f>
        <v/>
      </c>
      <c r="E28" s="1034"/>
      <c r="F28" s="493" t="str">
        <f>IFERROR(INDEX(Resume!$C$3:$F$231,MATCH(ROW($B9),Resume!$N$3:$N$231,0),MATCH(Quotation!F$18,Resume!$C$2:$F$2,0)),"")</f>
        <v/>
      </c>
      <c r="G28" s="494" t="str">
        <f t="shared" si="0"/>
        <v/>
      </c>
    </row>
    <row r="29" spans="1:12" x14ac:dyDescent="0.2">
      <c r="A29" s="399"/>
      <c r="B29" s="425" t="str">
        <f>IFERROR(INDEX(Resume!$C$3:$F$231,MATCH(ROW($B10),Resume!$N$3:$N$231,0),MATCH(Quotation!B$18,Resume!$C$2:$F$2,0)),"")</f>
        <v/>
      </c>
      <c r="C29" s="10" t="str">
        <f>IFERROR(INDEX(Resume!$C$3:$F$231,MATCH(ROW($B10),Resume!$N$3:$N$231,0),MATCH(Quotation!C$18,Resume!$C$2:$F$2,0)),"")</f>
        <v/>
      </c>
      <c r="D29" s="1033" t="str">
        <f>IFERROR(INDEX(Resume!$C$3:$F$231,MATCH(ROW($B10),Resume!$N$3:$N$231,0),MATCH(Quotation!D$18,Resume!$C$2:$F$2,0)),"")</f>
        <v/>
      </c>
      <c r="E29" s="1034"/>
      <c r="F29" s="493" t="str">
        <f>IFERROR(INDEX(Resume!$C$3:$F$231,MATCH(ROW($B10),Resume!$N$3:$N$231,0),MATCH(Quotation!F$18,Resume!$C$2:$F$2,0)),"")</f>
        <v/>
      </c>
      <c r="G29" s="494" t="str">
        <f t="shared" si="0"/>
        <v/>
      </c>
    </row>
    <row r="30" spans="1:12" x14ac:dyDescent="0.2">
      <c r="A30" s="399"/>
      <c r="B30" s="425" t="str">
        <f>IFERROR(INDEX(Resume!$C$3:$F$231,MATCH(ROW($B11),Resume!$N$3:$N$231,0),MATCH(Quotation!B$18,Resume!$C$2:$F$2,0)),"")</f>
        <v/>
      </c>
      <c r="C30" s="10" t="str">
        <f>IFERROR(INDEX(Resume!$C$3:$F$231,MATCH(ROW($B11),Resume!$N$3:$N$231,0),MATCH(Quotation!C$18,Resume!$C$2:$F$2,0)),"")</f>
        <v/>
      </c>
      <c r="D30" s="1033" t="str">
        <f>IFERROR(INDEX(Resume!$C$3:$F$231,MATCH(ROW($B11),Resume!$N$3:$N$231,0),MATCH(Quotation!D$18,Resume!$C$2:$F$2,0)),"")</f>
        <v/>
      </c>
      <c r="E30" s="1034"/>
      <c r="F30" s="493" t="str">
        <f>IFERROR(INDEX(Resume!$C$3:$F$231,MATCH(ROW($B11),Resume!$N$3:$N$231,0),MATCH(Quotation!F$18,Resume!$C$2:$F$2,0)),"")</f>
        <v/>
      </c>
      <c r="G30" s="494" t="str">
        <f t="shared" si="0"/>
        <v/>
      </c>
    </row>
    <row r="31" spans="1:12" x14ac:dyDescent="0.2">
      <c r="A31" s="399"/>
      <c r="B31" s="425" t="str">
        <f>IFERROR(INDEX(Resume!$C$3:$F$231,MATCH(ROW($B12),Resume!$N$3:$N$231,0),MATCH(Quotation!B$18,Resume!$C$2:$F$2,0)),"")</f>
        <v/>
      </c>
      <c r="C31" s="10" t="str">
        <f>IFERROR(INDEX(Resume!$C$3:$F$231,MATCH(ROW($B12),Resume!$N$3:$N$231,0),MATCH(Quotation!C$18,Resume!$C$2:$F$2,0)),"")</f>
        <v/>
      </c>
      <c r="D31" s="1033" t="str">
        <f>IFERROR(INDEX(Resume!$C$3:$F$231,MATCH(ROW($B12),Resume!$N$3:$N$231,0),MATCH(Quotation!D$18,Resume!$C$2:$F$2,0)),"")</f>
        <v/>
      </c>
      <c r="E31" s="1034"/>
      <c r="F31" s="493" t="str">
        <f>IFERROR(INDEX(Resume!$C$3:$F$231,MATCH(ROW($B12),Resume!$N$3:$N$231,0),MATCH(Quotation!F$18,Resume!$C$2:$F$2,0)),"")</f>
        <v/>
      </c>
      <c r="G31" s="494" t="str">
        <f t="shared" si="0"/>
        <v/>
      </c>
    </row>
    <row r="32" spans="1:12" x14ac:dyDescent="0.2">
      <c r="A32" s="399"/>
      <c r="B32" s="425" t="str">
        <f>IFERROR(INDEX(Resume!$C$3:$F$231,MATCH(ROW($B13),Resume!$N$3:$N$231,0),MATCH(Quotation!B$18,Resume!$C$2:$F$2,0)),"")</f>
        <v/>
      </c>
      <c r="C32" s="10" t="str">
        <f>IFERROR(INDEX(Resume!$C$3:$F$231,MATCH(ROW($B13),Resume!$N$3:$N$231,0),MATCH(Quotation!C$18,Resume!$C$2:$F$2,0)),"")</f>
        <v/>
      </c>
      <c r="D32" s="1033" t="str">
        <f>IFERROR(INDEX(Resume!$C$3:$F$231,MATCH(ROW($B13),Resume!$N$3:$N$231,0),MATCH(Quotation!D$18,Resume!$C$2:$F$2,0)),"")</f>
        <v/>
      </c>
      <c r="E32" s="1034"/>
      <c r="F32" s="493" t="str">
        <f>IFERROR(INDEX(Resume!$C$3:$F$231,MATCH(ROW($B13),Resume!$N$3:$N$231,0),MATCH(Quotation!F$18,Resume!$C$2:$F$2,0)),"")</f>
        <v/>
      </c>
      <c r="G32" s="494" t="str">
        <f t="shared" si="0"/>
        <v/>
      </c>
    </row>
    <row r="33" spans="1:10" x14ac:dyDescent="0.2">
      <c r="A33" s="399"/>
      <c r="B33" s="425" t="str">
        <f>IFERROR(INDEX(Resume!$C$3:$F$231,MATCH(ROW($B14),Resume!$N$3:$N$231,0),MATCH(Quotation!B$18,Resume!$C$2:$F$2,0)),"")</f>
        <v/>
      </c>
      <c r="C33" s="10" t="str">
        <f>IFERROR(INDEX(Resume!$C$3:$F$231,MATCH(ROW($B14),Resume!$N$3:$N$231,0),MATCH(Quotation!C$18,Resume!$C$2:$F$2,0)),"")</f>
        <v/>
      </c>
      <c r="D33" s="1033" t="str">
        <f>IFERROR(INDEX(Resume!$C$3:$F$231,MATCH(ROW($B14),Resume!$N$3:$N$231,0),MATCH(Quotation!D$18,Resume!$C$2:$F$2,0)),"")</f>
        <v/>
      </c>
      <c r="E33" s="1034"/>
      <c r="F33" s="493" t="str">
        <f>IFERROR(INDEX(Resume!$C$3:$F$231,MATCH(ROW($B14),Resume!$N$3:$N$231,0),MATCH(Quotation!F$18,Resume!$C$2:$F$2,0)),"")</f>
        <v/>
      </c>
      <c r="G33" s="494" t="str">
        <f t="shared" si="0"/>
        <v/>
      </c>
    </row>
    <row r="34" spans="1:10" x14ac:dyDescent="0.2">
      <c r="A34" s="399"/>
      <c r="B34" s="425" t="str">
        <f>IFERROR(INDEX(Resume!$C$3:$F$231,MATCH(ROW($B15),Resume!$N$3:$N$231,0),MATCH(Quotation!B$18,Resume!$C$2:$F$2,0)),"")</f>
        <v/>
      </c>
      <c r="C34" s="10" t="str">
        <f>IFERROR(INDEX(Resume!$C$3:$F$231,MATCH(ROW($B15),Resume!$N$3:$N$231,0),MATCH(Quotation!C$18,Resume!$C$2:$F$2,0)),"")</f>
        <v/>
      </c>
      <c r="D34" s="1033" t="str">
        <f>IFERROR(INDEX(Resume!$C$3:$F$231,MATCH(ROW($B15),Resume!$N$3:$N$231,0),MATCH(Quotation!D$18,Resume!$C$2:$F$2,0)),"")</f>
        <v/>
      </c>
      <c r="E34" s="1034"/>
      <c r="F34" s="493" t="str">
        <f>IFERROR(INDEX(Resume!$C$3:$F$231,MATCH(ROW($B15),Resume!$N$3:$N$231,0),MATCH(Quotation!F$18,Resume!$C$2:$F$2,0)),"")</f>
        <v/>
      </c>
      <c r="G34" s="494" t="str">
        <f t="shared" si="0"/>
        <v/>
      </c>
      <c r="I34" s="402"/>
    </row>
    <row r="35" spans="1:10" x14ac:dyDescent="0.2">
      <c r="A35" s="399"/>
      <c r="B35" s="425" t="str">
        <f>IFERROR(INDEX(Resume!$C$3:$F$231,MATCH(ROW($B16),Resume!$N$3:$N$231,0),MATCH(Quotation!B$18,Resume!$C$2:$F$2,0)),"")</f>
        <v/>
      </c>
      <c r="C35" s="10" t="str">
        <f>IFERROR(INDEX(Resume!$C$3:$F$231,MATCH(ROW($B16),Resume!$N$3:$N$231,0),MATCH(Quotation!C$18,Resume!$C$2:$F$2,0)),"")</f>
        <v/>
      </c>
      <c r="D35" s="1033" t="str">
        <f>IFERROR(INDEX(Resume!$C$3:$F$231,MATCH(ROW($B16),Resume!$N$3:$N$231,0),MATCH(Quotation!D$18,Resume!$C$2:$F$2,0)),"")</f>
        <v/>
      </c>
      <c r="E35" s="1034"/>
      <c r="F35" s="493" t="str">
        <f>IFERROR(INDEX(Resume!$C$3:$F$231,MATCH(ROW($B16),Resume!$N$3:$N$231,0),MATCH(Quotation!F$18,Resume!$C$2:$F$2,0)),"")</f>
        <v/>
      </c>
      <c r="G35" s="494" t="str">
        <f t="shared" si="0"/>
        <v/>
      </c>
    </row>
    <row r="36" spans="1:10" x14ac:dyDescent="0.2">
      <c r="A36" s="399"/>
      <c r="B36" s="425" t="str">
        <f>IFERROR(INDEX(Resume!$C$3:$F$231,MATCH(ROW($B17),Resume!$N$3:$N$231,0),MATCH(Quotation!B$18,Resume!$C$2:$F$2,0)),"")</f>
        <v/>
      </c>
      <c r="C36" s="10" t="str">
        <f>IFERROR(INDEX(Resume!$C$3:$F$231,MATCH(ROW($B17),Resume!$N$3:$N$231,0),MATCH(Quotation!C$18,Resume!$C$2:$F$2,0)),"")</f>
        <v/>
      </c>
      <c r="D36" s="1033" t="str">
        <f>IFERROR(INDEX(Resume!$C$3:$F$231,MATCH(ROW($B17),Resume!$N$3:$N$231,0),MATCH(Quotation!D$18,Resume!$C$2:$F$2,0)),"")</f>
        <v/>
      </c>
      <c r="E36" s="1034"/>
      <c r="F36" s="493" t="str">
        <f>IFERROR(INDEX(Resume!$C$3:$F$231,MATCH(ROW($B17),Resume!$N$3:$N$231,0),MATCH(Quotation!F$18,Resume!$C$2:$F$2,0)),"")</f>
        <v/>
      </c>
      <c r="G36" s="494" t="str">
        <f t="shared" si="0"/>
        <v/>
      </c>
    </row>
    <row r="37" spans="1:10" x14ac:dyDescent="0.2">
      <c r="A37" s="399"/>
      <c r="B37" s="425" t="str">
        <f>IFERROR(INDEX(Resume!$C$3:$F$231,MATCH(ROW($B18),Resume!$N$3:$N$231,0),MATCH(Quotation!B$18,Resume!$C$2:$F$2,0)),"")</f>
        <v/>
      </c>
      <c r="C37" s="10" t="str">
        <f>IFERROR(INDEX(Resume!$C$3:$F$231,MATCH(ROW($B18),Resume!$N$3:$N$231,0),MATCH(Quotation!C$18,Resume!$C$2:$F$2,0)),"")</f>
        <v/>
      </c>
      <c r="D37" s="1033" t="str">
        <f>IFERROR(INDEX(Resume!$C$3:$F$231,MATCH(ROW($B18),Resume!$N$3:$N$231,0),MATCH(Quotation!D$18,Resume!$C$2:$F$2,0)),"")</f>
        <v/>
      </c>
      <c r="E37" s="1034"/>
      <c r="F37" s="493" t="str">
        <f>IFERROR(INDEX(Resume!$C$3:$F$231,MATCH(ROW($B18),Resume!$N$3:$N$231,0),MATCH(Quotation!F$18,Resume!$C$2:$F$2,0)),"")</f>
        <v/>
      </c>
      <c r="G37" s="494" t="str">
        <f t="shared" si="0"/>
        <v/>
      </c>
    </row>
    <row r="38" spans="1:10" x14ac:dyDescent="0.2">
      <c r="A38" s="399"/>
      <c r="B38" s="425" t="str">
        <f>IFERROR(INDEX(Resume!$C$3:$F$231,MATCH(ROW($B19),Resume!$N$3:$N$231,0),MATCH(Quotation!B$18,Resume!$C$2:$F$2,0)),"")</f>
        <v/>
      </c>
      <c r="C38" s="10" t="str">
        <f>IFERROR(INDEX(Resume!$C$3:$F$231,MATCH(ROW($B19),Resume!$N$3:$N$231,0),MATCH(Quotation!C$18,Resume!$C$2:$F$2,0)),"")</f>
        <v/>
      </c>
      <c r="D38" s="1033" t="str">
        <f>IFERROR(INDEX(Resume!$C$3:$F$231,MATCH(ROW($B19),Resume!$N$3:$N$231,0),MATCH(Quotation!D$18,Resume!$C$2:$F$2,0)),"")</f>
        <v/>
      </c>
      <c r="E38" s="1034"/>
      <c r="F38" s="493" t="str">
        <f>IFERROR(INDEX(Resume!$C$3:$F$231,MATCH(ROW($B19),Resume!$N$3:$N$231,0),MATCH(Quotation!F$18,Resume!$C$2:$F$2,0)),"")</f>
        <v/>
      </c>
      <c r="G38" s="494" t="str">
        <f t="shared" si="0"/>
        <v/>
      </c>
    </row>
    <row r="39" spans="1:10" x14ac:dyDescent="0.2">
      <c r="A39" s="399"/>
      <c r="B39" s="425" t="str">
        <f>IFERROR(INDEX(Resume!$C$3:$F$231,MATCH(ROW($B20),Resume!$N$3:$N$231,0),MATCH(Quotation!B$18,Resume!$C$2:$F$2,0)),"")</f>
        <v/>
      </c>
      <c r="C39" s="10" t="str">
        <f>IFERROR(INDEX(Resume!$C$3:$F$231,MATCH(ROW($B20),Resume!$N$3:$N$231,0),MATCH(Quotation!C$18,Resume!$C$2:$F$2,0)),"")</f>
        <v/>
      </c>
      <c r="D39" s="1033" t="str">
        <f>IFERROR(INDEX(Resume!$C$3:$F$231,MATCH(ROW($B20),Resume!$N$3:$N$231,0),MATCH(Quotation!D$18,Resume!$C$2:$F$2,0)),"")</f>
        <v/>
      </c>
      <c r="E39" s="1034"/>
      <c r="F39" s="493" t="str">
        <f>IFERROR(INDEX(Resume!$C$3:$F$231,MATCH(ROW($B20),Resume!$N$3:$N$231,0),MATCH(Quotation!F$18,Resume!$C$2:$F$2,0)),"")</f>
        <v/>
      </c>
      <c r="G39" s="494" t="str">
        <f t="shared" si="0"/>
        <v/>
      </c>
    </row>
    <row r="40" spans="1:10" x14ac:dyDescent="0.2">
      <c r="A40" s="399"/>
      <c r="B40" s="425" t="str">
        <f>IFERROR(INDEX(Resume!$C$3:$F$231,MATCH(ROW($B21),Resume!$N$3:$N$231,0),MATCH(Quotation!B$18,Resume!$C$2:$F$2,0)),"")</f>
        <v/>
      </c>
      <c r="C40" s="10" t="str">
        <f>IFERROR(INDEX(Resume!$C$3:$F$231,MATCH(ROW($B21),Resume!$N$3:$N$231,0),MATCH(Quotation!C$18,Resume!$C$2:$F$2,0)),"")</f>
        <v/>
      </c>
      <c r="D40" s="1033" t="str">
        <f>IFERROR(INDEX(Resume!$C$3:$F$231,MATCH(ROW($B21),Resume!$N$3:$N$231,0),MATCH(Quotation!D$18,Resume!$C$2:$F$2,0)),"")</f>
        <v/>
      </c>
      <c r="E40" s="1034"/>
      <c r="F40" s="493" t="str">
        <f>IFERROR(INDEX(Resume!$C$3:$F$231,MATCH(ROW($B21),Resume!$N$3:$N$231,0),MATCH(Quotation!F$18,Resume!$C$2:$F$2,0)),"")</f>
        <v/>
      </c>
      <c r="G40" s="494" t="str">
        <f t="shared" si="0"/>
        <v/>
      </c>
    </row>
    <row r="41" spans="1:10" x14ac:dyDescent="0.2">
      <c r="A41" s="399"/>
      <c r="B41" s="425" t="str">
        <f>IFERROR(INDEX(Resume!$C$3:$F$231,MATCH(ROW($B22),Resume!$N$3:$N$231,0),MATCH(Quotation!B$18,Resume!$C$2:$F$2,0)),"")</f>
        <v/>
      </c>
      <c r="C41" s="10" t="str">
        <f>IFERROR(INDEX(Resume!$C$3:$F$231,MATCH(ROW($B22),Resume!$N$3:$N$231,0),MATCH(Quotation!C$18,Resume!$C$2:$F$2,0)),"")</f>
        <v/>
      </c>
      <c r="D41" s="1033" t="str">
        <f>IFERROR(INDEX(Resume!$C$3:$F$231,MATCH(ROW($B22),Resume!$N$3:$N$231,0),MATCH(Quotation!D$18,Resume!$C$2:$F$2,0)),"")</f>
        <v/>
      </c>
      <c r="E41" s="1034"/>
      <c r="F41" s="493" t="str">
        <f>IFERROR(INDEX(Resume!$C$3:$F$231,MATCH(ROW($B22),Resume!$N$3:$N$231,0),MATCH(Quotation!F$18,Resume!$C$2:$F$2,0)),"")</f>
        <v/>
      </c>
      <c r="G41" s="494" t="str">
        <f t="shared" si="0"/>
        <v/>
      </c>
      <c r="I41" s="402"/>
    </row>
    <row r="42" spans="1:10" x14ac:dyDescent="0.2">
      <c r="A42" s="399"/>
      <c r="B42" s="425" t="str">
        <f>IFERROR(INDEX(Resume!$C$3:$F$231,MATCH(ROW($B23),Resume!$N$3:$N$231,0),MATCH(Quotation!B$18,Resume!$C$2:$F$2,0)),"")</f>
        <v/>
      </c>
      <c r="C42" s="10" t="str">
        <f>IFERROR(INDEX(Resume!$C$3:$F$231,MATCH(ROW($B23),Resume!$N$3:$N$231,0),MATCH(Quotation!C$18,Resume!$C$2:$F$2,0)),"")</f>
        <v/>
      </c>
      <c r="D42" s="1033" t="str">
        <f>IFERROR(INDEX(Resume!$C$3:$F$231,MATCH(ROW($B23),Resume!$N$3:$N$231,0),MATCH(Quotation!D$18,Resume!$C$2:$F$2,0)),"")</f>
        <v/>
      </c>
      <c r="E42" s="1034"/>
      <c r="F42" s="493" t="str">
        <f>IFERROR(INDEX(Resume!$C$3:$F$231,MATCH(ROW($B23),Resume!$N$3:$N$231,0),MATCH(Quotation!F$18,Resume!$C$2:$F$2,0)),"")</f>
        <v/>
      </c>
      <c r="G42" s="494" t="str">
        <f t="shared" si="0"/>
        <v/>
      </c>
      <c r="I42" s="402"/>
    </row>
    <row r="43" spans="1:10" x14ac:dyDescent="0.2">
      <c r="A43" s="399"/>
      <c r="B43" s="425" t="str">
        <f>IFERROR(INDEX(Resume!$C$3:$F$231,MATCH(ROW($B24),Resume!$N$3:$N$231,0),MATCH(Quotation!B$18,Resume!$C$2:$F$2,0)),"")</f>
        <v/>
      </c>
      <c r="C43" s="10" t="str">
        <f>IFERROR(INDEX(Resume!$C$3:$F$231,MATCH(ROW($B24),Resume!$N$3:$N$231,0),MATCH(Quotation!C$18,Resume!$C$2:$F$2,0)),"")</f>
        <v/>
      </c>
      <c r="D43" s="1033" t="str">
        <f>IFERROR(INDEX(Resume!$C$3:$F$231,MATCH(ROW($B24),Resume!$N$3:$N$231,0),MATCH(Quotation!D$18,Resume!$C$2:$F$2,0)),"")</f>
        <v/>
      </c>
      <c r="E43" s="1034"/>
      <c r="F43" s="493" t="str">
        <f>IFERROR(INDEX(Resume!$C$3:$F$231,MATCH(ROW($B24),Resume!$N$3:$N$231,0),MATCH(Quotation!F$18,Resume!$C$2:$F$2,0)),"")</f>
        <v/>
      </c>
      <c r="G43" s="494" t="str">
        <f t="shared" si="0"/>
        <v/>
      </c>
      <c r="I43" s="402"/>
    </row>
    <row r="44" spans="1:10" x14ac:dyDescent="0.2">
      <c r="A44" s="399"/>
      <c r="B44" s="425" t="str">
        <f>IFERROR(INDEX(Resume!$C$3:$F$231,MATCH(ROW($B25),Resume!$N$3:$N$231,0),MATCH(Quotation!B$18,Resume!$C$2:$F$2,0)),"")</f>
        <v/>
      </c>
      <c r="C44" s="10" t="str">
        <f>IFERROR(INDEX(Resume!$C$3:$F$231,MATCH(ROW($B25),Resume!$N$3:$N$231,0),MATCH(Quotation!C$18,Resume!$C$2:$F$2,0)),"")</f>
        <v/>
      </c>
      <c r="D44" s="1033" t="str">
        <f>IFERROR(INDEX(Resume!$C$3:$F$231,MATCH(ROW($B25),Resume!$N$3:$N$231,0),MATCH(Quotation!D$18,Resume!$C$2:$F$2,0)),"")</f>
        <v/>
      </c>
      <c r="E44" s="1034"/>
      <c r="F44" s="493" t="str">
        <f>IFERROR(INDEX(Resume!$C$3:$F$231,MATCH(ROW($B25),Resume!$N$3:$N$231,0),MATCH(Quotation!F$18,Resume!$C$2:$F$2,0)),"")</f>
        <v/>
      </c>
      <c r="G44" s="494" t="str">
        <f t="shared" si="0"/>
        <v/>
      </c>
      <c r="I44" s="402"/>
    </row>
    <row r="45" spans="1:10" x14ac:dyDescent="0.2">
      <c r="A45" s="399"/>
      <c r="B45" s="425" t="str">
        <f>IFERROR(INDEX(Resume!$C$3:$F$231,MATCH(ROW($B26),Resume!$N$3:$N$231,0),MATCH(Quotation!B$18,Resume!$C$2:$F$2,0)),"")</f>
        <v/>
      </c>
      <c r="C45" s="10" t="str">
        <f>IFERROR(INDEX(Resume!$C$3:$F$231,MATCH(ROW($B26),Resume!$N$3:$N$231,0),MATCH(Quotation!C$18,Resume!$C$2:$F$2,0)),"")</f>
        <v/>
      </c>
      <c r="D45" s="1033" t="str">
        <f>IFERROR(INDEX(Resume!$C$3:$F$231,MATCH(ROW($B26),Resume!$N$3:$N$231,0),MATCH(Quotation!D$18,Resume!$C$2:$F$2,0)),"")</f>
        <v/>
      </c>
      <c r="E45" s="1034"/>
      <c r="F45" s="493" t="str">
        <f>IFERROR(INDEX(Resume!$C$3:$F$231,MATCH(ROW($B26),Resume!$N$3:$N$231,0),MATCH(Quotation!F$18,Resume!$C$2:$F$2,0)),"")</f>
        <v/>
      </c>
      <c r="G45" s="494" t="str">
        <f t="shared" si="0"/>
        <v/>
      </c>
    </row>
    <row r="46" spans="1:10" x14ac:dyDescent="0.2">
      <c r="A46" s="399"/>
      <c r="B46" s="425" t="str">
        <f>IFERROR(INDEX(Resume!$C$3:$F$231,MATCH(ROW($B27),Resume!$N$3:$N$231,0),MATCH(Quotation!B$18,Resume!$C$2:$F$2,0)),"")</f>
        <v/>
      </c>
      <c r="C46" s="10" t="str">
        <f>IFERROR(INDEX(Resume!$C$3:$F$231,MATCH(ROW($B27),Resume!$N$3:$N$231,0),MATCH(Quotation!C$18,Resume!$C$2:$F$2,0)),"")</f>
        <v/>
      </c>
      <c r="D46" s="1033" t="str">
        <f>IFERROR(INDEX(Resume!$C$3:$F$231,MATCH(ROW($B27),Resume!$N$3:$N$231,0),MATCH(Quotation!D$18,Resume!$C$2:$F$2,0)),"")</f>
        <v/>
      </c>
      <c r="E46" s="1034"/>
      <c r="F46" s="493" t="str">
        <f>IFERROR(INDEX(Resume!$C$3:$F$231,MATCH(ROW($B27),Resume!$N$3:$N$231,0),MATCH(Quotation!F$18,Resume!$C$2:$F$2,0)),"")</f>
        <v/>
      </c>
      <c r="G46" s="494" t="str">
        <f t="shared" si="0"/>
        <v/>
      </c>
      <c r="I46" s="427"/>
      <c r="J46" s="427"/>
    </row>
    <row r="47" spans="1:10" x14ac:dyDescent="0.2">
      <c r="A47" s="399"/>
      <c r="B47" s="425" t="str">
        <f>IFERROR(INDEX(Resume!$C$3:$F$231,MATCH(ROW($B28),Resume!$N$3:$N$231,0),MATCH(Quotation!B$18,Resume!$C$2:$F$2,0)),"")</f>
        <v/>
      </c>
      <c r="C47" s="10" t="str">
        <f>IFERROR(INDEX(Resume!$C$3:$F$231,MATCH(ROW($B28),Resume!$N$3:$N$231,0),MATCH(Quotation!C$18,Resume!$C$2:$F$2,0)),"")</f>
        <v/>
      </c>
      <c r="D47" s="1033" t="str">
        <f>IFERROR(INDEX(Resume!$C$3:$F$231,MATCH(ROW($B28),Resume!$N$3:$N$231,0),MATCH(Quotation!D$18,Resume!$C$2:$F$2,0)),"")</f>
        <v/>
      </c>
      <c r="E47" s="1034"/>
      <c r="F47" s="493" t="str">
        <f>IFERROR(INDEX(Resume!$C$3:$F$231,MATCH(ROW($B28),Resume!$N$3:$N$231,0),MATCH(Quotation!F$18,Resume!$C$2:$F$2,0)),"")</f>
        <v/>
      </c>
      <c r="G47" s="494" t="str">
        <f t="shared" si="0"/>
        <v/>
      </c>
      <c r="I47" s="427"/>
      <c r="J47" s="427"/>
    </row>
    <row r="48" spans="1:10" x14ac:dyDescent="0.2">
      <c r="A48" s="399"/>
      <c r="B48" s="425" t="str">
        <f>IFERROR(INDEX(Resume!$C$3:$F$231,MATCH(ROW($B29),Resume!$N$3:$N$231,0),MATCH(Quotation!B$18,Resume!$C$2:$F$2,0)),"")</f>
        <v/>
      </c>
      <c r="C48" s="10" t="str">
        <f>IFERROR(INDEX(Resume!$C$3:$F$231,MATCH(ROW($B29),Resume!$N$3:$N$231,0),MATCH(Quotation!C$18,Resume!$C$2:$F$2,0)),"")</f>
        <v/>
      </c>
      <c r="D48" s="1033" t="str">
        <f>IFERROR(INDEX(Resume!$C$3:$F$231,MATCH(ROW($B29),Resume!$N$3:$N$231,0),MATCH(Quotation!D$18,Resume!$C$2:$F$2,0)),"")</f>
        <v/>
      </c>
      <c r="E48" s="1034"/>
      <c r="F48" s="493" t="str">
        <f>IFERROR(INDEX(Resume!$C$3:$F$231,MATCH(ROW($B29),Resume!$N$3:$N$231,0),MATCH(Quotation!F$18,Resume!$C$2:$F$2,0)),"")</f>
        <v/>
      </c>
      <c r="G48" s="494" t="str">
        <f t="shared" si="0"/>
        <v/>
      </c>
      <c r="I48" s="427"/>
      <c r="J48" s="427"/>
    </row>
    <row r="49" spans="1:10" x14ac:dyDescent="0.2">
      <c r="A49" s="399"/>
      <c r="B49" s="425" t="str">
        <f>IFERROR(INDEX(Resume!$C$3:$F$231,MATCH(ROW($B30),Resume!$N$3:$N$231,0),MATCH(Quotation!B$18,Resume!$C$2:$F$2,0)),"")</f>
        <v/>
      </c>
      <c r="C49" s="10" t="str">
        <f>IFERROR(INDEX(Resume!$C$3:$F$231,MATCH(ROW($B30),Resume!$N$3:$N$231,0),MATCH(Quotation!C$18,Resume!$C$2:$F$2,0)),"")</f>
        <v/>
      </c>
      <c r="D49" s="1033" t="str">
        <f>IFERROR(INDEX(Resume!$C$3:$F$231,MATCH(ROW($B30),Resume!$N$3:$N$231,0),MATCH(Quotation!D$18,Resume!$C$2:$F$2,0)),"")</f>
        <v/>
      </c>
      <c r="E49" s="1034"/>
      <c r="F49" s="493" t="str">
        <f>IFERROR(INDEX(Resume!$C$3:$F$231,MATCH(ROW($B30),Resume!$N$3:$N$231,0),MATCH(Quotation!F$18,Resume!$C$2:$F$2,0)),"")</f>
        <v/>
      </c>
      <c r="G49" s="494" t="str">
        <f t="shared" si="0"/>
        <v/>
      </c>
      <c r="I49" s="427"/>
      <c r="J49" s="427"/>
    </row>
    <row r="50" spans="1:10" x14ac:dyDescent="0.2">
      <c r="A50" s="399"/>
      <c r="B50" s="425" t="str">
        <f>IFERROR(INDEX(Resume!$C$3:$F$231,MATCH(ROW($B31),Resume!$N$3:$N$231,0),MATCH(Quotation!B$18,Resume!$C$2:$F$2,0)),"")</f>
        <v/>
      </c>
      <c r="C50" s="10" t="str">
        <f>IFERROR(INDEX(Resume!$C$3:$F$231,MATCH(ROW($B31),Resume!$N$3:$N$231,0),MATCH(Quotation!C$18,Resume!$C$2:$F$2,0)),"")</f>
        <v/>
      </c>
      <c r="D50" s="1033" t="str">
        <f>IFERROR(INDEX(Resume!$C$3:$F$231,MATCH(ROW($B31),Resume!$N$3:$N$231,0),MATCH(Quotation!D$18,Resume!$C$2:$F$2,0)),"")</f>
        <v/>
      </c>
      <c r="E50" s="1034"/>
      <c r="F50" s="493" t="str">
        <f>IFERROR(INDEX(Resume!$C$3:$F$231,MATCH(ROW($B31),Resume!$N$3:$N$231,0),MATCH(Quotation!F$18,Resume!$C$2:$F$2,0)),"")</f>
        <v/>
      </c>
      <c r="G50" s="494" t="str">
        <f t="shared" si="0"/>
        <v/>
      </c>
      <c r="I50" s="427"/>
      <c r="J50" s="427"/>
    </row>
    <row r="51" spans="1:10" x14ac:dyDescent="0.2">
      <c r="A51" s="399"/>
      <c r="B51" s="425" t="str">
        <f>IFERROR(INDEX(Resume!$C$3:$F$231,MATCH(ROW($B32),Resume!$N$3:$N$231,0),MATCH(Quotation!B$18,Resume!$C$2:$F$2,0)),"")</f>
        <v/>
      </c>
      <c r="C51" s="10" t="str">
        <f>IFERROR(INDEX(Resume!$C$3:$F$231,MATCH(ROW($B32),Resume!$N$3:$N$231,0),MATCH(Quotation!C$18,Resume!$C$2:$F$2,0)),"")</f>
        <v/>
      </c>
      <c r="D51" s="1033" t="str">
        <f>IFERROR(INDEX(Resume!$C$3:$F$231,MATCH(ROW($B32),Resume!$N$3:$N$231,0),MATCH(Quotation!D$18,Resume!$C$2:$F$2,0)),"")</f>
        <v/>
      </c>
      <c r="E51" s="1034"/>
      <c r="F51" s="493" t="str">
        <f>IFERROR(INDEX(Resume!$C$3:$F$231,MATCH(ROW($B32),Resume!$N$3:$N$231,0),MATCH(Quotation!F$18,Resume!$C$2:$F$2,0)),"")</f>
        <v/>
      </c>
      <c r="G51" s="494" t="str">
        <f t="shared" si="0"/>
        <v/>
      </c>
      <c r="I51" s="427"/>
      <c r="J51" s="427"/>
    </row>
    <row r="52" spans="1:10" x14ac:dyDescent="0.2">
      <c r="A52" s="399"/>
      <c r="B52" s="425" t="str">
        <f>IFERROR(INDEX(Resume!$C$3:$F$231,MATCH(ROW($B33),Resume!$N$3:$N$231,0),MATCH(Quotation!B$18,Resume!$C$2:$F$2,0)),"")</f>
        <v/>
      </c>
      <c r="C52" s="10" t="str">
        <f>IFERROR(INDEX(Resume!$C$3:$F$231,MATCH(ROW($B33),Resume!$N$3:$N$231,0),MATCH(Quotation!C$18,Resume!$C$2:$F$2,0)),"")</f>
        <v/>
      </c>
      <c r="D52" s="1033" t="str">
        <f>IFERROR(INDEX(Resume!$C$3:$F$231,MATCH(ROW($B33),Resume!$N$3:$N$231,0),MATCH(Quotation!D$18,Resume!$C$2:$F$2,0)),"")</f>
        <v/>
      </c>
      <c r="E52" s="1034"/>
      <c r="F52" s="493" t="str">
        <f>IFERROR(INDEX(Resume!$C$3:$F$231,MATCH(ROW($B33),Resume!$N$3:$N$231,0),MATCH(Quotation!F$18,Resume!$C$2:$F$2,0)),"")</f>
        <v/>
      </c>
      <c r="G52" s="494" t="str">
        <f t="shared" si="0"/>
        <v/>
      </c>
      <c r="I52" s="427"/>
      <c r="J52" s="427"/>
    </row>
    <row r="53" spans="1:10" x14ac:dyDescent="0.2">
      <c r="A53" s="399"/>
      <c r="B53" s="425" t="str">
        <f>IFERROR(INDEX(Resume!$C$3:$F$231,MATCH(ROW($B34),Resume!$N$3:$N$231,0),MATCH(Quotation!B$18,Resume!$C$2:$F$2,0)),"")</f>
        <v/>
      </c>
      <c r="C53" s="10" t="str">
        <f>IFERROR(INDEX(Resume!$C$3:$F$231,MATCH(ROW($B34),Resume!$N$3:$N$231,0),MATCH(Quotation!C$18,Resume!$C$2:$F$2,0)),"")</f>
        <v/>
      </c>
      <c r="D53" s="1033" t="str">
        <f>IFERROR(INDEX(Resume!$C$3:$F$231,MATCH(ROW($B34),Resume!$N$3:$N$231,0),MATCH(Quotation!D$18,Resume!$C$2:$F$2,0)),"")</f>
        <v/>
      </c>
      <c r="E53" s="1034"/>
      <c r="F53" s="493" t="str">
        <f>IFERROR(INDEX(Resume!$C$3:$F$231,MATCH(ROW($B34),Resume!$N$3:$N$231,0),MATCH(Quotation!F$18,Resume!$C$2:$F$2,0)),"")</f>
        <v/>
      </c>
      <c r="G53" s="494" t="str">
        <f t="shared" si="0"/>
        <v/>
      </c>
      <c r="I53" s="427"/>
      <c r="J53" s="427"/>
    </row>
    <row r="54" spans="1:10" x14ac:dyDescent="0.2">
      <c r="A54" s="399"/>
      <c r="B54" s="425" t="str">
        <f>IFERROR(INDEX(Resume!$C$3:$F$231,MATCH(ROW($B35),Resume!$N$3:$N$231,0),MATCH(Quotation!B$18,Resume!$C$2:$F$2,0)),"")</f>
        <v/>
      </c>
      <c r="C54" s="10" t="str">
        <f>IFERROR(INDEX(Resume!$C$3:$F$231,MATCH(ROW($B35),Resume!$N$3:$N$231,0),MATCH(Quotation!C$18,Resume!$C$2:$F$2,0)),"")</f>
        <v/>
      </c>
      <c r="D54" s="1033" t="str">
        <f>IFERROR(INDEX(Resume!$C$3:$F$231,MATCH(ROW($B35),Resume!$N$3:$N$231,0),MATCH(Quotation!D$18,Resume!$C$2:$F$2,0)),"")</f>
        <v/>
      </c>
      <c r="E54" s="1034"/>
      <c r="F54" s="493" t="str">
        <f>IFERROR(INDEX(Resume!$C$3:$F$231,MATCH(ROW($B35),Resume!$N$3:$N$231,0),MATCH(Quotation!F$18,Resume!$C$2:$F$2,0)),"")</f>
        <v/>
      </c>
      <c r="G54" s="494" t="str">
        <f t="shared" si="0"/>
        <v/>
      </c>
      <c r="I54" s="427"/>
      <c r="J54" s="427"/>
    </row>
    <row r="55" spans="1:10" x14ac:dyDescent="0.2">
      <c r="A55" s="399"/>
      <c r="B55" s="425" t="str">
        <f>IFERROR(INDEX(Resume!$C$3:$F$231,MATCH(ROW($B36),Resume!$N$3:$N$231,0),MATCH(Quotation!B$18,Resume!$C$2:$F$2,0)),"")</f>
        <v/>
      </c>
      <c r="C55" s="10" t="str">
        <f>IFERROR(INDEX(Resume!$C$3:$F$231,MATCH(ROW($B36),Resume!$N$3:$N$231,0),MATCH(Quotation!C$18,Resume!$C$2:$F$2,0)),"")</f>
        <v/>
      </c>
      <c r="D55" s="1033" t="str">
        <f>IFERROR(INDEX(Resume!$C$3:$F$231,MATCH(ROW($B36),Resume!$N$3:$N$231,0),MATCH(Quotation!D$18,Resume!$C$2:$F$2,0)),"")</f>
        <v/>
      </c>
      <c r="E55" s="1034"/>
      <c r="F55" s="493" t="str">
        <f>IFERROR(INDEX(Resume!$C$3:$F$231,MATCH(ROW($B36),Resume!$N$3:$N$231,0),MATCH(Quotation!F$18,Resume!$C$2:$F$2,0)),"")</f>
        <v/>
      </c>
      <c r="G55" s="494" t="str">
        <f t="shared" si="0"/>
        <v/>
      </c>
      <c r="I55" s="427"/>
      <c r="J55" s="427"/>
    </row>
    <row r="56" spans="1:10" x14ac:dyDescent="0.2">
      <c r="A56" s="399"/>
      <c r="B56" s="425" t="str">
        <f>IFERROR(INDEX(Resume!$C$3:$F$231,MATCH(ROW($B37),Resume!$N$3:$N$231,0),MATCH(Quotation!B$18,Resume!$C$2:$F$2,0)),"")</f>
        <v/>
      </c>
      <c r="C56" s="10" t="str">
        <f>IFERROR(INDEX(Resume!$C$3:$F$231,MATCH(ROW($B37),Resume!$N$3:$N$231,0),MATCH(Quotation!C$18,Resume!$C$2:$F$2,0)),"")</f>
        <v/>
      </c>
      <c r="D56" s="1033" t="str">
        <f>IFERROR(INDEX(Resume!$C$3:$F$231,MATCH(ROW($B37),Resume!$N$3:$N$231,0),MATCH(Quotation!D$18,Resume!$C$2:$F$2,0)),"")</f>
        <v/>
      </c>
      <c r="E56" s="1034"/>
      <c r="F56" s="493" t="str">
        <f>IFERROR(INDEX(Resume!$C$3:$F$231,MATCH(ROW($B37),Resume!$N$3:$N$231,0),MATCH(Quotation!F$18,Resume!$C$2:$F$2,0)),"")</f>
        <v/>
      </c>
      <c r="G56" s="494" t="str">
        <f t="shared" si="0"/>
        <v/>
      </c>
      <c r="I56" s="427"/>
      <c r="J56" s="427"/>
    </row>
    <row r="57" spans="1:10" x14ac:dyDescent="0.2">
      <c r="A57" s="399"/>
      <c r="B57" s="425" t="str">
        <f>IFERROR(INDEX(Resume!$C$3:$F$231,MATCH(ROW($B38),Resume!$N$3:$N$231,0),MATCH(Quotation!B$18,Resume!$C$2:$F$2,0)),"")</f>
        <v/>
      </c>
      <c r="C57" s="10" t="str">
        <f>IFERROR(INDEX(Resume!$C$3:$F$231,MATCH(ROW($B38),Resume!$N$3:$N$231,0),MATCH(Quotation!C$18,Resume!$C$2:$F$2,0)),"")</f>
        <v/>
      </c>
      <c r="D57" s="1033" t="str">
        <f>IFERROR(INDEX(Resume!$C$3:$F$231,MATCH(ROW($B38),Resume!$N$3:$N$231,0),MATCH(Quotation!D$18,Resume!$C$2:$F$2,0)),"")</f>
        <v/>
      </c>
      <c r="E57" s="1034"/>
      <c r="F57" s="493" t="str">
        <f>IFERROR(INDEX(Resume!$C$3:$F$231,MATCH(ROW($B38),Resume!$N$3:$N$231,0),MATCH(Quotation!F$18,Resume!$C$2:$F$2,0)),"")</f>
        <v/>
      </c>
      <c r="G57" s="494" t="str">
        <f t="shared" si="0"/>
        <v/>
      </c>
      <c r="I57" s="427"/>
      <c r="J57" s="427"/>
    </row>
    <row r="58" spans="1:10" x14ac:dyDescent="0.2">
      <c r="A58" s="399"/>
      <c r="B58" s="425" t="str">
        <f>IFERROR(INDEX(Resume!$C$3:$F$231,MATCH(ROW($B39),Resume!$N$3:$N$231,0),MATCH(Quotation!B$18,Resume!$C$2:$F$2,0)),"")</f>
        <v/>
      </c>
      <c r="C58" s="10" t="str">
        <f>IFERROR(INDEX(Resume!$C$3:$F$231,MATCH(ROW($B39),Resume!$N$3:$N$231,0),MATCH(Quotation!C$18,Resume!$C$2:$F$2,0)),"")</f>
        <v/>
      </c>
      <c r="D58" s="1033" t="str">
        <f>IFERROR(INDEX(Resume!$C$3:$F$231,MATCH(ROW($B39),Resume!$N$3:$N$231,0),MATCH(Quotation!D$18,Resume!$C$2:$F$2,0)),"")</f>
        <v/>
      </c>
      <c r="E58" s="1034"/>
      <c r="F58" s="493" t="str">
        <f>IFERROR(INDEX(Resume!$C$3:$F$231,MATCH(ROW($B39),Resume!$N$3:$N$231,0),MATCH(Quotation!F$18,Resume!$C$2:$F$2,0)),"")</f>
        <v/>
      </c>
      <c r="G58" s="494" t="str">
        <f t="shared" si="0"/>
        <v/>
      </c>
      <c r="I58" s="427"/>
      <c r="J58" s="427"/>
    </row>
    <row r="59" spans="1:10" x14ac:dyDescent="0.2">
      <c r="A59" s="399"/>
      <c r="B59" s="428"/>
      <c r="C59" s="429" t="s">
        <v>31</v>
      </c>
      <c r="D59" s="428"/>
      <c r="E59" s="430"/>
      <c r="F59" s="431" t="str">
        <f>VLOOKUP(E1,B91:W93,17)</f>
        <v>SUB-TOTAL</v>
      </c>
      <c r="G59" s="495">
        <f>SUM(G19:G58)</f>
        <v>25</v>
      </c>
      <c r="I59" s="427"/>
      <c r="J59" s="427"/>
    </row>
    <row r="60" spans="1:10" x14ac:dyDescent="0.2">
      <c r="A60" s="399"/>
      <c r="B60" s="480" t="str">
        <f>VLOOKUP(E1,B91:W93,16)</f>
        <v>TRANSPORT SHOULD BE DONE BY:</v>
      </c>
      <c r="C60" s="481"/>
      <c r="D60" s="482">
        <f>Resume!I233</f>
        <v>0</v>
      </c>
      <c r="E60" s="430"/>
      <c r="F60" s="431"/>
      <c r="G60" s="496" t="e">
        <f>IF(F60= "NO TAXES",0,VLOOKUP(F60,B108:C117,2))*G59</f>
        <v>#N/A</v>
      </c>
      <c r="I60" s="427"/>
      <c r="J60" s="427"/>
    </row>
    <row r="61" spans="1:10" x14ac:dyDescent="0.2">
      <c r="A61" s="399"/>
      <c r="B61" s="432"/>
      <c r="C61" s="479">
        <f>IF(D61=Resume!E239,Resume!D239,IF(D61=Resume!E240,Resume!D240,IF(D61=Resume!E241,Resume!D241,IF(D61=Resume!E242,Resume!D242,IF(D61=Resume!E243,Resume!D243,0)))))</f>
        <v>0</v>
      </c>
      <c r="D61" s="478" t="str">
        <f>IFERROR(INDEX(Resume!$D$239:$G$243,MATCH(ROW($B1),Resume!$G$239:$G$243,0),MATCH(Quotation!D$60,Resume!$D$238:$G$238)),"")</f>
        <v/>
      </c>
      <c r="E61" s="430"/>
      <c r="F61" s="433" t="s">
        <v>60</v>
      </c>
      <c r="G61" s="496" t="e">
        <f>G59+G60</f>
        <v>#N/A</v>
      </c>
      <c r="I61" s="427"/>
      <c r="J61" s="427"/>
    </row>
    <row r="62" spans="1:10" x14ac:dyDescent="0.2">
      <c r="A62" s="399"/>
      <c r="B62" s="434"/>
      <c r="C62" s="479">
        <f>IF(D62=Resume!E240,Resume!D240,IF(D62=Resume!E241,Resume!D241,IF(D62=Resume!E242,Resume!D242,IF(D62=Resume!E243,Resume!D243,IF(D62=Resume!E244,Resume!D244,0)))))</f>
        <v>0</v>
      </c>
      <c r="D62" s="478" t="str">
        <f>IFERROR(INDEX(Resume!$D$239:$G$243,MATCH(ROW($B2),Resume!$G$239:$G$243,0),MATCH(Quotation!D$60,Resume!$D$238:$G$238)),"")</f>
        <v/>
      </c>
      <c r="E62" s="430"/>
      <c r="F62" s="399"/>
      <c r="G62" s="399"/>
      <c r="I62" s="427"/>
      <c r="J62" s="427"/>
    </row>
    <row r="63" spans="1:10" x14ac:dyDescent="0.2">
      <c r="A63" s="399"/>
      <c r="B63" s="434"/>
      <c r="C63" s="479" t="str">
        <f>VLOOKUP(E1,B91:W93,19)</f>
        <v>Total weight in lbs:</v>
      </c>
      <c r="D63" s="478">
        <f>ROUNDUP(Resume!I233,0)</f>
        <v>0</v>
      </c>
      <c r="E63" s="430"/>
      <c r="F63" s="399"/>
      <c r="G63" s="399"/>
      <c r="I63" s="427"/>
      <c r="J63" s="427"/>
    </row>
    <row r="64" spans="1:10" ht="5.25" customHeight="1" x14ac:dyDescent="0.2">
      <c r="A64" s="435"/>
      <c r="B64" s="436"/>
      <c r="C64" s="437"/>
      <c r="D64" s="438"/>
      <c r="E64" s="437"/>
      <c r="F64" s="435"/>
      <c r="G64" s="435"/>
      <c r="I64" s="427"/>
      <c r="J64" s="427"/>
    </row>
    <row r="66" spans="2:6" hidden="1" x14ac:dyDescent="0.2"/>
    <row r="67" spans="2:6" hidden="1" x14ac:dyDescent="0.2">
      <c r="B67" s="402" t="s">
        <v>33</v>
      </c>
    </row>
    <row r="68" spans="2:6" hidden="1" x14ac:dyDescent="0.2">
      <c r="B68" s="401" t="s">
        <v>427</v>
      </c>
      <c r="C68" s="401" t="s">
        <v>383</v>
      </c>
      <c r="D68" s="401">
        <v>311</v>
      </c>
      <c r="E68" s="401" t="s">
        <v>877</v>
      </c>
      <c r="F68" s="439" t="s">
        <v>428</v>
      </c>
    </row>
    <row r="69" spans="2:6" hidden="1" x14ac:dyDescent="0.2">
      <c r="B69" s="435" t="s">
        <v>410</v>
      </c>
      <c r="C69" s="401" t="s">
        <v>383</v>
      </c>
      <c r="D69" s="401">
        <v>302</v>
      </c>
      <c r="E69" s="401" t="s">
        <v>34</v>
      </c>
      <c r="F69" s="439" t="s">
        <v>35</v>
      </c>
    </row>
    <row r="70" spans="2:6" hidden="1" x14ac:dyDescent="0.2">
      <c r="B70" s="435" t="s">
        <v>504</v>
      </c>
      <c r="C70" s="401" t="s">
        <v>383</v>
      </c>
      <c r="D70" s="401">
        <v>304</v>
      </c>
      <c r="E70" s="440" t="s">
        <v>419</v>
      </c>
      <c r="F70" s="439" t="s">
        <v>38</v>
      </c>
    </row>
    <row r="71" spans="2:6" hidden="1" x14ac:dyDescent="0.2">
      <c r="B71" s="401" t="s">
        <v>431</v>
      </c>
      <c r="C71" s="401" t="s">
        <v>383</v>
      </c>
      <c r="D71" s="401">
        <v>313</v>
      </c>
      <c r="E71" s="440" t="s">
        <v>419</v>
      </c>
      <c r="F71" s="439" t="s">
        <v>434</v>
      </c>
    </row>
    <row r="72" spans="2:6" hidden="1" x14ac:dyDescent="0.2">
      <c r="B72" s="401" t="s">
        <v>904</v>
      </c>
      <c r="C72" s="401" t="s">
        <v>383</v>
      </c>
      <c r="D72" s="401">
        <v>306</v>
      </c>
      <c r="E72" s="440" t="s">
        <v>419</v>
      </c>
      <c r="F72" s="439" t="s">
        <v>905</v>
      </c>
    </row>
    <row r="73" spans="2:6" hidden="1" x14ac:dyDescent="0.2">
      <c r="B73" s="435" t="s">
        <v>903</v>
      </c>
      <c r="C73" s="401" t="s">
        <v>383</v>
      </c>
      <c r="D73" s="401">
        <v>7</v>
      </c>
      <c r="E73" s="401" t="s">
        <v>424</v>
      </c>
      <c r="F73" s="439" t="s">
        <v>425</v>
      </c>
    </row>
    <row r="74" spans="2:6" hidden="1" x14ac:dyDescent="0.2">
      <c r="B74" s="435" t="s">
        <v>41</v>
      </c>
      <c r="C74" s="401" t="s">
        <v>383</v>
      </c>
      <c r="D74" s="401">
        <v>301</v>
      </c>
      <c r="E74" s="401" t="s">
        <v>42</v>
      </c>
      <c r="F74" s="439" t="s">
        <v>43</v>
      </c>
    </row>
    <row r="75" spans="2:6" hidden="1" x14ac:dyDescent="0.2">
      <c r="B75" s="435" t="s">
        <v>409</v>
      </c>
      <c r="C75" s="401" t="s">
        <v>383</v>
      </c>
      <c r="D75" s="401">
        <v>9</v>
      </c>
      <c r="E75" s="435" t="s">
        <v>44</v>
      </c>
      <c r="F75" s="441" t="s">
        <v>411</v>
      </c>
    </row>
    <row r="76" spans="2:6" hidden="1" x14ac:dyDescent="0.2">
      <c r="B76" s="401" t="s">
        <v>416</v>
      </c>
      <c r="C76" s="401" t="s">
        <v>383</v>
      </c>
      <c r="D76" s="401">
        <v>8</v>
      </c>
      <c r="E76" s="401" t="s">
        <v>417</v>
      </c>
      <c r="F76" s="439" t="s">
        <v>418</v>
      </c>
    </row>
    <row r="77" spans="2:6" hidden="1" x14ac:dyDescent="0.2">
      <c r="B77" s="401" t="s">
        <v>911</v>
      </c>
      <c r="C77" s="401" t="s">
        <v>383</v>
      </c>
      <c r="D77" s="401">
        <v>11</v>
      </c>
      <c r="E77" s="401" t="s">
        <v>912</v>
      </c>
      <c r="F77" s="439" t="s">
        <v>913</v>
      </c>
    </row>
    <row r="78" spans="2:6" hidden="1" x14ac:dyDescent="0.2">
      <c r="B78" s="401" t="s">
        <v>430</v>
      </c>
      <c r="C78" s="401" t="s">
        <v>383</v>
      </c>
      <c r="D78" s="401">
        <v>6</v>
      </c>
      <c r="E78" s="401" t="s">
        <v>436</v>
      </c>
      <c r="F78" s="439" t="s">
        <v>435</v>
      </c>
    </row>
    <row r="79" spans="2:6" hidden="1" x14ac:dyDescent="0.2">
      <c r="B79" s="401" t="s">
        <v>482</v>
      </c>
      <c r="C79" s="401" t="s">
        <v>383</v>
      </c>
      <c r="D79" s="401">
        <v>4</v>
      </c>
      <c r="E79" s="401" t="s">
        <v>484</v>
      </c>
      <c r="F79" s="439" t="s">
        <v>483</v>
      </c>
    </row>
    <row r="80" spans="2:6" hidden="1" x14ac:dyDescent="0.2">
      <c r="B80" s="401" t="s">
        <v>908</v>
      </c>
      <c r="C80" s="401" t="s">
        <v>383</v>
      </c>
      <c r="D80" s="401">
        <v>308</v>
      </c>
      <c r="E80" s="440" t="s">
        <v>909</v>
      </c>
      <c r="F80" s="439" t="s">
        <v>910</v>
      </c>
    </row>
    <row r="81" spans="2:23" hidden="1" x14ac:dyDescent="0.2">
      <c r="B81" s="401" t="s">
        <v>546</v>
      </c>
      <c r="C81" s="401" t="s">
        <v>383</v>
      </c>
      <c r="D81" s="401">
        <v>309</v>
      </c>
      <c r="E81" s="440" t="s">
        <v>876</v>
      </c>
      <c r="F81" s="439" t="s">
        <v>547</v>
      </c>
    </row>
    <row r="82" spans="2:23" hidden="1" x14ac:dyDescent="0.2"/>
    <row r="83" spans="2:23" hidden="1" x14ac:dyDescent="0.2">
      <c r="B83" s="402" t="s">
        <v>46</v>
      </c>
    </row>
    <row r="84" spans="2:23" hidden="1" x14ac:dyDescent="0.2">
      <c r="B84" s="402"/>
    </row>
    <row r="85" spans="2:23" hidden="1" x14ac:dyDescent="0.2">
      <c r="B85" s="401" t="s">
        <v>432</v>
      </c>
      <c r="C85" s="401" t="s">
        <v>47</v>
      </c>
      <c r="D85" s="401" t="s">
        <v>381</v>
      </c>
      <c r="E85" s="401" t="s">
        <v>382</v>
      </c>
    </row>
    <row r="86" spans="2:23" hidden="1" x14ac:dyDescent="0.2">
      <c r="B86" s="401" t="s">
        <v>433</v>
      </c>
      <c r="C86" s="401" t="s">
        <v>906</v>
      </c>
      <c r="D86" s="401" t="s">
        <v>907</v>
      </c>
      <c r="E86" s="401" t="s">
        <v>382</v>
      </c>
    </row>
    <row r="87" spans="2:23" hidden="1" x14ac:dyDescent="0.2"/>
    <row r="88" spans="2:23" hidden="1" x14ac:dyDescent="0.2"/>
    <row r="89" spans="2:23" hidden="1" x14ac:dyDescent="0.2"/>
    <row r="90" spans="2:23" hidden="1" x14ac:dyDescent="0.2">
      <c r="B90" s="402" t="s">
        <v>100</v>
      </c>
    </row>
    <row r="91" spans="2:23" hidden="1" x14ac:dyDescent="0.2"/>
    <row r="92" spans="2:23" hidden="1" x14ac:dyDescent="0.2">
      <c r="B92" s="401" t="s">
        <v>30</v>
      </c>
      <c r="C92" s="401" t="s">
        <v>48</v>
      </c>
      <c r="D92" s="401" t="s">
        <v>49</v>
      </c>
      <c r="E92" s="401" t="s">
        <v>393</v>
      </c>
      <c r="F92" s="401" t="s">
        <v>474</v>
      </c>
      <c r="G92" s="401" t="s">
        <v>12</v>
      </c>
      <c r="H92" s="401" t="s">
        <v>392</v>
      </c>
      <c r="I92" s="401" t="s">
        <v>53</v>
      </c>
      <c r="J92" s="401" t="s">
        <v>54</v>
      </c>
      <c r="K92" s="401" t="s">
        <v>485</v>
      </c>
      <c r="L92" s="401" t="s">
        <v>55</v>
      </c>
      <c r="M92" s="401" t="s">
        <v>56</v>
      </c>
      <c r="N92" s="401" t="s">
        <v>57</v>
      </c>
      <c r="O92" s="401" t="s">
        <v>58</v>
      </c>
      <c r="P92" s="401" t="s">
        <v>59</v>
      </c>
      <c r="Q92" s="401" t="s">
        <v>103</v>
      </c>
      <c r="R92" s="401" t="s">
        <v>15</v>
      </c>
      <c r="S92" s="401" t="s">
        <v>61</v>
      </c>
      <c r="T92" s="401" t="s">
        <v>107</v>
      </c>
      <c r="U92" s="401" t="s">
        <v>62</v>
      </c>
      <c r="V92" s="401" t="s">
        <v>63</v>
      </c>
      <c r="W92" s="401" t="s">
        <v>64</v>
      </c>
    </row>
    <row r="93" spans="2:23" hidden="1" x14ac:dyDescent="0.2">
      <c r="B93" s="401" t="s">
        <v>65</v>
      </c>
      <c r="C93" s="401" t="s">
        <v>66</v>
      </c>
      <c r="D93" s="401" t="s">
        <v>67</v>
      </c>
      <c r="E93" s="401" t="s">
        <v>68</v>
      </c>
      <c r="F93" s="401" t="s">
        <v>69</v>
      </c>
      <c r="G93" s="401" t="s">
        <v>70</v>
      </c>
      <c r="H93" s="401" t="s">
        <v>52</v>
      </c>
      <c r="I93" s="401" t="s">
        <v>71</v>
      </c>
      <c r="J93" s="401" t="s">
        <v>72</v>
      </c>
      <c r="K93" s="401" t="s">
        <v>73</v>
      </c>
      <c r="L93" s="401" t="s">
        <v>74</v>
      </c>
      <c r="M93" s="401" t="s">
        <v>75</v>
      </c>
      <c r="N93" s="401" t="s">
        <v>76</v>
      </c>
      <c r="O93" s="401" t="s">
        <v>58</v>
      </c>
      <c r="P93" s="401" t="s">
        <v>77</v>
      </c>
      <c r="Q93" s="401" t="s">
        <v>106</v>
      </c>
      <c r="R93" s="401" t="s">
        <v>78</v>
      </c>
      <c r="S93" s="401" t="s">
        <v>61</v>
      </c>
      <c r="T93" s="401" t="s">
        <v>108</v>
      </c>
      <c r="U93" s="401" t="s">
        <v>79</v>
      </c>
      <c r="V93" s="401" t="s">
        <v>80</v>
      </c>
      <c r="W93" s="401" t="s">
        <v>81</v>
      </c>
    </row>
    <row r="94" spans="2:23" hidden="1" x14ac:dyDescent="0.2"/>
    <row r="95" spans="2:23" hidden="1" x14ac:dyDescent="0.2"/>
    <row r="96" spans="2:23" hidden="1" x14ac:dyDescent="0.2"/>
    <row r="97" spans="2:5" hidden="1" x14ac:dyDescent="0.2"/>
    <row r="98" spans="2:5" hidden="1" x14ac:dyDescent="0.2">
      <c r="B98" s="402" t="s">
        <v>56</v>
      </c>
      <c r="E98" s="402" t="s">
        <v>548</v>
      </c>
    </row>
    <row r="99" spans="2:5" hidden="1" x14ac:dyDescent="0.2"/>
    <row r="100" spans="2:5" hidden="1" x14ac:dyDescent="0.2">
      <c r="B100" s="401" t="s">
        <v>88</v>
      </c>
      <c r="E100" s="401" t="s">
        <v>549</v>
      </c>
    </row>
    <row r="101" spans="2:5" hidden="1" x14ac:dyDescent="0.2">
      <c r="B101" s="401" t="s">
        <v>384</v>
      </c>
      <c r="E101" s="401" t="s">
        <v>550</v>
      </c>
    </row>
    <row r="102" spans="2:5" hidden="1" x14ac:dyDescent="0.2">
      <c r="B102" s="401" t="s">
        <v>385</v>
      </c>
    </row>
    <row r="103" spans="2:5" hidden="1" x14ac:dyDescent="0.2">
      <c r="B103" s="401" t="s">
        <v>89</v>
      </c>
    </row>
    <row r="104" spans="2:5" hidden="1" x14ac:dyDescent="0.2">
      <c r="B104" s="401" t="s">
        <v>391</v>
      </c>
    </row>
    <row r="105" spans="2:5" hidden="1" x14ac:dyDescent="0.2"/>
    <row r="106" spans="2:5" hidden="1" x14ac:dyDescent="0.2"/>
    <row r="107" spans="2:5" hidden="1" x14ac:dyDescent="0.2">
      <c r="B107" s="402" t="s">
        <v>61</v>
      </c>
    </row>
    <row r="108" spans="2:5" hidden="1" x14ac:dyDescent="0.2">
      <c r="C108" s="442">
        <v>0</v>
      </c>
    </row>
    <row r="109" spans="2:5" hidden="1" x14ac:dyDescent="0.2">
      <c r="B109" s="427" t="s">
        <v>4</v>
      </c>
      <c r="C109" s="442">
        <v>0.05</v>
      </c>
    </row>
    <row r="110" spans="2:5" hidden="1" x14ac:dyDescent="0.2">
      <c r="B110" s="427" t="s">
        <v>5</v>
      </c>
      <c r="C110" s="442">
        <v>0.05</v>
      </c>
    </row>
    <row r="111" spans="2:5" hidden="1" x14ac:dyDescent="0.2">
      <c r="B111" s="427" t="s">
        <v>91</v>
      </c>
      <c r="C111" s="442">
        <v>0.05</v>
      </c>
    </row>
    <row r="112" spans="2:5" hidden="1" x14ac:dyDescent="0.2">
      <c r="B112" s="427" t="s">
        <v>92</v>
      </c>
      <c r="C112" s="442">
        <v>0.05</v>
      </c>
    </row>
    <row r="113" spans="2:3" hidden="1" x14ac:dyDescent="0.2">
      <c r="B113" s="427" t="s">
        <v>93</v>
      </c>
      <c r="C113" s="442">
        <v>0.13</v>
      </c>
    </row>
    <row r="114" spans="2:3" hidden="1" x14ac:dyDescent="0.2">
      <c r="B114" s="427" t="s">
        <v>94</v>
      </c>
      <c r="C114" s="442">
        <v>0.05</v>
      </c>
    </row>
    <row r="115" spans="2:3" hidden="1" x14ac:dyDescent="0.2">
      <c r="B115" s="427" t="s">
        <v>95</v>
      </c>
      <c r="C115" s="442">
        <v>0.14974999999999999</v>
      </c>
    </row>
    <row r="116" spans="2:3" hidden="1" x14ac:dyDescent="0.2">
      <c r="B116" s="427" t="s">
        <v>96</v>
      </c>
      <c r="C116" s="442">
        <v>0.05</v>
      </c>
    </row>
    <row r="117" spans="2:3" hidden="1" x14ac:dyDescent="0.2">
      <c r="B117" s="401" t="s">
        <v>97</v>
      </c>
      <c r="C117" s="442">
        <v>0</v>
      </c>
    </row>
  </sheetData>
  <mergeCells count="48">
    <mergeCell ref="D53:E53"/>
    <mergeCell ref="D55:E55"/>
    <mergeCell ref="D52:E52"/>
    <mergeCell ref="D41:E41"/>
    <mergeCell ref="D45:E45"/>
    <mergeCell ref="D46:E46"/>
    <mergeCell ref="D51:E51"/>
    <mergeCell ref="D50:E50"/>
    <mergeCell ref="D42:E42"/>
    <mergeCell ref="D43:E43"/>
    <mergeCell ref="D44:E44"/>
    <mergeCell ref="D47:E47"/>
    <mergeCell ref="D48:E48"/>
    <mergeCell ref="D49:E49"/>
    <mergeCell ref="D54:E54"/>
    <mergeCell ref="D36:E36"/>
    <mergeCell ref="D37:E37"/>
    <mergeCell ref="D38:E38"/>
    <mergeCell ref="D39:E39"/>
    <mergeCell ref="D28:E28"/>
    <mergeCell ref="B16:D16"/>
    <mergeCell ref="E16:F16"/>
    <mergeCell ref="E1:G2"/>
    <mergeCell ref="C8:D8"/>
    <mergeCell ref="C9:D9"/>
    <mergeCell ref="B15:D15"/>
    <mergeCell ref="E15:F15"/>
    <mergeCell ref="D18:E18"/>
    <mergeCell ref="C19:E19"/>
    <mergeCell ref="D20:E20"/>
    <mergeCell ref="D21:E21"/>
    <mergeCell ref="D22:E22"/>
    <mergeCell ref="D56:E56"/>
    <mergeCell ref="D57:E57"/>
    <mergeCell ref="D58:E58"/>
    <mergeCell ref="D23:E23"/>
    <mergeCell ref="D24:E24"/>
    <mergeCell ref="D25:E25"/>
    <mergeCell ref="D26:E26"/>
    <mergeCell ref="D27:E27"/>
    <mergeCell ref="D40:E40"/>
    <mergeCell ref="D29:E29"/>
    <mergeCell ref="D30:E30"/>
    <mergeCell ref="D31:E31"/>
    <mergeCell ref="D32:E32"/>
    <mergeCell ref="D33:E33"/>
    <mergeCell ref="D34:E34"/>
    <mergeCell ref="D35:E35"/>
  </mergeCells>
  <conditionalFormatting sqref="B3">
    <cfRule type="expression" dxfId="86" priority="20" stopIfTrue="1">
      <formula>$B$3=0</formula>
    </cfRule>
  </conditionalFormatting>
  <conditionalFormatting sqref="G3">
    <cfRule type="expression" dxfId="85" priority="19" stopIfTrue="1">
      <formula>$G$3=0</formula>
    </cfRule>
  </conditionalFormatting>
  <conditionalFormatting sqref="B8">
    <cfRule type="expression" dxfId="84" priority="17" stopIfTrue="1">
      <formula>$B$8=Nom</formula>
    </cfRule>
  </conditionalFormatting>
  <conditionalFormatting sqref="E1:G2">
    <cfRule type="expression" dxfId="83" priority="14" stopIfTrue="1">
      <formula>$E$1=0</formula>
    </cfRule>
  </conditionalFormatting>
  <conditionalFormatting sqref="F60">
    <cfRule type="expression" dxfId="82" priority="13" stopIfTrue="1">
      <formula>$F$60=0</formula>
    </cfRule>
  </conditionalFormatting>
  <conditionalFormatting sqref="B16:D16">
    <cfRule type="expression" dxfId="81" priority="12" stopIfTrue="1">
      <formula>$B$16=0</formula>
    </cfRule>
  </conditionalFormatting>
  <conditionalFormatting sqref="F8">
    <cfRule type="expression" dxfId="80" priority="6">
      <formula>$F$8=0</formula>
    </cfRule>
  </conditionalFormatting>
  <conditionalFormatting sqref="E16:F16">
    <cfRule type="expression" dxfId="79" priority="5">
      <formula>$E$16=0</formula>
    </cfRule>
  </conditionalFormatting>
  <conditionalFormatting sqref="G16">
    <cfRule type="expression" dxfId="78" priority="4">
      <formula>$G$16=0</formula>
    </cfRule>
  </conditionalFormatting>
  <conditionalFormatting sqref="C8:D8">
    <cfRule type="cellIs" dxfId="77" priority="2" operator="notEqual">
      <formula>0</formula>
    </cfRule>
  </conditionalFormatting>
  <conditionalFormatting sqref="C9:D9">
    <cfRule type="cellIs" dxfId="76" priority="1" operator="notEqual">
      <formula>0</formula>
    </cfRule>
  </conditionalFormatting>
  <dataValidations count="6">
    <dataValidation type="list" allowBlank="1" showInputMessage="1" showErrorMessage="1" sqref="F60">
      <formula1>$B$108:$B$117</formula1>
    </dataValidation>
    <dataValidation type="list" allowBlank="1" showInputMessage="1" showErrorMessage="1" sqref="G16">
      <formula1>$B$99:$B$104</formula1>
    </dataValidation>
    <dataValidation type="list" allowBlank="1" showInputMessage="1" showErrorMessage="1" sqref="E1:G2">
      <formula1>$B$91:$B$93</formula1>
    </dataValidation>
    <dataValidation type="list" allowBlank="1" showInputMessage="1" showErrorMessage="1" sqref="B3">
      <formula1>$B$84:$B$87</formula1>
    </dataValidation>
    <dataValidation type="list" allowBlank="1" showInputMessage="1" showErrorMessage="1" sqref="F8">
      <formula1>$B$68:$B$82</formula1>
    </dataValidation>
    <dataValidation type="list" allowBlank="1" showInputMessage="1" showErrorMessage="1" sqref="B16:D16">
      <formula1>$E$100:$E$101</formula1>
    </dataValidation>
  </dataValidations>
  <hyperlinks>
    <hyperlink ref="F69" r:id="rId1"/>
    <hyperlink ref="F73" r:id="rId2"/>
    <hyperlink ref="F74" r:id="rId3"/>
    <hyperlink ref="F70" r:id="rId4"/>
    <hyperlink ref="F75" r:id="rId5"/>
    <hyperlink ref="F13" r:id="rId6"/>
    <hyperlink ref="F76" r:id="rId7"/>
    <hyperlink ref="F68" r:id="rId8"/>
    <hyperlink ref="F71" r:id="rId9"/>
    <hyperlink ref="F78" r:id="rId10"/>
    <hyperlink ref="F79" r:id="rId11"/>
    <hyperlink ref="F81" r:id="rId12"/>
    <hyperlink ref="F80" r:id="rId13"/>
    <hyperlink ref="F72" r:id="rId14"/>
    <hyperlink ref="F77" r:id="rId15"/>
  </hyperlinks>
  <pageMargins left="0.11811023622047245" right="0.11811023622047245" top="0.35433070866141736" bottom="0.19685039370078741" header="0" footer="0"/>
  <pageSetup scale="96" orientation="portrait" r:id="rId16"/>
  <drawing r:id="rId1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E247"/>
  <sheetViews>
    <sheetView zoomScaleNormal="100" workbookViewId="0">
      <pane ySplit="2" topLeftCell="A171" activePane="bottomLeft" state="frozen"/>
      <selection pane="bottomLeft" activeCell="H192" sqref="H192:H193"/>
    </sheetView>
  </sheetViews>
  <sheetFormatPr baseColWidth="10" defaultColWidth="8.7109375" defaultRowHeight="12.75" x14ac:dyDescent="0.2"/>
  <cols>
    <col min="1" max="1" width="11.7109375" style="166" customWidth="1"/>
    <col min="2" max="2" width="13" style="166" customWidth="1"/>
    <col min="3" max="3" width="22.7109375" style="166" bestFit="1" customWidth="1"/>
    <col min="4" max="4" width="25.5703125" style="166" customWidth="1"/>
    <col min="5" max="5" width="44.7109375" style="166" customWidth="1"/>
    <col min="6" max="6" width="11.28515625" style="184" customWidth="1"/>
    <col min="7" max="7" width="18" style="184" customWidth="1"/>
    <col min="8" max="8" width="15.5703125" style="185" customWidth="1"/>
    <col min="9" max="9" width="13.28515625" style="166" customWidth="1"/>
    <col min="10" max="10" width="8.7109375" style="166" bestFit="1" customWidth="1"/>
    <col min="11" max="11" width="7.5703125" style="166" customWidth="1"/>
    <col min="12" max="12" width="11.28515625" style="166" customWidth="1"/>
    <col min="13" max="13" width="17.42578125" style="186" customWidth="1"/>
    <col min="14" max="14" width="29.42578125" style="166" bestFit="1" customWidth="1"/>
    <col min="15" max="15" width="28.5703125" style="166" bestFit="1" customWidth="1"/>
    <col min="16" max="16384" width="8.7109375" style="166"/>
  </cols>
  <sheetData>
    <row r="1" spans="1:15" s="218" customFormat="1" ht="31.5" customHeight="1" x14ac:dyDescent="0.3">
      <c r="C1" s="1072" t="s">
        <v>98</v>
      </c>
      <c r="D1" s="1072"/>
      <c r="E1" s="1072"/>
      <c r="F1" s="1072"/>
      <c r="G1" s="1072"/>
      <c r="H1" s="1072"/>
      <c r="I1" s="1072"/>
      <c r="J1" s="1072"/>
      <c r="K1" s="1072"/>
      <c r="L1" s="1072"/>
      <c r="M1" s="1072"/>
    </row>
    <row r="2" spans="1:15" s="173" customFormat="1" ht="12" x14ac:dyDescent="0.2">
      <c r="A2" s="180" t="s">
        <v>147</v>
      </c>
      <c r="B2" s="509" t="s">
        <v>594</v>
      </c>
      <c r="C2" s="180" t="str">
        <f>Quotation!B18</f>
        <v>QUANTITY</v>
      </c>
      <c r="D2" s="180" t="str">
        <f>Quotation!C18</f>
        <v>PART #</v>
      </c>
      <c r="E2" s="180" t="str">
        <f>Quotation!D18</f>
        <v>DESCRIPTION</v>
      </c>
      <c r="F2" s="180" t="str">
        <f>Quotation!F18</f>
        <v>UNIT PRICE</v>
      </c>
      <c r="G2" s="180" t="str">
        <f>Quotation!G18</f>
        <v>TOTAL</v>
      </c>
      <c r="H2" s="180" t="s">
        <v>24</v>
      </c>
      <c r="I2" s="181" t="s">
        <v>25</v>
      </c>
      <c r="J2" s="180" t="s">
        <v>26</v>
      </c>
      <c r="K2" s="180" t="s">
        <v>27</v>
      </c>
      <c r="L2" s="180" t="s">
        <v>28</v>
      </c>
      <c r="M2" s="182" t="s">
        <v>29</v>
      </c>
      <c r="N2" s="183" t="s">
        <v>23</v>
      </c>
      <c r="O2" s="180" t="s">
        <v>101</v>
      </c>
    </row>
    <row r="3" spans="1:15" x14ac:dyDescent="0.2">
      <c r="N3" s="187"/>
    </row>
    <row r="4" spans="1:15" s="325" customFormat="1" ht="12.6" customHeight="1" x14ac:dyDescent="0.2">
      <c r="A4" s="318" t="s">
        <v>153</v>
      </c>
      <c r="B4" s="319" t="s">
        <v>426</v>
      </c>
      <c r="C4" s="320">
        <f>'Order form'!N22</f>
        <v>0</v>
      </c>
      <c r="D4" s="320" t="str">
        <f>'Order form'!D22</f>
        <v>P-96-WH</v>
      </c>
      <c r="E4" s="320" t="s">
        <v>689</v>
      </c>
      <c r="F4" s="321">
        <f>'Order form'!L22</f>
        <v>8.9499999999999993</v>
      </c>
      <c r="G4" s="321">
        <f>F4*C4</f>
        <v>0</v>
      </c>
      <c r="H4" s="322">
        <v>3.3879999999999999</v>
      </c>
      <c r="I4" s="323">
        <f>C4*H4</f>
        <v>0</v>
      </c>
      <c r="J4" s="323" t="s">
        <v>376</v>
      </c>
      <c r="K4" s="323">
        <v>8</v>
      </c>
      <c r="L4" s="323">
        <f t="shared" ref="L4:L50" si="0">C4/K4</f>
        <v>0</v>
      </c>
      <c r="M4" s="324">
        <f t="shared" ref="M4:M50" si="1">K4*H4</f>
        <v>27.103999999999999</v>
      </c>
      <c r="N4" s="320">
        <f t="shared" ref="N4:N74" si="2">IF(C4=0,N3,N3+1)</f>
        <v>0</v>
      </c>
      <c r="O4" s="1053">
        <f>SUM(G4:G12)</f>
        <v>0</v>
      </c>
    </row>
    <row r="5" spans="1:15" s="325" customFormat="1" ht="12.6" customHeight="1" x14ac:dyDescent="0.2">
      <c r="A5" s="318" t="s">
        <v>153</v>
      </c>
      <c r="B5" s="319" t="s">
        <v>426</v>
      </c>
      <c r="C5" s="320">
        <f>'Order form'!N23</f>
        <v>0</v>
      </c>
      <c r="D5" s="320" t="str">
        <f>'Order form'!D23</f>
        <v>P-96-IV</v>
      </c>
      <c r="E5" s="320" t="s">
        <v>690</v>
      </c>
      <c r="F5" s="321">
        <f>'Order form'!L23</f>
        <v>8.9499999999999993</v>
      </c>
      <c r="G5" s="321">
        <f t="shared" ref="G5:G75" si="3">F5*C5</f>
        <v>0</v>
      </c>
      <c r="H5" s="322">
        <v>3.3879999999999999</v>
      </c>
      <c r="I5" s="323">
        <f>C5*H5</f>
        <v>0</v>
      </c>
      <c r="J5" s="323" t="s">
        <v>376</v>
      </c>
      <c r="K5" s="323">
        <v>8</v>
      </c>
      <c r="L5" s="323">
        <f t="shared" si="0"/>
        <v>0</v>
      </c>
      <c r="M5" s="324">
        <f t="shared" si="1"/>
        <v>27.103999999999999</v>
      </c>
      <c r="N5" s="320">
        <f t="shared" si="2"/>
        <v>0</v>
      </c>
      <c r="O5" s="1054"/>
    </row>
    <row r="6" spans="1:15" s="325" customFormat="1" ht="12.6" customHeight="1" x14ac:dyDescent="0.2">
      <c r="A6" s="318" t="s">
        <v>153</v>
      </c>
      <c r="B6" s="319" t="s">
        <v>426</v>
      </c>
      <c r="C6" s="320">
        <f>'Order form'!N24</f>
        <v>0</v>
      </c>
      <c r="D6" s="320" t="str">
        <f>'Order form'!D24</f>
        <v>P-96-BL</v>
      </c>
      <c r="E6" s="320" t="s">
        <v>691</v>
      </c>
      <c r="F6" s="321">
        <f>'Order form'!L24</f>
        <v>8.9499999999999993</v>
      </c>
      <c r="G6" s="321">
        <f t="shared" si="3"/>
        <v>0</v>
      </c>
      <c r="H6" s="322">
        <v>3.3879999999999999</v>
      </c>
      <c r="I6" s="323">
        <f t="shared" ref="I6:I134" si="4">C6*H6</f>
        <v>0</v>
      </c>
      <c r="J6" s="323" t="s">
        <v>376</v>
      </c>
      <c r="K6" s="323">
        <v>8</v>
      </c>
      <c r="L6" s="323">
        <f t="shared" si="0"/>
        <v>0</v>
      </c>
      <c r="M6" s="324">
        <f t="shared" si="1"/>
        <v>27.103999999999999</v>
      </c>
      <c r="N6" s="320">
        <f t="shared" si="2"/>
        <v>0</v>
      </c>
      <c r="O6" s="1054"/>
    </row>
    <row r="7" spans="1:15" s="325" customFormat="1" ht="12.6" customHeight="1" x14ac:dyDescent="0.2">
      <c r="A7" s="318" t="s">
        <v>153</v>
      </c>
      <c r="B7" s="319" t="s">
        <v>426</v>
      </c>
      <c r="C7" s="320">
        <f>'Order form'!N25</f>
        <v>0</v>
      </c>
      <c r="D7" s="320" t="str">
        <f>'Order form'!D25</f>
        <v>P-96-GR</v>
      </c>
      <c r="E7" s="320" t="s">
        <v>692</v>
      </c>
      <c r="F7" s="321">
        <f>'Order form'!L25</f>
        <v>8.9499999999999993</v>
      </c>
      <c r="G7" s="321">
        <f t="shared" si="3"/>
        <v>0</v>
      </c>
      <c r="H7" s="322">
        <v>3.3879999999999999</v>
      </c>
      <c r="I7" s="323">
        <f t="shared" si="4"/>
        <v>0</v>
      </c>
      <c r="J7" s="323" t="s">
        <v>376</v>
      </c>
      <c r="K7" s="323">
        <v>8</v>
      </c>
      <c r="L7" s="323">
        <f t="shared" si="0"/>
        <v>0</v>
      </c>
      <c r="M7" s="324">
        <f t="shared" si="1"/>
        <v>27.103999999999999</v>
      </c>
      <c r="N7" s="320">
        <f t="shared" si="2"/>
        <v>0</v>
      </c>
      <c r="O7" s="1054"/>
    </row>
    <row r="8" spans="1:15" s="325" customFormat="1" ht="12.6" customHeight="1" x14ac:dyDescent="0.2">
      <c r="A8" s="318" t="s">
        <v>153</v>
      </c>
      <c r="B8" s="319" t="s">
        <v>426</v>
      </c>
      <c r="C8" s="320">
        <f>'Order form'!N26</f>
        <v>0</v>
      </c>
      <c r="D8" s="320" t="str">
        <f>'Order form'!D26</f>
        <v>P-96-RD</v>
      </c>
      <c r="E8" s="320" t="s">
        <v>693</v>
      </c>
      <c r="F8" s="321">
        <f>'Order form'!L26</f>
        <v>8.9499999999999993</v>
      </c>
      <c r="G8" s="321">
        <f t="shared" si="3"/>
        <v>0</v>
      </c>
      <c r="H8" s="322">
        <v>3.3879999999999999</v>
      </c>
      <c r="I8" s="323">
        <f t="shared" si="4"/>
        <v>0</v>
      </c>
      <c r="J8" s="323" t="s">
        <v>376</v>
      </c>
      <c r="K8" s="323">
        <v>8</v>
      </c>
      <c r="L8" s="323">
        <f t="shared" si="0"/>
        <v>0</v>
      </c>
      <c r="M8" s="324">
        <f t="shared" si="1"/>
        <v>27.103999999999999</v>
      </c>
      <c r="N8" s="320">
        <f t="shared" si="2"/>
        <v>0</v>
      </c>
      <c r="O8" s="1054"/>
    </row>
    <row r="9" spans="1:15" s="325" customFormat="1" ht="12.6" customHeight="1" x14ac:dyDescent="0.2">
      <c r="A9" s="318" t="s">
        <v>153</v>
      </c>
      <c r="B9" s="319" t="s">
        <v>426</v>
      </c>
      <c r="C9" s="320">
        <f>'Order form'!N27</f>
        <v>0</v>
      </c>
      <c r="D9" s="320" t="str">
        <f>'Order form'!D27</f>
        <v>P-96-OR</v>
      </c>
      <c r="E9" s="320" t="s">
        <v>694</v>
      </c>
      <c r="F9" s="321">
        <f>'Order form'!L27</f>
        <v>8.9499999999999993</v>
      </c>
      <c r="G9" s="321">
        <f t="shared" si="3"/>
        <v>0</v>
      </c>
      <c r="H9" s="322">
        <v>3.3879999999999999</v>
      </c>
      <c r="I9" s="323">
        <f t="shared" si="4"/>
        <v>0</v>
      </c>
      <c r="J9" s="323" t="s">
        <v>376</v>
      </c>
      <c r="K9" s="323">
        <v>8</v>
      </c>
      <c r="L9" s="323">
        <f t="shared" si="0"/>
        <v>0</v>
      </c>
      <c r="M9" s="324">
        <f t="shared" si="1"/>
        <v>27.103999999999999</v>
      </c>
      <c r="N9" s="320">
        <f t="shared" si="2"/>
        <v>0</v>
      </c>
      <c r="O9" s="1054"/>
    </row>
    <row r="10" spans="1:15" s="325" customFormat="1" x14ac:dyDescent="0.2">
      <c r="A10" s="318" t="s">
        <v>153</v>
      </c>
      <c r="B10" s="319" t="s">
        <v>426</v>
      </c>
      <c r="C10" s="320">
        <f>'Order form'!N28</f>
        <v>0</v>
      </c>
      <c r="D10" s="320" t="str">
        <f>'Order form'!D28</f>
        <v>EP-96-BK</v>
      </c>
      <c r="E10" s="320" t="s">
        <v>695</v>
      </c>
      <c r="F10" s="321">
        <f>'Order form'!L28</f>
        <v>8.9499999999999993</v>
      </c>
      <c r="G10" s="321">
        <f t="shared" si="3"/>
        <v>0</v>
      </c>
      <c r="H10" s="322">
        <v>3.3879999999999999</v>
      </c>
      <c r="I10" s="323">
        <f t="shared" si="4"/>
        <v>0</v>
      </c>
      <c r="J10" s="323" t="s">
        <v>376</v>
      </c>
      <c r="K10" s="323">
        <v>8</v>
      </c>
      <c r="L10" s="323">
        <f t="shared" si="0"/>
        <v>0</v>
      </c>
      <c r="M10" s="324">
        <f t="shared" si="1"/>
        <v>27.103999999999999</v>
      </c>
      <c r="N10" s="320">
        <f t="shared" si="2"/>
        <v>0</v>
      </c>
      <c r="O10" s="1054"/>
    </row>
    <row r="11" spans="1:15" s="325" customFormat="1" x14ac:dyDescent="0.2">
      <c r="A11" s="318" t="s">
        <v>153</v>
      </c>
      <c r="B11" s="319" t="s">
        <v>426</v>
      </c>
      <c r="C11" s="320">
        <f>'Order form'!N29</f>
        <v>0</v>
      </c>
      <c r="D11" s="320" t="str">
        <f>'Order form'!D29</f>
        <v>EP-96-ST</v>
      </c>
      <c r="E11" s="320" t="s">
        <v>696</v>
      </c>
      <c r="F11" s="321">
        <f>'Order form'!L29</f>
        <v>9.25</v>
      </c>
      <c r="G11" s="321">
        <f t="shared" si="3"/>
        <v>0</v>
      </c>
      <c r="H11" s="322">
        <v>2.508</v>
      </c>
      <c r="I11" s="323">
        <f t="shared" si="4"/>
        <v>0</v>
      </c>
      <c r="J11" s="323" t="s">
        <v>376</v>
      </c>
      <c r="K11" s="323">
        <v>6</v>
      </c>
      <c r="L11" s="323">
        <f t="shared" si="0"/>
        <v>0</v>
      </c>
      <c r="M11" s="324">
        <f t="shared" si="1"/>
        <v>15.048</v>
      </c>
      <c r="N11" s="320">
        <f t="shared" si="2"/>
        <v>0</v>
      </c>
      <c r="O11" s="1054"/>
    </row>
    <row r="12" spans="1:15" s="325" customFormat="1" x14ac:dyDescent="0.2">
      <c r="A12" s="318" t="s">
        <v>153</v>
      </c>
      <c r="B12" s="319" t="s">
        <v>426</v>
      </c>
      <c r="C12" s="320">
        <f>'Order form'!N30</f>
        <v>0</v>
      </c>
      <c r="D12" s="320" t="str">
        <f>'Order form'!D30</f>
        <v>SP-96-BL</v>
      </c>
      <c r="E12" s="320" t="s">
        <v>697</v>
      </c>
      <c r="F12" s="321">
        <f>'Order form'!L30</f>
        <v>14.5</v>
      </c>
      <c r="G12" s="321">
        <f t="shared" si="3"/>
        <v>0</v>
      </c>
      <c r="H12" s="322">
        <v>6.49</v>
      </c>
      <c r="I12" s="323">
        <f t="shared" ref="I12" si="5">C12*H12</f>
        <v>0</v>
      </c>
      <c r="J12" s="323" t="s">
        <v>376</v>
      </c>
      <c r="K12" s="323">
        <v>8</v>
      </c>
      <c r="L12" s="323">
        <f t="shared" si="0"/>
        <v>0</v>
      </c>
      <c r="M12" s="324">
        <f t="shared" si="1"/>
        <v>51.92</v>
      </c>
      <c r="N12" s="320">
        <f t="shared" si="2"/>
        <v>0</v>
      </c>
      <c r="O12" s="1055"/>
    </row>
    <row r="13" spans="1:15" ht="12.6" customHeight="1" x14ac:dyDescent="0.2">
      <c r="A13" s="506" t="s">
        <v>153</v>
      </c>
      <c r="B13" s="196" t="s">
        <v>158</v>
      </c>
      <c r="C13" s="508">
        <f>'Order form'!F42</f>
        <v>0</v>
      </c>
      <c r="D13" s="194" t="str">
        <f>'Order form'!D40</f>
        <v>R40-RT96</v>
      </c>
      <c r="E13" s="194" t="s">
        <v>294</v>
      </c>
      <c r="F13" s="188">
        <f>'Order form'!D42</f>
        <v>24</v>
      </c>
      <c r="G13" s="188">
        <f t="shared" si="3"/>
        <v>0</v>
      </c>
      <c r="H13" s="189">
        <v>5.984</v>
      </c>
      <c r="I13" s="190">
        <f t="shared" si="4"/>
        <v>0</v>
      </c>
      <c r="J13" s="190" t="s">
        <v>376</v>
      </c>
      <c r="K13" s="190">
        <f>'Order form'!G43</f>
        <v>6</v>
      </c>
      <c r="L13" s="190">
        <f t="shared" si="0"/>
        <v>0</v>
      </c>
      <c r="M13" s="195">
        <f t="shared" si="1"/>
        <v>35.903999999999996</v>
      </c>
      <c r="N13" s="320">
        <f t="shared" si="2"/>
        <v>0</v>
      </c>
      <c r="O13" s="1056">
        <f>SUM(G13:G27)</f>
        <v>0</v>
      </c>
    </row>
    <row r="14" spans="1:15" x14ac:dyDescent="0.2">
      <c r="A14" s="506" t="s">
        <v>153</v>
      </c>
      <c r="B14" s="196" t="s">
        <v>158</v>
      </c>
      <c r="C14" s="508">
        <f>'Order form'!K42</f>
        <v>0</v>
      </c>
      <c r="D14" s="194" t="str">
        <f>'Order form'!I40</f>
        <v>R40-MS</v>
      </c>
      <c r="E14" s="194" t="s">
        <v>701</v>
      </c>
      <c r="F14" s="188">
        <f>'Order form'!I42</f>
        <v>1.55</v>
      </c>
      <c r="G14" s="188">
        <f t="shared" si="3"/>
        <v>0</v>
      </c>
      <c r="H14" s="189">
        <v>0.34100000000000003</v>
      </c>
      <c r="I14" s="190">
        <f t="shared" si="4"/>
        <v>0</v>
      </c>
      <c r="J14" s="190" t="s">
        <v>22</v>
      </c>
      <c r="K14" s="190">
        <f>'Order form'!L43</f>
        <v>30</v>
      </c>
      <c r="L14" s="190">
        <f t="shared" si="0"/>
        <v>0</v>
      </c>
      <c r="M14" s="195">
        <f t="shared" si="1"/>
        <v>10.23</v>
      </c>
      <c r="N14" s="320">
        <f t="shared" si="2"/>
        <v>0</v>
      </c>
      <c r="O14" s="1070"/>
    </row>
    <row r="15" spans="1:15" x14ac:dyDescent="0.2">
      <c r="A15" s="506" t="s">
        <v>153</v>
      </c>
      <c r="B15" s="196" t="s">
        <v>158</v>
      </c>
      <c r="C15" s="508">
        <f>'Order form'!P42</f>
        <v>0</v>
      </c>
      <c r="D15" s="194" t="str">
        <f>'Order form'!N40</f>
        <v>R40-TS</v>
      </c>
      <c r="E15" s="194" t="s">
        <v>702</v>
      </c>
      <c r="F15" s="188">
        <f>'Order form'!N42</f>
        <v>1.9</v>
      </c>
      <c r="G15" s="188">
        <f t="shared" si="3"/>
        <v>0</v>
      </c>
      <c r="H15" s="189">
        <v>0.44</v>
      </c>
      <c r="I15" s="190">
        <f t="shared" si="4"/>
        <v>0</v>
      </c>
      <c r="J15" s="190" t="s">
        <v>22</v>
      </c>
      <c r="K15" s="190">
        <f>'Order form'!Q43</f>
        <v>30</v>
      </c>
      <c r="L15" s="190">
        <f t="shared" si="0"/>
        <v>0</v>
      </c>
      <c r="M15" s="195">
        <f t="shared" si="1"/>
        <v>13.2</v>
      </c>
      <c r="N15" s="320">
        <f t="shared" si="2"/>
        <v>0</v>
      </c>
      <c r="O15" s="1070"/>
    </row>
    <row r="16" spans="1:15" x14ac:dyDescent="0.2">
      <c r="A16" s="506" t="s">
        <v>153</v>
      </c>
      <c r="B16" s="196" t="s">
        <v>158</v>
      </c>
      <c r="C16" s="508">
        <f>'Order form'!F52</f>
        <v>0</v>
      </c>
      <c r="D16" s="194" t="str">
        <f>'Order form'!D50</f>
        <v>R40-TU</v>
      </c>
      <c r="E16" s="194" t="s">
        <v>703</v>
      </c>
      <c r="F16" s="188">
        <f>'Order form'!D52</f>
        <v>3</v>
      </c>
      <c r="G16" s="188">
        <f t="shared" si="3"/>
        <v>0</v>
      </c>
      <c r="H16" s="189">
        <v>0.60499999999999998</v>
      </c>
      <c r="I16" s="190">
        <f t="shared" si="4"/>
        <v>0</v>
      </c>
      <c r="J16" s="190" t="s">
        <v>22</v>
      </c>
      <c r="K16" s="190">
        <f>'Order form'!G53</f>
        <v>20</v>
      </c>
      <c r="L16" s="190">
        <f t="shared" si="0"/>
        <v>0</v>
      </c>
      <c r="M16" s="195">
        <f t="shared" si="1"/>
        <v>12.1</v>
      </c>
      <c r="N16" s="320">
        <f t="shared" si="2"/>
        <v>0</v>
      </c>
      <c r="O16" s="1070"/>
    </row>
    <row r="17" spans="1:31" x14ac:dyDescent="0.2">
      <c r="A17" s="506" t="s">
        <v>153</v>
      </c>
      <c r="B17" s="196" t="s">
        <v>158</v>
      </c>
      <c r="C17" s="508">
        <f>'Order form'!U42</f>
        <v>0</v>
      </c>
      <c r="D17" s="194" t="str">
        <f>'Order form'!S40</f>
        <v>R40-DS</v>
      </c>
      <c r="E17" s="194" t="s">
        <v>704</v>
      </c>
      <c r="F17" s="188">
        <f>'Order form'!S42</f>
        <v>1.7</v>
      </c>
      <c r="G17" s="188">
        <f t="shared" si="3"/>
        <v>0</v>
      </c>
      <c r="H17" s="189">
        <v>0.40150000000000002</v>
      </c>
      <c r="I17" s="190">
        <f t="shared" si="4"/>
        <v>0</v>
      </c>
      <c r="J17" s="190" t="s">
        <v>22</v>
      </c>
      <c r="K17" s="190">
        <f>'Order form'!V43</f>
        <v>25</v>
      </c>
      <c r="L17" s="190">
        <f t="shared" si="0"/>
        <v>0</v>
      </c>
      <c r="M17" s="195">
        <f t="shared" si="1"/>
        <v>10.037500000000001</v>
      </c>
      <c r="N17" s="320">
        <f t="shared" si="2"/>
        <v>0</v>
      </c>
      <c r="O17" s="1070"/>
    </row>
    <row r="18" spans="1:31" x14ac:dyDescent="0.2">
      <c r="A18" s="506" t="s">
        <v>153</v>
      </c>
      <c r="B18" s="196" t="s">
        <v>158</v>
      </c>
      <c r="C18" s="508">
        <f>'Order form'!Z42</f>
        <v>0</v>
      </c>
      <c r="D18" s="194" t="str">
        <f>'Order form'!X40</f>
        <v>R40-TC</v>
      </c>
      <c r="E18" s="194" t="s">
        <v>705</v>
      </c>
      <c r="F18" s="188">
        <f>'Order form'!X42</f>
        <v>3</v>
      </c>
      <c r="G18" s="188">
        <f t="shared" si="3"/>
        <v>0</v>
      </c>
      <c r="H18" s="189">
        <v>0.34100000000000003</v>
      </c>
      <c r="I18" s="190">
        <f t="shared" si="4"/>
        <v>0</v>
      </c>
      <c r="J18" s="190" t="s">
        <v>22</v>
      </c>
      <c r="K18" s="190">
        <f>'Order form'!AA43</f>
        <v>40</v>
      </c>
      <c r="L18" s="190">
        <f t="shared" si="0"/>
        <v>0</v>
      </c>
      <c r="M18" s="195">
        <f t="shared" si="1"/>
        <v>13.64</v>
      </c>
      <c r="N18" s="320">
        <f t="shared" si="2"/>
        <v>0</v>
      </c>
      <c r="O18" s="1070"/>
    </row>
    <row r="19" spans="1:31" x14ac:dyDescent="0.2">
      <c r="A19" s="506" t="s">
        <v>153</v>
      </c>
      <c r="B19" s="196" t="s">
        <v>158</v>
      </c>
      <c r="C19" s="508">
        <f>'Order form'!K52</f>
        <v>0</v>
      </c>
      <c r="D19" s="194" t="str">
        <f>'Order form'!I50</f>
        <v>R40-CS</v>
      </c>
      <c r="E19" s="194" t="s">
        <v>706</v>
      </c>
      <c r="F19" s="188">
        <f>'Order form'!I52</f>
        <v>3.5</v>
      </c>
      <c r="G19" s="188">
        <f t="shared" si="3"/>
        <v>0</v>
      </c>
      <c r="H19" s="189">
        <v>1.76</v>
      </c>
      <c r="I19" s="190">
        <f t="shared" si="4"/>
        <v>0</v>
      </c>
      <c r="J19" s="190" t="s">
        <v>22</v>
      </c>
      <c r="K19" s="190">
        <f>'Order form'!L53</f>
        <v>20</v>
      </c>
      <c r="L19" s="190">
        <f t="shared" si="0"/>
        <v>0</v>
      </c>
      <c r="M19" s="195">
        <f t="shared" si="1"/>
        <v>35.200000000000003</v>
      </c>
      <c r="N19" s="320">
        <f t="shared" si="2"/>
        <v>0</v>
      </c>
      <c r="O19" s="1070"/>
    </row>
    <row r="20" spans="1:31" x14ac:dyDescent="0.2">
      <c r="A20" s="506" t="s">
        <v>153</v>
      </c>
      <c r="B20" s="196" t="s">
        <v>158</v>
      </c>
      <c r="C20" s="508">
        <f>'Order form'!P52</f>
        <v>0</v>
      </c>
      <c r="D20" s="194" t="str">
        <f>'Order form'!N50</f>
        <v>R40-SLOW</v>
      </c>
      <c r="E20" s="194" t="s">
        <v>698</v>
      </c>
      <c r="F20" s="188">
        <f>'Order form'!N52</f>
        <v>1.3</v>
      </c>
      <c r="G20" s="188">
        <f t="shared" si="3"/>
        <v>0</v>
      </c>
      <c r="H20" s="189">
        <v>3.1899999999999998E-2</v>
      </c>
      <c r="I20" s="190">
        <f t="shared" si="4"/>
        <v>0</v>
      </c>
      <c r="J20" s="190" t="s">
        <v>22</v>
      </c>
      <c r="K20" s="190">
        <f>'Order form'!Q53</f>
        <v>150</v>
      </c>
      <c r="L20" s="190">
        <f t="shared" si="0"/>
        <v>0</v>
      </c>
      <c r="M20" s="195">
        <f t="shared" si="1"/>
        <v>4.7849999999999993</v>
      </c>
      <c r="N20" s="320">
        <f t="shared" si="2"/>
        <v>0</v>
      </c>
      <c r="O20" s="1070"/>
    </row>
    <row r="21" spans="1:31" x14ac:dyDescent="0.2">
      <c r="A21" s="506" t="s">
        <v>153</v>
      </c>
      <c r="B21" s="196" t="s">
        <v>158</v>
      </c>
      <c r="C21" s="508">
        <f>'Order form'!U52</f>
        <v>0</v>
      </c>
      <c r="D21" s="194" t="str">
        <f>'Order form'!S50</f>
        <v>R40-CGUIDE</v>
      </c>
      <c r="E21" s="194" t="s">
        <v>699</v>
      </c>
      <c r="F21" s="188">
        <f>'Order form'!S52</f>
        <v>22</v>
      </c>
      <c r="G21" s="188">
        <f t="shared" si="3"/>
        <v>0</v>
      </c>
      <c r="H21" s="189">
        <v>5.5</v>
      </c>
      <c r="I21" s="190">
        <f t="shared" si="4"/>
        <v>0</v>
      </c>
      <c r="J21" s="190" t="s">
        <v>376</v>
      </c>
      <c r="K21" s="190">
        <f>'Order form'!V53</f>
        <v>6</v>
      </c>
      <c r="L21" s="190">
        <f t="shared" si="0"/>
        <v>0</v>
      </c>
      <c r="M21" s="195">
        <f t="shared" si="1"/>
        <v>33</v>
      </c>
      <c r="N21" s="320">
        <f t="shared" si="2"/>
        <v>0</v>
      </c>
      <c r="O21" s="1070"/>
    </row>
    <row r="22" spans="1:31" x14ac:dyDescent="0.2">
      <c r="A22" s="506" t="s">
        <v>153</v>
      </c>
      <c r="B22" s="196" t="s">
        <v>158</v>
      </c>
      <c r="C22" s="508">
        <f>'Order form'!Z52</f>
        <v>0</v>
      </c>
      <c r="D22" s="194" t="str">
        <f>'Order form'!X50</f>
        <v>R40-GUIDE</v>
      </c>
      <c r="E22" s="194" t="s">
        <v>700</v>
      </c>
      <c r="F22" s="188">
        <f>'Order form'!X52</f>
        <v>22.5</v>
      </c>
      <c r="G22" s="188">
        <f t="shared" si="3"/>
        <v>0</v>
      </c>
      <c r="H22" s="189">
        <v>6.1379999999999999</v>
      </c>
      <c r="I22" s="190">
        <f t="shared" si="4"/>
        <v>0</v>
      </c>
      <c r="J22" s="190" t="s">
        <v>376</v>
      </c>
      <c r="K22" s="190">
        <f>'Order form'!AA53</f>
        <v>6</v>
      </c>
      <c r="L22" s="190">
        <f t="shared" si="0"/>
        <v>0</v>
      </c>
      <c r="M22" s="195">
        <f t="shared" si="1"/>
        <v>36.828000000000003</v>
      </c>
      <c r="N22" s="320">
        <f t="shared" si="2"/>
        <v>0</v>
      </c>
      <c r="O22" s="1070"/>
    </row>
    <row r="23" spans="1:31" x14ac:dyDescent="0.2">
      <c r="A23" s="506" t="s">
        <v>153</v>
      </c>
      <c r="B23" s="196" t="s">
        <v>158</v>
      </c>
      <c r="C23" s="508">
        <f>'Order form'!F62</f>
        <v>0</v>
      </c>
      <c r="D23" s="194" t="str">
        <f>'Order form'!D60</f>
        <v>R40-SGUIDE</v>
      </c>
      <c r="E23" s="194" t="s">
        <v>934</v>
      </c>
      <c r="F23" s="188">
        <f>'Order form'!D62</f>
        <v>23</v>
      </c>
      <c r="G23" s="188">
        <f t="shared" si="3"/>
        <v>0</v>
      </c>
      <c r="H23" s="189">
        <v>6.1379999999999999</v>
      </c>
      <c r="I23" s="190">
        <f t="shared" si="4"/>
        <v>0</v>
      </c>
      <c r="J23" s="190" t="s">
        <v>376</v>
      </c>
      <c r="K23" s="190">
        <f>'Order form'!G63</f>
        <v>6</v>
      </c>
      <c r="L23" s="190">
        <f t="shared" si="0"/>
        <v>0</v>
      </c>
      <c r="M23" s="195">
        <f t="shared" si="1"/>
        <v>36.828000000000003</v>
      </c>
      <c r="N23" s="320">
        <f t="shared" si="2"/>
        <v>0</v>
      </c>
      <c r="O23" s="1070"/>
    </row>
    <row r="24" spans="1:31" x14ac:dyDescent="0.2">
      <c r="A24" s="506" t="s">
        <v>153</v>
      </c>
      <c r="B24" s="196" t="s">
        <v>158</v>
      </c>
      <c r="C24" s="508">
        <f>'Order form'!F75</f>
        <v>0</v>
      </c>
      <c r="D24" s="194" t="str">
        <f>'Order form'!D73</f>
        <v>R85-RT96</v>
      </c>
      <c r="E24" s="194" t="str">
        <f>'Order form'!D74</f>
        <v>8' Steel roller track (ESD)</v>
      </c>
      <c r="F24" s="188">
        <f>'Order form'!D75</f>
        <v>45</v>
      </c>
      <c r="G24" s="188">
        <f t="shared" si="3"/>
        <v>0</v>
      </c>
      <c r="H24" s="555">
        <v>10.78</v>
      </c>
      <c r="I24" s="190">
        <f t="shared" si="4"/>
        <v>0</v>
      </c>
      <c r="J24" s="190" t="s">
        <v>376</v>
      </c>
      <c r="K24" s="190">
        <f>'Order form'!G76</f>
        <v>4</v>
      </c>
      <c r="L24" s="190">
        <f t="shared" si="0"/>
        <v>0</v>
      </c>
      <c r="M24" s="195">
        <f t="shared" si="1"/>
        <v>43.12</v>
      </c>
      <c r="N24" s="320">
        <f t="shared" si="2"/>
        <v>0</v>
      </c>
      <c r="O24" s="1070"/>
    </row>
    <row r="25" spans="1:31" x14ac:dyDescent="0.2">
      <c r="A25" s="506" t="s">
        <v>153</v>
      </c>
      <c r="B25" s="196" t="s">
        <v>158</v>
      </c>
      <c r="C25" s="508">
        <f>'Order form'!K75</f>
        <v>0</v>
      </c>
      <c r="D25" s="194" t="str">
        <f>'Order form'!I73</f>
        <v>R85-MS</v>
      </c>
      <c r="E25" s="194" t="str">
        <f>'Order form'!I74</f>
        <v>Track mount start</v>
      </c>
      <c r="F25" s="188">
        <f>'Order form'!I75</f>
        <v>4</v>
      </c>
      <c r="G25" s="188">
        <f t="shared" si="3"/>
        <v>0</v>
      </c>
      <c r="H25" s="555">
        <v>0.46200000000000002</v>
      </c>
      <c r="I25" s="190">
        <f t="shared" si="4"/>
        <v>0</v>
      </c>
      <c r="J25" s="190" t="s">
        <v>22</v>
      </c>
      <c r="K25" s="190">
        <f>'Order form'!L76</f>
        <v>15</v>
      </c>
      <c r="L25" s="190">
        <f t="shared" si="0"/>
        <v>0</v>
      </c>
      <c r="M25" s="195">
        <f t="shared" si="1"/>
        <v>6.9300000000000006</v>
      </c>
      <c r="N25" s="320">
        <f t="shared" si="2"/>
        <v>0</v>
      </c>
      <c r="O25" s="1070"/>
    </row>
    <row r="26" spans="1:31" x14ac:dyDescent="0.2">
      <c r="A26" s="506" t="s">
        <v>153</v>
      </c>
      <c r="B26" s="196" t="s">
        <v>158</v>
      </c>
      <c r="C26" s="508">
        <f>'Order form'!P75</f>
        <v>0</v>
      </c>
      <c r="D26" s="194" t="str">
        <f>'Order form'!N73</f>
        <v>R85-TS</v>
      </c>
      <c r="E26" s="194" t="str">
        <f>'Order form'!N74</f>
        <v>Track mount tab stop</v>
      </c>
      <c r="F26" s="188">
        <f>'Order form'!N75</f>
        <v>4.2</v>
      </c>
      <c r="G26" s="188">
        <f t="shared" si="3"/>
        <v>0</v>
      </c>
      <c r="H26" s="555">
        <v>0.44</v>
      </c>
      <c r="I26" s="190">
        <f t="shared" si="4"/>
        <v>0</v>
      </c>
      <c r="J26" s="190" t="s">
        <v>22</v>
      </c>
      <c r="K26" s="190">
        <f>'Order form'!Q76</f>
        <v>15</v>
      </c>
      <c r="L26" s="190">
        <f t="shared" si="0"/>
        <v>0</v>
      </c>
      <c r="M26" s="195">
        <f t="shared" si="1"/>
        <v>6.6</v>
      </c>
      <c r="N26" s="320">
        <f t="shared" si="2"/>
        <v>0</v>
      </c>
      <c r="O26" s="1070"/>
    </row>
    <row r="27" spans="1:31" x14ac:dyDescent="0.2">
      <c r="A27" s="506" t="s">
        <v>153</v>
      </c>
      <c r="B27" s="196" t="s">
        <v>158</v>
      </c>
      <c r="C27" s="508">
        <f>'Order form'!U75</f>
        <v>0</v>
      </c>
      <c r="D27" s="194" t="str">
        <f>'Order form'!S73</f>
        <v>R85-DS</v>
      </c>
      <c r="E27" s="194" t="str">
        <f>'Order form'!S74</f>
        <v>Track mount drop stop</v>
      </c>
      <c r="F27" s="188">
        <f>'Order form'!S75</f>
        <v>3.5</v>
      </c>
      <c r="G27" s="188">
        <f t="shared" si="3"/>
        <v>0</v>
      </c>
      <c r="H27" s="555">
        <v>0.55000000000000004</v>
      </c>
      <c r="I27" s="190">
        <f t="shared" si="4"/>
        <v>0</v>
      </c>
      <c r="J27" s="190" t="s">
        <v>22</v>
      </c>
      <c r="K27" s="190">
        <f>'Order form'!V76</f>
        <v>28</v>
      </c>
      <c r="L27" s="190">
        <f t="shared" si="0"/>
        <v>0</v>
      </c>
      <c r="M27" s="195">
        <f t="shared" si="1"/>
        <v>15.400000000000002</v>
      </c>
      <c r="N27" s="320">
        <f t="shared" si="2"/>
        <v>0</v>
      </c>
      <c r="O27" s="1071"/>
    </row>
    <row r="28" spans="1:31" s="325" customFormat="1" ht="12.6" customHeight="1" x14ac:dyDescent="0.2">
      <c r="A28" s="318" t="s">
        <v>153</v>
      </c>
      <c r="B28" s="319" t="s">
        <v>156</v>
      </c>
      <c r="C28" s="320">
        <f>'Order form'!F141*2+'Order form'!F87</f>
        <v>0</v>
      </c>
      <c r="D28" s="320" t="str">
        <f>'Order form'!D86</f>
        <v>H-1</v>
      </c>
      <c r="E28" s="320" t="s">
        <v>707</v>
      </c>
      <c r="F28" s="321">
        <f>'Order form'!D87</f>
        <v>0.55000000000000004</v>
      </c>
      <c r="G28" s="321">
        <f t="shared" si="3"/>
        <v>0</v>
      </c>
      <c r="H28" s="322">
        <v>0.1474</v>
      </c>
      <c r="I28" s="323">
        <f t="shared" si="4"/>
        <v>0</v>
      </c>
      <c r="J28" s="323" t="s">
        <v>22</v>
      </c>
      <c r="K28" s="323">
        <f>'Order form'!G88</f>
        <v>225</v>
      </c>
      <c r="L28" s="323">
        <f t="shared" si="0"/>
        <v>0</v>
      </c>
      <c r="M28" s="324">
        <f t="shared" si="1"/>
        <v>33.164999999999999</v>
      </c>
      <c r="N28" s="320">
        <f>IF(C28=0,N22,N22+1)</f>
        <v>0</v>
      </c>
      <c r="O28" s="1066">
        <f>SUM(G28:G50)</f>
        <v>0</v>
      </c>
      <c r="Q28" s="326"/>
      <c r="R28" s="327"/>
      <c r="S28" s="327"/>
      <c r="T28" s="327"/>
      <c r="U28" s="328"/>
      <c r="V28" s="327"/>
      <c r="W28" s="327"/>
      <c r="X28" s="329"/>
      <c r="Y28" s="329"/>
      <c r="Z28" s="327"/>
      <c r="AA28" s="327"/>
      <c r="AB28" s="327"/>
      <c r="AC28" s="327"/>
      <c r="AD28" s="327"/>
      <c r="AE28" s="327"/>
    </row>
    <row r="29" spans="1:31" s="325" customFormat="1" ht="12.4" customHeight="1" x14ac:dyDescent="0.2">
      <c r="A29" s="318" t="s">
        <v>153</v>
      </c>
      <c r="B29" s="319" t="s">
        <v>156</v>
      </c>
      <c r="C29" s="320">
        <f>'Order form'!K87+('Order form'!K141*1)+('Order form'!P141*2)+('Order form'!Z141*4)</f>
        <v>0</v>
      </c>
      <c r="D29" s="320" t="str">
        <f>'Order form'!I86</f>
        <v>H-2</v>
      </c>
      <c r="E29" s="320" t="s">
        <v>708</v>
      </c>
      <c r="F29" s="321">
        <f>'Order form'!I87</f>
        <v>0.9</v>
      </c>
      <c r="G29" s="321">
        <f t="shared" si="3"/>
        <v>0</v>
      </c>
      <c r="H29" s="322">
        <v>0.20680000000000001</v>
      </c>
      <c r="I29" s="323">
        <f t="shared" si="4"/>
        <v>0</v>
      </c>
      <c r="J29" s="323" t="s">
        <v>22</v>
      </c>
      <c r="K29" s="323">
        <f>'Order form'!L88</f>
        <v>150</v>
      </c>
      <c r="L29" s="323">
        <f t="shared" si="0"/>
        <v>0</v>
      </c>
      <c r="M29" s="324">
        <f t="shared" si="1"/>
        <v>31.020000000000003</v>
      </c>
      <c r="N29" s="320">
        <f t="shared" si="2"/>
        <v>0</v>
      </c>
      <c r="O29" s="1069"/>
    </row>
    <row r="30" spans="1:31" s="325" customFormat="1" ht="12.4" customHeight="1" x14ac:dyDescent="0.2">
      <c r="A30" s="318" t="s">
        <v>153</v>
      </c>
      <c r="B30" s="319" t="s">
        <v>156</v>
      </c>
      <c r="C30" s="320">
        <f>'Order form'!P87+('Order form'!K141*1)</f>
        <v>0</v>
      </c>
      <c r="D30" s="320" t="str">
        <f>'Order form'!N86</f>
        <v>H-3</v>
      </c>
      <c r="E30" s="320" t="s">
        <v>709</v>
      </c>
      <c r="F30" s="321">
        <f>'Order form'!N87</f>
        <v>0.95</v>
      </c>
      <c r="G30" s="321">
        <f t="shared" si="3"/>
        <v>0</v>
      </c>
      <c r="H30" s="322">
        <v>0.26400000000000001</v>
      </c>
      <c r="I30" s="323">
        <f t="shared" si="4"/>
        <v>0</v>
      </c>
      <c r="J30" s="323" t="s">
        <v>22</v>
      </c>
      <c r="K30" s="323">
        <f>'Order form'!Q88</f>
        <v>60</v>
      </c>
      <c r="L30" s="323">
        <f t="shared" si="0"/>
        <v>0</v>
      </c>
      <c r="M30" s="324">
        <f t="shared" si="1"/>
        <v>15.84</v>
      </c>
      <c r="N30" s="320">
        <f t="shared" si="2"/>
        <v>0</v>
      </c>
      <c r="O30" s="1069"/>
    </row>
    <row r="31" spans="1:31" s="325" customFormat="1" ht="12.4" customHeight="1" x14ac:dyDescent="0.2">
      <c r="A31" s="318" t="s">
        <v>153</v>
      </c>
      <c r="B31" s="319" t="s">
        <v>156</v>
      </c>
      <c r="C31" s="320">
        <f>'Order form'!U87+('Order form'!P141*1)+('Order form'!U141*2)</f>
        <v>0</v>
      </c>
      <c r="D31" s="320" t="str">
        <f>'Order form'!S86</f>
        <v>H-4</v>
      </c>
      <c r="E31" s="320" t="s">
        <v>710</v>
      </c>
      <c r="F31" s="321">
        <f>'Order form'!S87</f>
        <v>0.85</v>
      </c>
      <c r="G31" s="321">
        <f t="shared" si="3"/>
        <v>0</v>
      </c>
      <c r="H31" s="322">
        <v>0.23320000000000002</v>
      </c>
      <c r="I31" s="323">
        <f t="shared" si="4"/>
        <v>0</v>
      </c>
      <c r="J31" s="323" t="s">
        <v>22</v>
      </c>
      <c r="K31" s="323">
        <f>'Order form'!V88</f>
        <v>150</v>
      </c>
      <c r="L31" s="323">
        <f t="shared" si="0"/>
        <v>0</v>
      </c>
      <c r="M31" s="324">
        <f t="shared" si="1"/>
        <v>34.980000000000004</v>
      </c>
      <c r="N31" s="320">
        <f t="shared" si="2"/>
        <v>0</v>
      </c>
      <c r="O31" s="1069"/>
    </row>
    <row r="32" spans="1:31" s="325" customFormat="1" ht="12.4" customHeight="1" x14ac:dyDescent="0.2">
      <c r="A32" s="318" t="s">
        <v>153</v>
      </c>
      <c r="B32" s="319" t="s">
        <v>156</v>
      </c>
      <c r="C32" s="320">
        <f>'Order form'!Z87+('Order form'!F152*2)</f>
        <v>0</v>
      </c>
      <c r="D32" s="320" t="str">
        <f>'Order form'!X86</f>
        <v>H-5</v>
      </c>
      <c r="E32" s="320" t="s">
        <v>711</v>
      </c>
      <c r="F32" s="321">
        <f>'Order form'!X87</f>
        <v>0.55000000000000004</v>
      </c>
      <c r="G32" s="321">
        <f t="shared" si="3"/>
        <v>0</v>
      </c>
      <c r="H32" s="322">
        <v>9.9000000000000005E-2</v>
      </c>
      <c r="I32" s="323">
        <f t="shared" si="4"/>
        <v>0</v>
      </c>
      <c r="J32" s="323" t="s">
        <v>22</v>
      </c>
      <c r="K32" s="323">
        <f>'Order form'!AA88</f>
        <v>225</v>
      </c>
      <c r="L32" s="323">
        <f t="shared" si="0"/>
        <v>0</v>
      </c>
      <c r="M32" s="324">
        <f t="shared" si="1"/>
        <v>22.275000000000002</v>
      </c>
      <c r="N32" s="320">
        <f t="shared" si="2"/>
        <v>0</v>
      </c>
      <c r="O32" s="1069"/>
    </row>
    <row r="33" spans="1:15" s="325" customFormat="1" ht="12.4" customHeight="1" x14ac:dyDescent="0.2">
      <c r="A33" s="318" t="s">
        <v>153</v>
      </c>
      <c r="B33" s="319" t="s">
        <v>156</v>
      </c>
      <c r="C33" s="320">
        <f>'Order form'!F97+('Order form'!F152*2)+('Order form'!K152*2)+('Order form'!U163*4)</f>
        <v>0</v>
      </c>
      <c r="D33" s="320" t="str">
        <f>'Order form'!D96</f>
        <v>H-6</v>
      </c>
      <c r="E33" s="320" t="s">
        <v>712</v>
      </c>
      <c r="F33" s="321">
        <f>'Order form'!D97</f>
        <v>0.55000000000000004</v>
      </c>
      <c r="G33" s="321">
        <f t="shared" si="3"/>
        <v>0</v>
      </c>
      <c r="H33" s="322">
        <v>0.1298</v>
      </c>
      <c r="I33" s="323">
        <f t="shared" si="4"/>
        <v>0</v>
      </c>
      <c r="J33" s="323" t="s">
        <v>22</v>
      </c>
      <c r="K33" s="323">
        <f>'Order form'!G98</f>
        <v>225</v>
      </c>
      <c r="L33" s="323">
        <f t="shared" si="0"/>
        <v>0</v>
      </c>
      <c r="M33" s="324">
        <f t="shared" si="1"/>
        <v>29.204999999999998</v>
      </c>
      <c r="N33" s="320">
        <f t="shared" si="2"/>
        <v>0</v>
      </c>
      <c r="O33" s="1069"/>
    </row>
    <row r="34" spans="1:15" s="325" customFormat="1" ht="12.4" customHeight="1" x14ac:dyDescent="0.2">
      <c r="A34" s="318" t="s">
        <v>153</v>
      </c>
      <c r="B34" s="319" t="s">
        <v>156</v>
      </c>
      <c r="C34" s="320">
        <f>'Order form'!K97+('Order form'!K152*2)</f>
        <v>0</v>
      </c>
      <c r="D34" s="320" t="str">
        <f>'Order form'!I96</f>
        <v>H-6A</v>
      </c>
      <c r="E34" s="320" t="s">
        <v>713</v>
      </c>
      <c r="F34" s="321">
        <f>'Order form'!I97</f>
        <v>1.25</v>
      </c>
      <c r="G34" s="321">
        <f t="shared" si="3"/>
        <v>0</v>
      </c>
      <c r="H34" s="322">
        <v>0.14520000000000002</v>
      </c>
      <c r="I34" s="323">
        <f t="shared" si="4"/>
        <v>0</v>
      </c>
      <c r="J34" s="323" t="s">
        <v>22</v>
      </c>
      <c r="K34" s="323">
        <f>'Order form'!L98</f>
        <v>180</v>
      </c>
      <c r="L34" s="323">
        <f t="shared" si="0"/>
        <v>0</v>
      </c>
      <c r="M34" s="324">
        <f t="shared" si="1"/>
        <v>26.136000000000003</v>
      </c>
      <c r="N34" s="320">
        <f t="shared" si="2"/>
        <v>0</v>
      </c>
      <c r="O34" s="1069"/>
    </row>
    <row r="35" spans="1:15" s="325" customFormat="1" ht="12.4" customHeight="1" x14ac:dyDescent="0.2">
      <c r="A35" s="318" t="s">
        <v>153</v>
      </c>
      <c r="B35" s="319" t="s">
        <v>156</v>
      </c>
      <c r="C35" s="320">
        <f>'Order form'!P97+('Order form'!P152*2)</f>
        <v>0</v>
      </c>
      <c r="D35" s="320" t="str">
        <f>'Order form'!N96</f>
        <v>H-7</v>
      </c>
      <c r="E35" s="320" t="s">
        <v>714</v>
      </c>
      <c r="F35" s="321">
        <f>'Order form'!N97</f>
        <v>0.55000000000000004</v>
      </c>
      <c r="G35" s="321">
        <f t="shared" si="3"/>
        <v>0</v>
      </c>
      <c r="H35" s="322">
        <v>0.10560000000000001</v>
      </c>
      <c r="I35" s="323">
        <f t="shared" si="4"/>
        <v>0</v>
      </c>
      <c r="J35" s="323" t="s">
        <v>22</v>
      </c>
      <c r="K35" s="323">
        <f>'Order form'!Q98</f>
        <v>150</v>
      </c>
      <c r="L35" s="323">
        <f t="shared" si="0"/>
        <v>0</v>
      </c>
      <c r="M35" s="324">
        <f t="shared" si="1"/>
        <v>15.840000000000002</v>
      </c>
      <c r="N35" s="320">
        <f t="shared" si="2"/>
        <v>0</v>
      </c>
      <c r="O35" s="1069"/>
    </row>
    <row r="36" spans="1:15" s="325" customFormat="1" ht="12.4" customHeight="1" x14ac:dyDescent="0.2">
      <c r="A36" s="318" t="s">
        <v>153</v>
      </c>
      <c r="B36" s="319" t="s">
        <v>156</v>
      </c>
      <c r="C36" s="320">
        <f>'Order form'!U97+('Order form'!U152*2)</f>
        <v>0</v>
      </c>
      <c r="D36" s="320" t="str">
        <f>'Order form'!S96</f>
        <v>H-7A</v>
      </c>
      <c r="E36" s="320" t="s">
        <v>715</v>
      </c>
      <c r="F36" s="321">
        <f>'Order form'!S97</f>
        <v>0.7</v>
      </c>
      <c r="G36" s="321">
        <f t="shared" si="3"/>
        <v>0</v>
      </c>
      <c r="H36" s="322">
        <v>8.8000000000000009E-2</v>
      </c>
      <c r="I36" s="323">
        <f t="shared" si="4"/>
        <v>0</v>
      </c>
      <c r="J36" s="323" t="s">
        <v>22</v>
      </c>
      <c r="K36" s="323">
        <f>'Order form'!V98</f>
        <v>225</v>
      </c>
      <c r="L36" s="323">
        <f t="shared" si="0"/>
        <v>0</v>
      </c>
      <c r="M36" s="324">
        <f t="shared" si="1"/>
        <v>19.8</v>
      </c>
      <c r="N36" s="320">
        <f t="shared" si="2"/>
        <v>0</v>
      </c>
      <c r="O36" s="1069"/>
    </row>
    <row r="37" spans="1:15" s="325" customFormat="1" ht="12.4" customHeight="1" x14ac:dyDescent="0.2">
      <c r="A37" s="318" t="s">
        <v>153</v>
      </c>
      <c r="B37" s="319" t="s">
        <v>156</v>
      </c>
      <c r="C37" s="320">
        <f>'Order form'!Z97+('Order form'!Z152*1)</f>
        <v>0</v>
      </c>
      <c r="D37" s="320" t="str">
        <f>'Order form'!X96</f>
        <v>H-8</v>
      </c>
      <c r="E37" s="320" t="s">
        <v>716</v>
      </c>
      <c r="F37" s="321">
        <f>'Order form'!X97</f>
        <v>0.95</v>
      </c>
      <c r="G37" s="321">
        <f t="shared" si="3"/>
        <v>0</v>
      </c>
      <c r="H37" s="322">
        <v>0.14740000000000003</v>
      </c>
      <c r="I37" s="323">
        <f t="shared" si="4"/>
        <v>0</v>
      </c>
      <c r="J37" s="323" t="s">
        <v>22</v>
      </c>
      <c r="K37" s="323">
        <f>'Order form'!AA98</f>
        <v>180</v>
      </c>
      <c r="L37" s="323">
        <f t="shared" si="0"/>
        <v>0</v>
      </c>
      <c r="M37" s="324">
        <f t="shared" si="1"/>
        <v>26.532000000000007</v>
      </c>
      <c r="N37" s="320">
        <f t="shared" si="2"/>
        <v>0</v>
      </c>
      <c r="O37" s="1069"/>
    </row>
    <row r="38" spans="1:15" s="325" customFormat="1" ht="12.4" customHeight="1" x14ac:dyDescent="0.2">
      <c r="A38" s="318" t="s">
        <v>153</v>
      </c>
      <c r="B38" s="319" t="s">
        <v>156</v>
      </c>
      <c r="C38" s="320">
        <f>'Order form'!F107+('Order form'!Z152*1)+('Order form'!F163*2)</f>
        <v>0</v>
      </c>
      <c r="D38" s="320" t="str">
        <f>'Order form'!D106</f>
        <v>H-9</v>
      </c>
      <c r="E38" s="320" t="s">
        <v>717</v>
      </c>
      <c r="F38" s="321">
        <f>'Order form'!D107</f>
        <v>0.95</v>
      </c>
      <c r="G38" s="321">
        <f t="shared" si="3"/>
        <v>0</v>
      </c>
      <c r="H38" s="322">
        <v>0.13640000000000002</v>
      </c>
      <c r="I38" s="323">
        <f t="shared" si="4"/>
        <v>0</v>
      </c>
      <c r="J38" s="323" t="s">
        <v>22</v>
      </c>
      <c r="K38" s="323">
        <f>'Order form'!G108</f>
        <v>245</v>
      </c>
      <c r="L38" s="323">
        <f t="shared" si="0"/>
        <v>0</v>
      </c>
      <c r="M38" s="324">
        <f t="shared" si="1"/>
        <v>33.418000000000006</v>
      </c>
      <c r="N38" s="320">
        <f t="shared" si="2"/>
        <v>0</v>
      </c>
      <c r="O38" s="1069"/>
    </row>
    <row r="39" spans="1:15" s="325" customFormat="1" ht="12.4" customHeight="1" x14ac:dyDescent="0.2">
      <c r="A39" s="318" t="s">
        <v>153</v>
      </c>
      <c r="B39" s="319" t="s">
        <v>156</v>
      </c>
      <c r="C39" s="320">
        <f>'Order form'!K107+('Order form'!K163*2)</f>
        <v>0</v>
      </c>
      <c r="D39" s="320" t="str">
        <f>'Order form'!I106</f>
        <v>H-12</v>
      </c>
      <c r="E39" s="320" t="s">
        <v>718</v>
      </c>
      <c r="F39" s="321">
        <f>'Order form'!I107</f>
        <v>0.85</v>
      </c>
      <c r="G39" s="321">
        <f t="shared" si="3"/>
        <v>0</v>
      </c>
      <c r="H39" s="322">
        <v>0.1386</v>
      </c>
      <c r="I39" s="323">
        <f t="shared" si="4"/>
        <v>0</v>
      </c>
      <c r="J39" s="323" t="s">
        <v>22</v>
      </c>
      <c r="K39" s="323">
        <f>'Order form'!L108</f>
        <v>180</v>
      </c>
      <c r="L39" s="323">
        <f t="shared" si="0"/>
        <v>0</v>
      </c>
      <c r="M39" s="324">
        <f t="shared" si="1"/>
        <v>24.948</v>
      </c>
      <c r="N39" s="320">
        <f t="shared" si="2"/>
        <v>0</v>
      </c>
      <c r="O39" s="1069"/>
    </row>
    <row r="40" spans="1:15" s="325" customFormat="1" ht="12.4" customHeight="1" x14ac:dyDescent="0.2">
      <c r="A40" s="318" t="s">
        <v>153</v>
      </c>
      <c r="B40" s="319" t="s">
        <v>156</v>
      </c>
      <c r="C40" s="320">
        <f>'Order form'!P107+('Order form'!P163*2)</f>
        <v>0</v>
      </c>
      <c r="D40" s="320" t="str">
        <f>'Order form'!N106</f>
        <v>H-13</v>
      </c>
      <c r="E40" s="320" t="s">
        <v>719</v>
      </c>
      <c r="F40" s="321">
        <f>'Order form'!N107</f>
        <v>0.59</v>
      </c>
      <c r="G40" s="321">
        <f t="shared" si="3"/>
        <v>0</v>
      </c>
      <c r="H40" s="322">
        <v>0.11660000000000001</v>
      </c>
      <c r="I40" s="323">
        <f t="shared" si="4"/>
        <v>0</v>
      </c>
      <c r="J40" s="323" t="s">
        <v>22</v>
      </c>
      <c r="K40" s="323">
        <f>'Order form'!Q108</f>
        <v>225</v>
      </c>
      <c r="L40" s="323">
        <f t="shared" si="0"/>
        <v>0</v>
      </c>
      <c r="M40" s="324">
        <f t="shared" si="1"/>
        <v>26.235000000000003</v>
      </c>
      <c r="N40" s="320">
        <f t="shared" si="2"/>
        <v>0</v>
      </c>
      <c r="O40" s="1069"/>
    </row>
    <row r="41" spans="1:15" s="325" customFormat="1" ht="12.4" customHeight="1" x14ac:dyDescent="0.2">
      <c r="A41" s="318" t="s">
        <v>153</v>
      </c>
      <c r="B41" s="319" t="s">
        <v>156</v>
      </c>
      <c r="C41" s="320">
        <f>'Order form'!U107+('Order form'!U163*2)</f>
        <v>0</v>
      </c>
      <c r="D41" s="320" t="str">
        <f>'Order form'!S106</f>
        <v>H-14</v>
      </c>
      <c r="E41" s="320" t="s">
        <v>720</v>
      </c>
      <c r="F41" s="321">
        <f>'Order form'!S107</f>
        <v>0.8</v>
      </c>
      <c r="G41" s="321">
        <f t="shared" si="3"/>
        <v>0</v>
      </c>
      <c r="H41" s="322">
        <v>0.12320000000000002</v>
      </c>
      <c r="I41" s="323">
        <f t="shared" si="4"/>
        <v>0</v>
      </c>
      <c r="J41" s="323" t="s">
        <v>22</v>
      </c>
      <c r="K41" s="323">
        <f>'Order form'!V108</f>
        <v>240</v>
      </c>
      <c r="L41" s="323">
        <f t="shared" si="0"/>
        <v>0</v>
      </c>
      <c r="M41" s="324">
        <f t="shared" si="1"/>
        <v>29.568000000000005</v>
      </c>
      <c r="N41" s="320">
        <f t="shared" si="2"/>
        <v>0</v>
      </c>
      <c r="O41" s="1069"/>
    </row>
    <row r="42" spans="1:15" s="325" customFormat="1" ht="12.4" customHeight="1" x14ac:dyDescent="0.2">
      <c r="A42" s="318" t="s">
        <v>153</v>
      </c>
      <c r="B42" s="319" t="s">
        <v>156</v>
      </c>
      <c r="C42" s="320">
        <f>'Order form'!Z107+('Order form'!Z163*1)</f>
        <v>0</v>
      </c>
      <c r="D42" s="320" t="str">
        <f>'Order form'!X106</f>
        <v>H-15</v>
      </c>
      <c r="E42" s="320" t="s">
        <v>721</v>
      </c>
      <c r="F42" s="321">
        <f>'Order form'!X107</f>
        <v>0.8</v>
      </c>
      <c r="G42" s="321">
        <f t="shared" si="3"/>
        <v>0</v>
      </c>
      <c r="H42" s="322">
        <v>8.3600000000000008E-2</v>
      </c>
      <c r="I42" s="323">
        <f t="shared" si="4"/>
        <v>0</v>
      </c>
      <c r="J42" s="323" t="s">
        <v>22</v>
      </c>
      <c r="K42" s="323">
        <f>'Order form'!AA108</f>
        <v>300</v>
      </c>
      <c r="L42" s="323">
        <f t="shared" si="0"/>
        <v>0</v>
      </c>
      <c r="M42" s="324">
        <f t="shared" si="1"/>
        <v>25.080000000000002</v>
      </c>
      <c r="N42" s="320">
        <f t="shared" si="2"/>
        <v>0</v>
      </c>
      <c r="O42" s="1069"/>
    </row>
    <row r="43" spans="1:15" s="325" customFormat="1" ht="12.4" customHeight="1" x14ac:dyDescent="0.2">
      <c r="A43" s="318" t="s">
        <v>153</v>
      </c>
      <c r="B43" s="319" t="s">
        <v>156</v>
      </c>
      <c r="C43" s="320">
        <f>'Order form'!F117+('Order form'!Z163*1)</f>
        <v>0</v>
      </c>
      <c r="D43" s="320" t="str">
        <f>'Order form'!D116</f>
        <v>H-16</v>
      </c>
      <c r="E43" s="320" t="s">
        <v>722</v>
      </c>
      <c r="F43" s="321">
        <f>'Order form'!D117</f>
        <v>0.8</v>
      </c>
      <c r="G43" s="321">
        <f t="shared" si="3"/>
        <v>0</v>
      </c>
      <c r="H43" s="322">
        <v>0.10120000000000001</v>
      </c>
      <c r="I43" s="323">
        <f t="shared" si="4"/>
        <v>0</v>
      </c>
      <c r="J43" s="323" t="s">
        <v>22</v>
      </c>
      <c r="K43" s="323">
        <f>'Order form'!G118</f>
        <v>300</v>
      </c>
      <c r="L43" s="323">
        <f t="shared" si="0"/>
        <v>0</v>
      </c>
      <c r="M43" s="324">
        <f t="shared" si="1"/>
        <v>30.360000000000003</v>
      </c>
      <c r="N43" s="320">
        <f t="shared" si="2"/>
        <v>0</v>
      </c>
      <c r="O43" s="1069"/>
    </row>
    <row r="44" spans="1:15" s="325" customFormat="1" ht="12" customHeight="1" x14ac:dyDescent="0.2">
      <c r="A44" s="318" t="s">
        <v>153</v>
      </c>
      <c r="B44" s="319" t="s">
        <v>156</v>
      </c>
      <c r="C44" s="320">
        <f>'Order form'!K117+('Order form'!F174*1)</f>
        <v>0</v>
      </c>
      <c r="D44" s="320" t="str">
        <f>'Order form'!I116</f>
        <v>H-17</v>
      </c>
      <c r="E44" s="320" t="s">
        <v>723</v>
      </c>
      <c r="F44" s="321">
        <f>'Order form'!I117</f>
        <v>0.8</v>
      </c>
      <c r="G44" s="321">
        <f t="shared" si="3"/>
        <v>0</v>
      </c>
      <c r="H44" s="322">
        <v>0.15180000000000002</v>
      </c>
      <c r="I44" s="323">
        <f t="shared" si="4"/>
        <v>0</v>
      </c>
      <c r="J44" s="323" t="s">
        <v>22</v>
      </c>
      <c r="K44" s="323">
        <f>'Order form'!L118</f>
        <v>145</v>
      </c>
      <c r="L44" s="323">
        <f t="shared" si="0"/>
        <v>0</v>
      </c>
      <c r="M44" s="324">
        <f t="shared" si="1"/>
        <v>22.011000000000003</v>
      </c>
      <c r="N44" s="320">
        <f t="shared" si="2"/>
        <v>0</v>
      </c>
      <c r="O44" s="1069"/>
    </row>
    <row r="45" spans="1:15" s="325" customFormat="1" ht="12" customHeight="1" x14ac:dyDescent="0.2">
      <c r="A45" s="318" t="s">
        <v>153</v>
      </c>
      <c r="B45" s="319" t="s">
        <v>156</v>
      </c>
      <c r="C45" s="320">
        <f>'Order form'!P117+('Order form'!F174*1)</f>
        <v>0</v>
      </c>
      <c r="D45" s="320" t="str">
        <f>'Order form'!N116</f>
        <v>H-18</v>
      </c>
      <c r="E45" s="320" t="s">
        <v>724</v>
      </c>
      <c r="F45" s="321">
        <f>'Order form'!N117</f>
        <v>0.8</v>
      </c>
      <c r="G45" s="321">
        <f t="shared" si="3"/>
        <v>0</v>
      </c>
      <c r="H45" s="322">
        <v>0.15180000000000002</v>
      </c>
      <c r="I45" s="323">
        <f t="shared" si="4"/>
        <v>0</v>
      </c>
      <c r="J45" s="323" t="s">
        <v>22</v>
      </c>
      <c r="K45" s="323">
        <f>'Order form'!Q118</f>
        <v>145</v>
      </c>
      <c r="L45" s="323">
        <f t="shared" si="0"/>
        <v>0</v>
      </c>
      <c r="M45" s="324">
        <f t="shared" si="1"/>
        <v>22.011000000000003</v>
      </c>
      <c r="N45" s="320">
        <f t="shared" si="2"/>
        <v>0</v>
      </c>
      <c r="O45" s="1069"/>
    </row>
    <row r="46" spans="1:15" s="325" customFormat="1" ht="12" customHeight="1" x14ac:dyDescent="0.2">
      <c r="A46" s="318" t="s">
        <v>153</v>
      </c>
      <c r="B46" s="319" t="s">
        <v>156</v>
      </c>
      <c r="C46" s="320">
        <f>'Order form'!U117+('Order form'!K174*2)</f>
        <v>0</v>
      </c>
      <c r="D46" s="320" t="str">
        <f>'Order form'!S116</f>
        <v>H-23</v>
      </c>
      <c r="E46" s="320" t="s">
        <v>725</v>
      </c>
      <c r="F46" s="321">
        <f>'Order form'!S117</f>
        <v>0.95</v>
      </c>
      <c r="G46" s="321">
        <f t="shared" si="3"/>
        <v>0</v>
      </c>
      <c r="H46" s="322">
        <v>0.13640000000000002</v>
      </c>
      <c r="I46" s="323">
        <f t="shared" si="4"/>
        <v>0</v>
      </c>
      <c r="J46" s="323" t="s">
        <v>22</v>
      </c>
      <c r="K46" s="323">
        <f>'Order form'!V118</f>
        <v>120</v>
      </c>
      <c r="L46" s="323">
        <f t="shared" si="0"/>
        <v>0</v>
      </c>
      <c r="M46" s="324">
        <f t="shared" si="1"/>
        <v>16.368000000000002</v>
      </c>
      <c r="N46" s="320">
        <f t="shared" si="2"/>
        <v>0</v>
      </c>
      <c r="O46" s="1069"/>
    </row>
    <row r="47" spans="1:15" s="325" customFormat="1" ht="12" customHeight="1" x14ac:dyDescent="0.2">
      <c r="A47" s="318" t="s">
        <v>153</v>
      </c>
      <c r="B47" s="319" t="s">
        <v>156</v>
      </c>
      <c r="C47" s="320">
        <f>'Order form'!Z117+('Order form'!P174*2)</f>
        <v>0</v>
      </c>
      <c r="D47" s="320" t="str">
        <f>'Order form'!X116</f>
        <v>H-24</v>
      </c>
      <c r="E47" s="320" t="s">
        <v>935</v>
      </c>
      <c r="F47" s="321">
        <f>'Order form'!X117</f>
        <v>0.95</v>
      </c>
      <c r="G47" s="321">
        <f t="shared" si="3"/>
        <v>0</v>
      </c>
      <c r="H47" s="322">
        <v>0.22440000000000002</v>
      </c>
      <c r="I47" s="323">
        <f>C47*H47</f>
        <v>0</v>
      </c>
      <c r="J47" s="323" t="s">
        <v>22</v>
      </c>
      <c r="K47" s="323">
        <f>'Order form'!AA118</f>
        <v>150</v>
      </c>
      <c r="L47" s="323">
        <f t="shared" si="0"/>
        <v>0</v>
      </c>
      <c r="M47" s="324">
        <f t="shared" si="1"/>
        <v>33.660000000000004</v>
      </c>
      <c r="N47" s="320">
        <f t="shared" si="2"/>
        <v>0</v>
      </c>
      <c r="O47" s="1069"/>
    </row>
    <row r="48" spans="1:15" s="325" customFormat="1" ht="12" customHeight="1" x14ac:dyDescent="0.2">
      <c r="A48" s="318" t="s">
        <v>153</v>
      </c>
      <c r="B48" s="319" t="s">
        <v>156</v>
      </c>
      <c r="C48" s="320">
        <f>'Order form'!F127+('Order form'!U174*2)</f>
        <v>0</v>
      </c>
      <c r="D48" s="320" t="str">
        <f>'Order form'!D126</f>
        <v>H-90</v>
      </c>
      <c r="E48" s="320" t="s">
        <v>726</v>
      </c>
      <c r="F48" s="321">
        <f>'Order form'!D127</f>
        <v>0.8</v>
      </c>
      <c r="G48" s="321">
        <f t="shared" si="3"/>
        <v>0</v>
      </c>
      <c r="H48" s="322">
        <v>0.28160000000000002</v>
      </c>
      <c r="I48" s="323">
        <f>C48*H48</f>
        <v>0</v>
      </c>
      <c r="J48" s="323" t="s">
        <v>22</v>
      </c>
      <c r="K48" s="323">
        <f>'Order form'!G128</f>
        <v>100</v>
      </c>
      <c r="L48" s="323">
        <f t="shared" si="0"/>
        <v>0</v>
      </c>
      <c r="M48" s="324">
        <f t="shared" si="1"/>
        <v>28.16</v>
      </c>
      <c r="N48" s="320">
        <f t="shared" si="2"/>
        <v>0</v>
      </c>
      <c r="O48" s="1069"/>
    </row>
    <row r="49" spans="1:15" s="325" customFormat="1" ht="12" customHeight="1" x14ac:dyDescent="0.2">
      <c r="A49" s="318" t="s">
        <v>153</v>
      </c>
      <c r="B49" s="319" t="s">
        <v>156</v>
      </c>
      <c r="C49" s="320">
        <f>'Order form'!K127</f>
        <v>0</v>
      </c>
      <c r="D49" s="320" t="str">
        <f>'Order form'!I126</f>
        <v>HJ-MS</v>
      </c>
      <c r="E49" s="320" t="s">
        <v>727</v>
      </c>
      <c r="F49" s="321">
        <f>'Order form'!I127</f>
        <v>1.7</v>
      </c>
      <c r="G49" s="321">
        <f t="shared" si="3"/>
        <v>0</v>
      </c>
      <c r="H49" s="322">
        <v>0.31900000000000001</v>
      </c>
      <c r="I49" s="323">
        <f>C49*H49</f>
        <v>0</v>
      </c>
      <c r="J49" s="323" t="s">
        <v>22</v>
      </c>
      <c r="K49" s="323">
        <f>'Order form'!L128</f>
        <v>72</v>
      </c>
      <c r="L49" s="323">
        <f t="shared" si="0"/>
        <v>0</v>
      </c>
      <c r="M49" s="324">
        <f t="shared" si="1"/>
        <v>22.968</v>
      </c>
      <c r="N49" s="320">
        <f t="shared" si="2"/>
        <v>0</v>
      </c>
      <c r="O49" s="1069"/>
    </row>
    <row r="50" spans="1:15" s="325" customFormat="1" ht="12" customHeight="1" x14ac:dyDescent="0.2">
      <c r="A50" s="318" t="s">
        <v>153</v>
      </c>
      <c r="B50" s="319" t="s">
        <v>156</v>
      </c>
      <c r="C50" s="320">
        <f>'Order form'!P127</f>
        <v>0</v>
      </c>
      <c r="D50" s="320" t="str">
        <f>'Order form'!N126</f>
        <v>HJ-DS</v>
      </c>
      <c r="E50" s="320" t="s">
        <v>920</v>
      </c>
      <c r="F50" s="321">
        <f>'Order form'!N127</f>
        <v>1.8</v>
      </c>
      <c r="G50" s="321">
        <f t="shared" si="3"/>
        <v>0</v>
      </c>
      <c r="H50" s="528">
        <v>0.315</v>
      </c>
      <c r="I50" s="323">
        <f>C50*H50</f>
        <v>0</v>
      </c>
      <c r="J50" s="323" t="s">
        <v>22</v>
      </c>
      <c r="K50" s="323">
        <f>'Order form'!Q128</f>
        <v>60</v>
      </c>
      <c r="L50" s="323">
        <f t="shared" si="0"/>
        <v>0</v>
      </c>
      <c r="M50" s="324">
        <f t="shared" si="1"/>
        <v>18.899999999999999</v>
      </c>
      <c r="N50" s="320">
        <f t="shared" si="2"/>
        <v>0</v>
      </c>
      <c r="O50" s="1069"/>
    </row>
    <row r="51" spans="1:15" s="219" customFormat="1" ht="12" customHeight="1" x14ac:dyDescent="0.2">
      <c r="A51" s="510" t="s">
        <v>153</v>
      </c>
      <c r="B51" s="511"/>
      <c r="C51" s="512"/>
      <c r="D51" s="512" t="str">
        <f>'Order form'!D138</f>
        <v>HJ-1</v>
      </c>
      <c r="E51" s="512" t="s">
        <v>728</v>
      </c>
      <c r="F51" s="513">
        <f>'Order form'!D141</f>
        <v>1.2500000000000002</v>
      </c>
      <c r="G51" s="513">
        <f t="shared" si="3"/>
        <v>0</v>
      </c>
      <c r="H51" s="529">
        <v>0.31460000000000005</v>
      </c>
      <c r="I51" s="514"/>
      <c r="J51" s="514" t="s">
        <v>377</v>
      </c>
      <c r="K51" s="514"/>
      <c r="L51" s="514"/>
      <c r="M51" s="515"/>
      <c r="N51" s="512">
        <f>IF(C51=0,N49,N49+1)</f>
        <v>0</v>
      </c>
      <c r="O51" s="516"/>
    </row>
    <row r="52" spans="1:15" s="219" customFormat="1" ht="12" customHeight="1" x14ac:dyDescent="0.2">
      <c r="A52" s="510" t="s">
        <v>153</v>
      </c>
      <c r="B52" s="511"/>
      <c r="C52" s="512"/>
      <c r="D52" s="512" t="str">
        <f>'Order form'!I138</f>
        <v>HJ-2</v>
      </c>
      <c r="E52" s="512" t="s">
        <v>729</v>
      </c>
      <c r="F52" s="513">
        <f>'Order form'!I141</f>
        <v>2.1500000000000004</v>
      </c>
      <c r="G52" s="513">
        <f t="shared" si="3"/>
        <v>0</v>
      </c>
      <c r="H52" s="529">
        <v>0.51039999999999996</v>
      </c>
      <c r="I52" s="514"/>
      <c r="J52" s="514" t="s">
        <v>377</v>
      </c>
      <c r="K52" s="514"/>
      <c r="L52" s="514"/>
      <c r="M52" s="515"/>
      <c r="N52" s="512">
        <f t="shared" si="2"/>
        <v>0</v>
      </c>
      <c r="O52" s="516"/>
    </row>
    <row r="53" spans="1:15" s="219" customFormat="1" ht="12" customHeight="1" x14ac:dyDescent="0.2">
      <c r="A53" s="510" t="s">
        <v>153</v>
      </c>
      <c r="B53" s="511"/>
      <c r="C53" s="512"/>
      <c r="D53" s="512" t="str">
        <f>'Order form'!N138</f>
        <v>HJ-3</v>
      </c>
      <c r="E53" s="512" t="s">
        <v>730</v>
      </c>
      <c r="F53" s="513">
        <f>'Order form'!N141</f>
        <v>3.0999999999999996</v>
      </c>
      <c r="G53" s="513">
        <f t="shared" si="3"/>
        <v>0</v>
      </c>
      <c r="H53" s="529">
        <v>0.70620000000000005</v>
      </c>
      <c r="I53" s="514"/>
      <c r="J53" s="514" t="s">
        <v>377</v>
      </c>
      <c r="K53" s="514"/>
      <c r="L53" s="514"/>
      <c r="M53" s="515"/>
      <c r="N53" s="512">
        <f t="shared" si="2"/>
        <v>0</v>
      </c>
      <c r="O53" s="516"/>
    </row>
    <row r="54" spans="1:15" s="219" customFormat="1" ht="12" customHeight="1" x14ac:dyDescent="0.2">
      <c r="A54" s="510" t="s">
        <v>153</v>
      </c>
      <c r="B54" s="511"/>
      <c r="C54" s="512"/>
      <c r="D54" s="512" t="str">
        <f>'Order form'!S138</f>
        <v>HJ-4</v>
      </c>
      <c r="E54" s="512" t="s">
        <v>731</v>
      </c>
      <c r="F54" s="513">
        <f>'Order form'!S141</f>
        <v>2</v>
      </c>
      <c r="G54" s="513">
        <f t="shared" si="3"/>
        <v>0</v>
      </c>
      <c r="H54" s="529">
        <v>0.50600000000000001</v>
      </c>
      <c r="I54" s="514"/>
      <c r="J54" s="514" t="s">
        <v>377</v>
      </c>
      <c r="K54" s="514"/>
      <c r="L54" s="514"/>
      <c r="M54" s="515"/>
      <c r="N54" s="512">
        <f t="shared" si="2"/>
        <v>0</v>
      </c>
      <c r="O54" s="516"/>
    </row>
    <row r="55" spans="1:15" s="219" customFormat="1" ht="12" customHeight="1" x14ac:dyDescent="0.2">
      <c r="A55" s="510" t="s">
        <v>153</v>
      </c>
      <c r="B55" s="511"/>
      <c r="C55" s="512"/>
      <c r="D55" s="512" t="str">
        <f>'Order form'!X138</f>
        <v>HJ-5</v>
      </c>
      <c r="E55" s="512" t="s">
        <v>732</v>
      </c>
      <c r="F55" s="513">
        <f>'Order form'!X141</f>
        <v>4.2</v>
      </c>
      <c r="G55" s="513">
        <f t="shared" si="3"/>
        <v>0</v>
      </c>
      <c r="H55" s="529">
        <v>0.90640000000000009</v>
      </c>
      <c r="I55" s="514"/>
      <c r="J55" s="514" t="s">
        <v>377</v>
      </c>
      <c r="K55" s="514"/>
      <c r="L55" s="514"/>
      <c r="M55" s="515"/>
      <c r="N55" s="512">
        <f t="shared" si="2"/>
        <v>0</v>
      </c>
      <c r="O55" s="516"/>
    </row>
    <row r="56" spans="1:15" s="219" customFormat="1" ht="12" customHeight="1" x14ac:dyDescent="0.2">
      <c r="A56" s="510" t="s">
        <v>153</v>
      </c>
      <c r="B56" s="511"/>
      <c r="C56" s="512"/>
      <c r="D56" s="512" t="str">
        <f>'Order form'!D149</f>
        <v>HJ-6</v>
      </c>
      <c r="E56" s="512" t="s">
        <v>733</v>
      </c>
      <c r="F56" s="513">
        <f>'Order form'!D152</f>
        <v>2.5000000000000004</v>
      </c>
      <c r="G56" s="513">
        <f t="shared" si="3"/>
        <v>0</v>
      </c>
      <c r="H56" s="529">
        <v>0.49719999999999998</v>
      </c>
      <c r="I56" s="514"/>
      <c r="J56" s="514" t="s">
        <v>377</v>
      </c>
      <c r="K56" s="514"/>
      <c r="L56" s="514"/>
      <c r="M56" s="515"/>
      <c r="N56" s="512">
        <f t="shared" si="2"/>
        <v>0</v>
      </c>
      <c r="O56" s="516"/>
    </row>
    <row r="57" spans="1:15" s="219" customFormat="1" ht="12" customHeight="1" x14ac:dyDescent="0.2">
      <c r="A57" s="510" t="s">
        <v>153</v>
      </c>
      <c r="B57" s="511"/>
      <c r="C57" s="512"/>
      <c r="D57" s="512" t="str">
        <f>'Order form'!I149</f>
        <v>HJ-6A</v>
      </c>
      <c r="E57" s="512" t="s">
        <v>734</v>
      </c>
      <c r="F57" s="513">
        <f>'Order form'!I152</f>
        <v>4.05</v>
      </c>
      <c r="G57" s="513">
        <f t="shared" si="3"/>
        <v>0</v>
      </c>
      <c r="H57" s="529">
        <v>0.60940000000000005</v>
      </c>
      <c r="I57" s="514"/>
      <c r="J57" s="514" t="s">
        <v>377</v>
      </c>
      <c r="K57" s="514"/>
      <c r="L57" s="514"/>
      <c r="M57" s="515"/>
      <c r="N57" s="512">
        <f t="shared" si="2"/>
        <v>0</v>
      </c>
      <c r="O57" s="516"/>
    </row>
    <row r="58" spans="1:15" s="219" customFormat="1" ht="12" customHeight="1" x14ac:dyDescent="0.2">
      <c r="A58" s="510" t="s">
        <v>153</v>
      </c>
      <c r="B58" s="511"/>
      <c r="C58" s="512"/>
      <c r="D58" s="512" t="str">
        <f>'Order form'!N149</f>
        <v>HJ-7</v>
      </c>
      <c r="E58" s="512" t="s">
        <v>735</v>
      </c>
      <c r="F58" s="513">
        <f>'Order form'!N152</f>
        <v>1.2500000000000002</v>
      </c>
      <c r="G58" s="513">
        <f t="shared" si="3"/>
        <v>0</v>
      </c>
      <c r="H58" s="529">
        <v>0.23100000000000004</v>
      </c>
      <c r="I58" s="514"/>
      <c r="J58" s="514" t="s">
        <v>377</v>
      </c>
      <c r="K58" s="514"/>
      <c r="L58" s="514"/>
      <c r="M58" s="515"/>
      <c r="N58" s="512">
        <f t="shared" si="2"/>
        <v>0</v>
      </c>
      <c r="O58" s="516"/>
    </row>
    <row r="59" spans="1:15" s="219" customFormat="1" ht="12" customHeight="1" x14ac:dyDescent="0.2">
      <c r="A59" s="510" t="s">
        <v>153</v>
      </c>
      <c r="B59" s="511"/>
      <c r="C59" s="512"/>
      <c r="D59" s="512" t="str">
        <f>'Order form'!S149</f>
        <v>HJ-7A</v>
      </c>
      <c r="E59" s="512" t="s">
        <v>736</v>
      </c>
      <c r="F59" s="513">
        <f>'Order form'!S152</f>
        <v>1.55</v>
      </c>
      <c r="G59" s="513">
        <f t="shared" si="3"/>
        <v>0</v>
      </c>
      <c r="H59" s="529">
        <v>0.1958</v>
      </c>
      <c r="I59" s="514"/>
      <c r="J59" s="514" t="s">
        <v>377</v>
      </c>
      <c r="K59" s="514"/>
      <c r="L59" s="514"/>
      <c r="M59" s="515"/>
      <c r="N59" s="512">
        <f t="shared" si="2"/>
        <v>0</v>
      </c>
      <c r="O59" s="516"/>
    </row>
    <row r="60" spans="1:15" s="219" customFormat="1" ht="12" customHeight="1" x14ac:dyDescent="0.2">
      <c r="A60" s="510" t="s">
        <v>153</v>
      </c>
      <c r="B60" s="511"/>
      <c r="C60" s="512"/>
      <c r="D60" s="512" t="str">
        <f>'Order form'!X149</f>
        <v>HJ-8</v>
      </c>
      <c r="E60" s="512" t="s">
        <v>737</v>
      </c>
      <c r="F60" s="513">
        <f>'Order form'!X152</f>
        <v>2.0499999999999998</v>
      </c>
      <c r="G60" s="513">
        <f t="shared" si="3"/>
        <v>0</v>
      </c>
      <c r="H60" s="529">
        <v>0.30360000000000004</v>
      </c>
      <c r="I60" s="514"/>
      <c r="J60" s="514" t="s">
        <v>377</v>
      </c>
      <c r="K60" s="514"/>
      <c r="L60" s="514"/>
      <c r="M60" s="515"/>
      <c r="N60" s="512">
        <f t="shared" si="2"/>
        <v>0</v>
      </c>
      <c r="O60" s="516"/>
    </row>
    <row r="61" spans="1:15" s="219" customFormat="1" ht="12" customHeight="1" x14ac:dyDescent="0.2">
      <c r="A61" s="510" t="s">
        <v>153</v>
      </c>
      <c r="B61" s="511"/>
      <c r="C61" s="512"/>
      <c r="D61" s="512" t="str">
        <f>'Order form'!D160</f>
        <v>HJ-9</v>
      </c>
      <c r="E61" s="512" t="s">
        <v>738</v>
      </c>
      <c r="F61" s="513">
        <f>'Order form'!D163</f>
        <v>2.0499999999999998</v>
      </c>
      <c r="G61" s="513">
        <f t="shared" si="3"/>
        <v>0</v>
      </c>
      <c r="H61" s="529">
        <v>0.29260000000000003</v>
      </c>
      <c r="I61" s="514"/>
      <c r="J61" s="514" t="s">
        <v>377</v>
      </c>
      <c r="K61" s="514"/>
      <c r="L61" s="514"/>
      <c r="M61" s="515"/>
      <c r="N61" s="512">
        <f t="shared" si="2"/>
        <v>0</v>
      </c>
      <c r="O61" s="516"/>
    </row>
    <row r="62" spans="1:15" s="219" customFormat="1" ht="12" customHeight="1" x14ac:dyDescent="0.2">
      <c r="A62" s="510" t="s">
        <v>153</v>
      </c>
      <c r="B62" s="511"/>
      <c r="C62" s="512"/>
      <c r="D62" s="512" t="str">
        <f>'Order form'!I160</f>
        <v>HJ-12</v>
      </c>
      <c r="E62" s="512" t="s">
        <v>739</v>
      </c>
      <c r="F62" s="513">
        <f>'Order form'!I163</f>
        <v>2.1</v>
      </c>
      <c r="G62" s="513">
        <f t="shared" si="3"/>
        <v>0</v>
      </c>
      <c r="H62" s="529">
        <v>0.31020000000000003</v>
      </c>
      <c r="I62" s="514"/>
      <c r="J62" s="514" t="s">
        <v>377</v>
      </c>
      <c r="K62" s="514"/>
      <c r="L62" s="514"/>
      <c r="M62" s="515"/>
      <c r="N62" s="512">
        <f t="shared" si="2"/>
        <v>0</v>
      </c>
      <c r="O62" s="516"/>
    </row>
    <row r="63" spans="1:15" s="219" customFormat="1" ht="12" customHeight="1" x14ac:dyDescent="0.2">
      <c r="A63" s="510" t="s">
        <v>153</v>
      </c>
      <c r="B63" s="511"/>
      <c r="C63" s="512"/>
      <c r="D63" s="512" t="str">
        <f>'Order form'!N160</f>
        <v>HJ-13</v>
      </c>
      <c r="E63" s="512" t="s">
        <v>740</v>
      </c>
      <c r="F63" s="513">
        <f>'Order form'!N163</f>
        <v>1.33</v>
      </c>
      <c r="G63" s="513">
        <f t="shared" si="3"/>
        <v>0</v>
      </c>
      <c r="H63" s="529">
        <v>0.253</v>
      </c>
      <c r="I63" s="514"/>
      <c r="J63" s="514" t="s">
        <v>377</v>
      </c>
      <c r="K63" s="514"/>
      <c r="L63" s="514"/>
      <c r="M63" s="515"/>
      <c r="N63" s="512">
        <f t="shared" si="2"/>
        <v>0</v>
      </c>
      <c r="O63" s="516"/>
    </row>
    <row r="64" spans="1:15" s="219" customFormat="1" ht="12" customHeight="1" x14ac:dyDescent="0.2">
      <c r="A64" s="510" t="s">
        <v>153</v>
      </c>
      <c r="B64" s="511"/>
      <c r="C64" s="512"/>
      <c r="D64" s="512" t="str">
        <f>'Order form'!S160</f>
        <v>HJ-14</v>
      </c>
      <c r="E64" s="512" t="s">
        <v>741</v>
      </c>
      <c r="F64" s="513">
        <f>'Order form'!S163</f>
        <v>4.4000000000000004</v>
      </c>
      <c r="G64" s="513">
        <f t="shared" si="3"/>
        <v>0</v>
      </c>
      <c r="H64" s="529">
        <v>0.84480000000000011</v>
      </c>
      <c r="I64" s="514"/>
      <c r="J64" s="514" t="s">
        <v>377</v>
      </c>
      <c r="K64" s="514"/>
      <c r="L64" s="514"/>
      <c r="M64" s="515"/>
      <c r="N64" s="512">
        <f t="shared" si="2"/>
        <v>0</v>
      </c>
      <c r="O64" s="516"/>
    </row>
    <row r="65" spans="1:15" s="219" customFormat="1" ht="12" customHeight="1" x14ac:dyDescent="0.2">
      <c r="A65" s="510" t="s">
        <v>153</v>
      </c>
      <c r="B65" s="511"/>
      <c r="C65" s="512"/>
      <c r="D65" s="512" t="str">
        <f>'Order form'!X160</f>
        <v>HJ-15</v>
      </c>
      <c r="E65" s="512" t="s">
        <v>742</v>
      </c>
      <c r="F65" s="513">
        <f>'Order form'!X163</f>
        <v>1.7600000000000002</v>
      </c>
      <c r="G65" s="513">
        <f t="shared" si="3"/>
        <v>0</v>
      </c>
      <c r="H65" s="529">
        <v>0.20020000000000002</v>
      </c>
      <c r="I65" s="514"/>
      <c r="J65" s="514" t="s">
        <v>377</v>
      </c>
      <c r="K65" s="514"/>
      <c r="L65" s="514"/>
      <c r="M65" s="515"/>
      <c r="N65" s="512">
        <f t="shared" si="2"/>
        <v>0</v>
      </c>
      <c r="O65" s="516"/>
    </row>
    <row r="66" spans="1:15" s="219" customFormat="1" ht="12" customHeight="1" x14ac:dyDescent="0.2">
      <c r="A66" s="510" t="s">
        <v>153</v>
      </c>
      <c r="B66" s="511"/>
      <c r="C66" s="512"/>
      <c r="D66" s="512" t="str">
        <f>'Order form'!D171</f>
        <v>HJ-17</v>
      </c>
      <c r="E66" s="512" t="s">
        <v>743</v>
      </c>
      <c r="F66" s="513">
        <f>'Order form'!D174</f>
        <v>1.7500000000000002</v>
      </c>
      <c r="G66" s="513">
        <f t="shared" si="3"/>
        <v>0</v>
      </c>
      <c r="H66" s="529">
        <v>0.32340000000000008</v>
      </c>
      <c r="I66" s="514"/>
      <c r="J66" s="514" t="s">
        <v>377</v>
      </c>
      <c r="K66" s="514"/>
      <c r="L66" s="514"/>
      <c r="M66" s="515"/>
      <c r="N66" s="512">
        <f t="shared" si="2"/>
        <v>0</v>
      </c>
      <c r="O66" s="516"/>
    </row>
    <row r="67" spans="1:15" s="219" customFormat="1" ht="12" customHeight="1" x14ac:dyDescent="0.2">
      <c r="A67" s="510" t="s">
        <v>153</v>
      </c>
      <c r="B67" s="511"/>
      <c r="C67" s="512"/>
      <c r="D67" s="512" t="str">
        <f>'Order form'!I171</f>
        <v>HJ-23</v>
      </c>
      <c r="E67" s="512" t="s">
        <v>936</v>
      </c>
      <c r="F67" s="513">
        <f>'Order form'!I174</f>
        <v>2.2999999999999998</v>
      </c>
      <c r="G67" s="513">
        <f t="shared" si="3"/>
        <v>0</v>
      </c>
      <c r="H67" s="532">
        <v>0.31900000000000006</v>
      </c>
      <c r="I67" s="514"/>
      <c r="J67" s="514" t="s">
        <v>377</v>
      </c>
      <c r="K67" s="514"/>
      <c r="L67" s="514"/>
      <c r="M67" s="515"/>
      <c r="N67" s="512">
        <f t="shared" si="2"/>
        <v>0</v>
      </c>
      <c r="O67" s="516"/>
    </row>
    <row r="68" spans="1:15" s="219" customFormat="1" ht="12" customHeight="1" x14ac:dyDescent="0.2">
      <c r="A68" s="510" t="s">
        <v>153</v>
      </c>
      <c r="B68" s="511"/>
      <c r="C68" s="512"/>
      <c r="D68" s="512" t="str">
        <f>'Order form'!N171</f>
        <v>HJ-24</v>
      </c>
      <c r="E68" s="512" t="s">
        <v>937</v>
      </c>
      <c r="F68" s="513">
        <f>'Order form'!N174</f>
        <v>2.4500000000000002</v>
      </c>
      <c r="G68" s="513">
        <f t="shared" si="3"/>
        <v>0</v>
      </c>
      <c r="H68" s="533">
        <v>0.4884</v>
      </c>
      <c r="I68" s="514"/>
      <c r="J68" s="514" t="s">
        <v>377</v>
      </c>
      <c r="K68" s="514"/>
      <c r="L68" s="514"/>
      <c r="M68" s="515"/>
      <c r="N68" s="512">
        <f t="shared" si="2"/>
        <v>0</v>
      </c>
      <c r="O68" s="517"/>
    </row>
    <row r="69" spans="1:15" s="219" customFormat="1" ht="12" customHeight="1" x14ac:dyDescent="0.2">
      <c r="A69" s="510" t="s">
        <v>153</v>
      </c>
      <c r="B69" s="511"/>
      <c r="C69" s="512"/>
      <c r="D69" s="512" t="str">
        <f>'Order form'!S171</f>
        <v>HJ-90</v>
      </c>
      <c r="E69" s="512" t="s">
        <v>744</v>
      </c>
      <c r="F69" s="513">
        <f>'Order form'!S174</f>
        <v>1.9</v>
      </c>
      <c r="G69" s="513">
        <f t="shared" si="3"/>
        <v>0</v>
      </c>
      <c r="H69" s="527">
        <v>0.48799999999999999</v>
      </c>
      <c r="I69" s="514"/>
      <c r="J69" s="514" t="s">
        <v>377</v>
      </c>
      <c r="K69" s="514"/>
      <c r="L69" s="514"/>
      <c r="M69" s="515"/>
      <c r="N69" s="512">
        <f t="shared" si="2"/>
        <v>0</v>
      </c>
      <c r="O69" s="517"/>
    </row>
    <row r="70" spans="1:15" s="325" customFormat="1" ht="12" customHeight="1" x14ac:dyDescent="0.2">
      <c r="A70" s="318" t="s">
        <v>153</v>
      </c>
      <c r="B70" s="319" t="s">
        <v>156</v>
      </c>
      <c r="C70" s="320">
        <f>'Order form'!F185+('Order form'!F239*2)</f>
        <v>0</v>
      </c>
      <c r="D70" s="320" t="str">
        <f>'Order form'!D184</f>
        <v>H-1NP</v>
      </c>
      <c r="E70" s="320" t="s">
        <v>745</v>
      </c>
      <c r="F70" s="321">
        <f>'Order form'!D185</f>
        <v>0.72</v>
      </c>
      <c r="G70" s="321">
        <f t="shared" si="3"/>
        <v>0</v>
      </c>
      <c r="H70" s="322">
        <v>0.1474</v>
      </c>
      <c r="I70" s="323">
        <f t="shared" ref="I70:I89" si="6">C70*H70</f>
        <v>0</v>
      </c>
      <c r="J70" s="323" t="s">
        <v>22</v>
      </c>
      <c r="K70" s="323">
        <f>'Order form'!G186</f>
        <v>225</v>
      </c>
      <c r="L70" s="323">
        <f t="shared" ref="L70:L90" si="7">C70/K70</f>
        <v>0</v>
      </c>
      <c r="M70" s="324">
        <f t="shared" ref="M70:M90" si="8">K70*H70</f>
        <v>33.164999999999999</v>
      </c>
      <c r="N70" s="512">
        <f t="shared" si="2"/>
        <v>0</v>
      </c>
      <c r="O70" s="1064"/>
    </row>
    <row r="71" spans="1:15" s="325" customFormat="1" ht="12" customHeight="1" x14ac:dyDescent="0.2">
      <c r="A71" s="318" t="s">
        <v>153</v>
      </c>
      <c r="B71" s="319" t="s">
        <v>156</v>
      </c>
      <c r="C71" s="320">
        <f>'Order form'!K185+('Order form'!K239*1)+('Order form'!P239*2)+('Order form'!Z239*4)</f>
        <v>0</v>
      </c>
      <c r="D71" s="320" t="str">
        <f>'Order form'!I184</f>
        <v>H-2NP</v>
      </c>
      <c r="E71" s="320" t="s">
        <v>746</v>
      </c>
      <c r="F71" s="321">
        <f>'Order form'!I185</f>
        <v>1.1499999999999999</v>
      </c>
      <c r="G71" s="321">
        <f t="shared" si="3"/>
        <v>0</v>
      </c>
      <c r="H71" s="322">
        <v>0.20680000000000001</v>
      </c>
      <c r="I71" s="323">
        <f t="shared" si="6"/>
        <v>0</v>
      </c>
      <c r="J71" s="323" t="s">
        <v>22</v>
      </c>
      <c r="K71" s="323">
        <f>'Order form'!L186</f>
        <v>150</v>
      </c>
      <c r="L71" s="323">
        <f t="shared" si="7"/>
        <v>0</v>
      </c>
      <c r="M71" s="324">
        <f t="shared" si="8"/>
        <v>31.020000000000003</v>
      </c>
      <c r="N71" s="512">
        <f t="shared" si="2"/>
        <v>0</v>
      </c>
      <c r="O71" s="1064"/>
    </row>
    <row r="72" spans="1:15" s="325" customFormat="1" ht="12" customHeight="1" x14ac:dyDescent="0.2">
      <c r="A72" s="318" t="s">
        <v>153</v>
      </c>
      <c r="B72" s="319" t="s">
        <v>156</v>
      </c>
      <c r="C72" s="320">
        <f>'Order form'!P185+('Order form'!K239*1)</f>
        <v>0</v>
      </c>
      <c r="D72" s="320" t="str">
        <f>'Order form'!N184</f>
        <v>H-3NP</v>
      </c>
      <c r="E72" s="320" t="s">
        <v>747</v>
      </c>
      <c r="F72" s="321">
        <f>'Order form'!N185</f>
        <v>1.2</v>
      </c>
      <c r="G72" s="321">
        <f t="shared" si="3"/>
        <v>0</v>
      </c>
      <c r="H72" s="322">
        <v>0.26400000000000001</v>
      </c>
      <c r="I72" s="323">
        <f t="shared" si="6"/>
        <v>0</v>
      </c>
      <c r="J72" s="323" t="s">
        <v>22</v>
      </c>
      <c r="K72" s="323">
        <f>'Order form'!Q186</f>
        <v>60</v>
      </c>
      <c r="L72" s="323">
        <f t="shared" si="7"/>
        <v>0</v>
      </c>
      <c r="M72" s="324">
        <f t="shared" si="8"/>
        <v>15.84</v>
      </c>
      <c r="N72" s="512">
        <f t="shared" si="2"/>
        <v>0</v>
      </c>
      <c r="O72" s="1064"/>
    </row>
    <row r="73" spans="1:15" s="325" customFormat="1" ht="12" customHeight="1" x14ac:dyDescent="0.2">
      <c r="A73" s="318" t="s">
        <v>153</v>
      </c>
      <c r="B73" s="319" t="s">
        <v>156</v>
      </c>
      <c r="C73" s="320">
        <f>'Order form'!U185+('Order form'!P239*1)+('Order form'!U239*2)</f>
        <v>0</v>
      </c>
      <c r="D73" s="320" t="str">
        <f>'Order form'!S184</f>
        <v>H-4NP</v>
      </c>
      <c r="E73" s="320" t="s">
        <v>748</v>
      </c>
      <c r="F73" s="321">
        <f>'Order form'!S185</f>
        <v>1.07</v>
      </c>
      <c r="G73" s="321">
        <f t="shared" si="3"/>
        <v>0</v>
      </c>
      <c r="H73" s="322">
        <v>0.23320000000000002</v>
      </c>
      <c r="I73" s="323">
        <f t="shared" si="6"/>
        <v>0</v>
      </c>
      <c r="J73" s="323" t="s">
        <v>22</v>
      </c>
      <c r="K73" s="323">
        <f>'Order form'!V186</f>
        <v>150</v>
      </c>
      <c r="L73" s="323">
        <f t="shared" si="7"/>
        <v>0</v>
      </c>
      <c r="M73" s="324">
        <f t="shared" si="8"/>
        <v>34.980000000000004</v>
      </c>
      <c r="N73" s="512">
        <f t="shared" si="2"/>
        <v>0</v>
      </c>
      <c r="O73" s="1064"/>
    </row>
    <row r="74" spans="1:15" s="325" customFormat="1" ht="12" customHeight="1" x14ac:dyDescent="0.2">
      <c r="A74" s="318" t="s">
        <v>153</v>
      </c>
      <c r="B74" s="319" t="s">
        <v>156</v>
      </c>
      <c r="C74" s="320">
        <f>'Order form'!Z185+('Order form'!F250*2)</f>
        <v>0</v>
      </c>
      <c r="D74" s="320" t="str">
        <f>'Order form'!X184</f>
        <v>H-5NP</v>
      </c>
      <c r="E74" s="320" t="s">
        <v>749</v>
      </c>
      <c r="F74" s="321">
        <f>'Order form'!X185</f>
        <v>0.7</v>
      </c>
      <c r="G74" s="321">
        <f t="shared" si="3"/>
        <v>0</v>
      </c>
      <c r="H74" s="322">
        <v>9.9000000000000005E-2</v>
      </c>
      <c r="I74" s="323">
        <f t="shared" si="6"/>
        <v>0</v>
      </c>
      <c r="J74" s="323" t="s">
        <v>22</v>
      </c>
      <c r="K74" s="323">
        <f>'Order form'!AA186</f>
        <v>225</v>
      </c>
      <c r="L74" s="323">
        <f t="shared" si="7"/>
        <v>0</v>
      </c>
      <c r="M74" s="324">
        <f t="shared" si="8"/>
        <v>22.275000000000002</v>
      </c>
      <c r="N74" s="512">
        <f t="shared" si="2"/>
        <v>0</v>
      </c>
      <c r="O74" s="1064"/>
    </row>
    <row r="75" spans="1:15" s="325" customFormat="1" ht="12" customHeight="1" x14ac:dyDescent="0.2">
      <c r="A75" s="318" t="s">
        <v>153</v>
      </c>
      <c r="B75" s="319" t="s">
        <v>156</v>
      </c>
      <c r="C75" s="320">
        <f>'Order form'!F195+('Order form'!F250*2)+('Order form'!K250*2)+('Order form'!U261*4)</f>
        <v>0</v>
      </c>
      <c r="D75" s="320" t="str">
        <f>'Order form'!D194</f>
        <v>H-6NP</v>
      </c>
      <c r="E75" s="320" t="s">
        <v>750</v>
      </c>
      <c r="F75" s="321">
        <f>'Order form'!D195</f>
        <v>0.7</v>
      </c>
      <c r="G75" s="321">
        <f t="shared" si="3"/>
        <v>0</v>
      </c>
      <c r="H75" s="322">
        <v>0.1298</v>
      </c>
      <c r="I75" s="323">
        <f t="shared" si="6"/>
        <v>0</v>
      </c>
      <c r="J75" s="323" t="s">
        <v>22</v>
      </c>
      <c r="K75" s="323">
        <f>'Order form'!G196</f>
        <v>225</v>
      </c>
      <c r="L75" s="323">
        <f t="shared" si="7"/>
        <v>0</v>
      </c>
      <c r="M75" s="324">
        <f t="shared" si="8"/>
        <v>29.204999999999998</v>
      </c>
      <c r="N75" s="320">
        <f t="shared" ref="N75:N142" si="9">IF(C75=0,N74,N74+1)</f>
        <v>0</v>
      </c>
      <c r="O75" s="1064"/>
    </row>
    <row r="76" spans="1:15" s="325" customFormat="1" ht="12" customHeight="1" x14ac:dyDescent="0.2">
      <c r="A76" s="318" t="s">
        <v>153</v>
      </c>
      <c r="B76" s="319" t="s">
        <v>156</v>
      </c>
      <c r="C76" s="320">
        <f>'Order form'!K195+('Order form'!K250*2)</f>
        <v>0</v>
      </c>
      <c r="D76" s="320" t="str">
        <f>'Order form'!I194</f>
        <v>H-6ANP</v>
      </c>
      <c r="E76" s="320" t="s">
        <v>751</v>
      </c>
      <c r="F76" s="321">
        <f>'Order form'!I195</f>
        <v>0.95</v>
      </c>
      <c r="G76" s="321">
        <f t="shared" ref="G76:G172" si="10">F76*C76</f>
        <v>0</v>
      </c>
      <c r="H76" s="322">
        <v>0.14520000000000002</v>
      </c>
      <c r="I76" s="323">
        <f t="shared" si="6"/>
        <v>0</v>
      </c>
      <c r="J76" s="323" t="s">
        <v>22</v>
      </c>
      <c r="K76" s="323">
        <f>'Order form'!L196</f>
        <v>180</v>
      </c>
      <c r="L76" s="323">
        <f t="shared" si="7"/>
        <v>0</v>
      </c>
      <c r="M76" s="324">
        <f t="shared" si="8"/>
        <v>26.136000000000003</v>
      </c>
      <c r="N76" s="320">
        <f t="shared" si="9"/>
        <v>0</v>
      </c>
      <c r="O76" s="1064"/>
    </row>
    <row r="77" spans="1:15" s="325" customFormat="1" ht="12" customHeight="1" x14ac:dyDescent="0.2">
      <c r="A77" s="318" t="s">
        <v>153</v>
      </c>
      <c r="B77" s="319" t="s">
        <v>156</v>
      </c>
      <c r="C77" s="320">
        <f>'Order form'!P195+('Order form'!P250*2)</f>
        <v>0</v>
      </c>
      <c r="D77" s="320" t="str">
        <f>'Order form'!N194</f>
        <v>H-7NP</v>
      </c>
      <c r="E77" s="320" t="s">
        <v>752</v>
      </c>
      <c r="F77" s="321">
        <f>'Order form'!N195</f>
        <v>0.76</v>
      </c>
      <c r="G77" s="321">
        <f t="shared" si="10"/>
        <v>0</v>
      </c>
      <c r="H77" s="322">
        <v>0.10560000000000001</v>
      </c>
      <c r="I77" s="323">
        <f t="shared" si="6"/>
        <v>0</v>
      </c>
      <c r="J77" s="323" t="s">
        <v>22</v>
      </c>
      <c r="K77" s="323">
        <f>'Order form'!Q196</f>
        <v>150</v>
      </c>
      <c r="L77" s="323">
        <f t="shared" si="7"/>
        <v>0</v>
      </c>
      <c r="M77" s="324">
        <f t="shared" si="8"/>
        <v>15.840000000000002</v>
      </c>
      <c r="N77" s="320">
        <f t="shared" si="9"/>
        <v>0</v>
      </c>
      <c r="O77" s="1064"/>
    </row>
    <row r="78" spans="1:15" s="325" customFormat="1" ht="12" customHeight="1" x14ac:dyDescent="0.2">
      <c r="A78" s="318" t="s">
        <v>153</v>
      </c>
      <c r="B78" s="319" t="s">
        <v>156</v>
      </c>
      <c r="C78" s="320">
        <f>'Order form'!U195+('Order form'!U250*2)</f>
        <v>0</v>
      </c>
      <c r="D78" s="320" t="str">
        <f>'Order form'!S194</f>
        <v>H-7ANP</v>
      </c>
      <c r="E78" s="320" t="s">
        <v>753</v>
      </c>
      <c r="F78" s="321">
        <f>'Order form'!S195</f>
        <v>0.91</v>
      </c>
      <c r="G78" s="321">
        <f t="shared" si="10"/>
        <v>0</v>
      </c>
      <c r="H78" s="322">
        <v>8.8000000000000009E-2</v>
      </c>
      <c r="I78" s="323">
        <f t="shared" si="6"/>
        <v>0</v>
      </c>
      <c r="J78" s="323" t="s">
        <v>22</v>
      </c>
      <c r="K78" s="323">
        <f>'Order form'!V196</f>
        <v>225</v>
      </c>
      <c r="L78" s="323">
        <f t="shared" si="7"/>
        <v>0</v>
      </c>
      <c r="M78" s="324">
        <f t="shared" si="8"/>
        <v>19.8</v>
      </c>
      <c r="N78" s="320">
        <f t="shared" si="9"/>
        <v>0</v>
      </c>
      <c r="O78" s="1064"/>
    </row>
    <row r="79" spans="1:15" s="325" customFormat="1" ht="12" customHeight="1" x14ac:dyDescent="0.2">
      <c r="A79" s="318" t="s">
        <v>153</v>
      </c>
      <c r="B79" s="319" t="s">
        <v>156</v>
      </c>
      <c r="C79" s="320">
        <f>'Order form'!Z195+('Order form'!Z250)</f>
        <v>0</v>
      </c>
      <c r="D79" s="320" t="str">
        <f>'Order form'!X194</f>
        <v>H-8NP</v>
      </c>
      <c r="E79" s="320" t="s">
        <v>754</v>
      </c>
      <c r="F79" s="321">
        <f>'Order form'!X195</f>
        <v>0.95</v>
      </c>
      <c r="G79" s="321">
        <f t="shared" si="10"/>
        <v>0</v>
      </c>
      <c r="H79" s="322">
        <v>0.14740000000000003</v>
      </c>
      <c r="I79" s="323">
        <f t="shared" si="6"/>
        <v>0</v>
      </c>
      <c r="J79" s="323" t="s">
        <v>22</v>
      </c>
      <c r="K79" s="323">
        <f>'Order form'!AA196</f>
        <v>180</v>
      </c>
      <c r="L79" s="323">
        <f t="shared" si="7"/>
        <v>0</v>
      </c>
      <c r="M79" s="324">
        <f t="shared" si="8"/>
        <v>26.532000000000007</v>
      </c>
      <c r="N79" s="320">
        <f t="shared" si="9"/>
        <v>0</v>
      </c>
      <c r="O79" s="1064"/>
    </row>
    <row r="80" spans="1:15" s="325" customFormat="1" ht="12" customHeight="1" x14ac:dyDescent="0.2">
      <c r="A80" s="318" t="s">
        <v>153</v>
      </c>
      <c r="B80" s="319" t="s">
        <v>156</v>
      </c>
      <c r="C80" s="320">
        <f>'Order form'!F205+('Order form'!Z250)+('Order form'!F261*2)</f>
        <v>0</v>
      </c>
      <c r="D80" s="320" t="str">
        <f>'Order form'!D204:G204</f>
        <v>H-9NP</v>
      </c>
      <c r="E80" s="320" t="s">
        <v>755</v>
      </c>
      <c r="F80" s="321">
        <f>'Order form'!D205</f>
        <v>0.95</v>
      </c>
      <c r="G80" s="321">
        <f t="shared" si="10"/>
        <v>0</v>
      </c>
      <c r="H80" s="322">
        <v>0.13640000000000002</v>
      </c>
      <c r="I80" s="323">
        <f t="shared" si="6"/>
        <v>0</v>
      </c>
      <c r="J80" s="323" t="s">
        <v>22</v>
      </c>
      <c r="K80" s="323">
        <f>'Order form'!G206</f>
        <v>245</v>
      </c>
      <c r="L80" s="323">
        <f t="shared" si="7"/>
        <v>0</v>
      </c>
      <c r="M80" s="324">
        <f t="shared" si="8"/>
        <v>33.418000000000006</v>
      </c>
      <c r="N80" s="320">
        <f t="shared" si="9"/>
        <v>0</v>
      </c>
      <c r="O80" s="1064"/>
    </row>
    <row r="81" spans="1:15" s="325" customFormat="1" ht="12" customHeight="1" x14ac:dyDescent="0.2">
      <c r="A81" s="318" t="s">
        <v>153</v>
      </c>
      <c r="B81" s="319" t="s">
        <v>156</v>
      </c>
      <c r="C81" s="320">
        <f>'Order form'!K205+('Order form'!K261*2)</f>
        <v>0</v>
      </c>
      <c r="D81" s="320" t="str">
        <f>'Order form'!I204</f>
        <v>H-12NP</v>
      </c>
      <c r="E81" s="320" t="s">
        <v>756</v>
      </c>
      <c r="F81" s="321">
        <f>'Order form'!I205</f>
        <v>0.9</v>
      </c>
      <c r="G81" s="321">
        <f t="shared" si="10"/>
        <v>0</v>
      </c>
      <c r="H81" s="322">
        <v>0.1386</v>
      </c>
      <c r="I81" s="323">
        <f t="shared" si="6"/>
        <v>0</v>
      </c>
      <c r="J81" s="323" t="s">
        <v>22</v>
      </c>
      <c r="K81" s="323">
        <f>'Order form'!L206</f>
        <v>180</v>
      </c>
      <c r="L81" s="323">
        <f t="shared" si="7"/>
        <v>0</v>
      </c>
      <c r="M81" s="324">
        <f t="shared" si="8"/>
        <v>24.948</v>
      </c>
      <c r="N81" s="320">
        <f t="shared" si="9"/>
        <v>0</v>
      </c>
      <c r="O81" s="1064"/>
    </row>
    <row r="82" spans="1:15" s="325" customFormat="1" ht="12" customHeight="1" x14ac:dyDescent="0.2">
      <c r="A82" s="318" t="s">
        <v>153</v>
      </c>
      <c r="B82" s="319" t="s">
        <v>156</v>
      </c>
      <c r="C82" s="320">
        <f>'Order form'!P205+('Order form'!P261*2)</f>
        <v>0</v>
      </c>
      <c r="D82" s="320" t="str">
        <f>'Order form'!N204</f>
        <v>H-13NP</v>
      </c>
      <c r="E82" s="320" t="s">
        <v>757</v>
      </c>
      <c r="F82" s="321">
        <f>'Order form'!N205</f>
        <v>0.85</v>
      </c>
      <c r="G82" s="321">
        <f t="shared" si="10"/>
        <v>0</v>
      </c>
      <c r="H82" s="322">
        <v>0.11660000000000001</v>
      </c>
      <c r="I82" s="323">
        <f t="shared" si="6"/>
        <v>0</v>
      </c>
      <c r="J82" s="323" t="s">
        <v>22</v>
      </c>
      <c r="K82" s="323">
        <f>'Order form'!Q206</f>
        <v>225</v>
      </c>
      <c r="L82" s="323">
        <f t="shared" si="7"/>
        <v>0</v>
      </c>
      <c r="M82" s="324">
        <f t="shared" si="8"/>
        <v>26.235000000000003</v>
      </c>
      <c r="N82" s="320">
        <f t="shared" si="9"/>
        <v>0</v>
      </c>
      <c r="O82" s="1064"/>
    </row>
    <row r="83" spans="1:15" s="325" customFormat="1" ht="12" customHeight="1" x14ac:dyDescent="0.2">
      <c r="A83" s="318" t="s">
        <v>153</v>
      </c>
      <c r="B83" s="319" t="s">
        <v>156</v>
      </c>
      <c r="C83" s="320">
        <f>'Order form'!U205+('Order form'!U261*2)</f>
        <v>0</v>
      </c>
      <c r="D83" s="320" t="str">
        <f>'Order form'!S204</f>
        <v>H-14NP</v>
      </c>
      <c r="E83" s="320" t="s">
        <v>758</v>
      </c>
      <c r="F83" s="321">
        <f>'Order form'!S205</f>
        <v>0.95</v>
      </c>
      <c r="G83" s="321">
        <f t="shared" si="10"/>
        <v>0</v>
      </c>
      <c r="H83" s="322">
        <v>0.12320000000000002</v>
      </c>
      <c r="I83" s="323">
        <f t="shared" si="6"/>
        <v>0</v>
      </c>
      <c r="J83" s="323" t="s">
        <v>22</v>
      </c>
      <c r="K83" s="323">
        <f>'Order form'!V206</f>
        <v>240</v>
      </c>
      <c r="L83" s="323">
        <f t="shared" si="7"/>
        <v>0</v>
      </c>
      <c r="M83" s="324">
        <f t="shared" si="8"/>
        <v>29.568000000000005</v>
      </c>
      <c r="N83" s="320">
        <f t="shared" si="9"/>
        <v>0</v>
      </c>
      <c r="O83" s="1064"/>
    </row>
    <row r="84" spans="1:15" s="325" customFormat="1" ht="12" customHeight="1" x14ac:dyDescent="0.2">
      <c r="A84" s="318" t="s">
        <v>153</v>
      </c>
      <c r="B84" s="319" t="s">
        <v>156</v>
      </c>
      <c r="C84" s="320">
        <f>'Order form'!Z205+'Order form'!Z261</f>
        <v>0</v>
      </c>
      <c r="D84" s="320" t="str">
        <f>'Order form'!X204</f>
        <v>H-15NP</v>
      </c>
      <c r="E84" s="320" t="s">
        <v>759</v>
      </c>
      <c r="F84" s="321">
        <f>'Order form'!X205</f>
        <v>1</v>
      </c>
      <c r="G84" s="321">
        <f t="shared" si="10"/>
        <v>0</v>
      </c>
      <c r="H84" s="322">
        <v>8.3600000000000008E-2</v>
      </c>
      <c r="I84" s="323">
        <f t="shared" si="6"/>
        <v>0</v>
      </c>
      <c r="J84" s="323" t="s">
        <v>22</v>
      </c>
      <c r="K84" s="323">
        <f>'Order form'!AA206</f>
        <v>300</v>
      </c>
      <c r="L84" s="323">
        <f t="shared" si="7"/>
        <v>0</v>
      </c>
      <c r="M84" s="324">
        <f t="shared" si="8"/>
        <v>25.080000000000002</v>
      </c>
      <c r="N84" s="320">
        <f t="shared" si="9"/>
        <v>0</v>
      </c>
      <c r="O84" s="1064"/>
    </row>
    <row r="85" spans="1:15" s="325" customFormat="1" ht="12" customHeight="1" x14ac:dyDescent="0.2">
      <c r="A85" s="318" t="s">
        <v>153</v>
      </c>
      <c r="B85" s="319" t="s">
        <v>156</v>
      </c>
      <c r="C85" s="320">
        <f>'Order form'!F215+'Order form'!Z261</f>
        <v>0</v>
      </c>
      <c r="D85" s="320" t="str">
        <f>'Order form'!D214:G214</f>
        <v>H-16NP</v>
      </c>
      <c r="E85" s="320" t="s">
        <v>760</v>
      </c>
      <c r="F85" s="321">
        <f>'Order form'!D215</f>
        <v>1</v>
      </c>
      <c r="G85" s="321">
        <f t="shared" si="10"/>
        <v>0</v>
      </c>
      <c r="H85" s="322">
        <v>0.10120000000000001</v>
      </c>
      <c r="I85" s="323">
        <f t="shared" si="6"/>
        <v>0</v>
      </c>
      <c r="J85" s="323" t="s">
        <v>22</v>
      </c>
      <c r="K85" s="323">
        <f>'Order form'!G216</f>
        <v>300</v>
      </c>
      <c r="L85" s="323">
        <f t="shared" si="7"/>
        <v>0</v>
      </c>
      <c r="M85" s="324">
        <f t="shared" si="8"/>
        <v>30.360000000000003</v>
      </c>
      <c r="N85" s="320">
        <f t="shared" si="9"/>
        <v>0</v>
      </c>
      <c r="O85" s="1064"/>
    </row>
    <row r="86" spans="1:15" s="325" customFormat="1" ht="12" customHeight="1" x14ac:dyDescent="0.2">
      <c r="A86" s="318" t="s">
        <v>153</v>
      </c>
      <c r="B86" s="319" t="s">
        <v>156</v>
      </c>
      <c r="C86" s="320">
        <f>'Order form'!K215+'Order form'!F272</f>
        <v>0</v>
      </c>
      <c r="D86" s="320" t="str">
        <f>'Order form'!I214</f>
        <v>H-17NP</v>
      </c>
      <c r="E86" s="320" t="s">
        <v>761</v>
      </c>
      <c r="F86" s="321">
        <f>'Order form'!I215</f>
        <v>0.92</v>
      </c>
      <c r="G86" s="321">
        <f t="shared" si="10"/>
        <v>0</v>
      </c>
      <c r="H86" s="322">
        <v>0.15180000000000002</v>
      </c>
      <c r="I86" s="323">
        <f t="shared" si="6"/>
        <v>0</v>
      </c>
      <c r="J86" s="323" t="s">
        <v>22</v>
      </c>
      <c r="K86" s="323">
        <f>'Order form'!L216</f>
        <v>145</v>
      </c>
      <c r="L86" s="323">
        <f t="shared" si="7"/>
        <v>0</v>
      </c>
      <c r="M86" s="324">
        <f t="shared" si="8"/>
        <v>22.011000000000003</v>
      </c>
      <c r="N86" s="320">
        <f t="shared" si="9"/>
        <v>0</v>
      </c>
      <c r="O86" s="1064"/>
    </row>
    <row r="87" spans="1:15" s="325" customFormat="1" ht="12" customHeight="1" x14ac:dyDescent="0.2">
      <c r="A87" s="318" t="s">
        <v>153</v>
      </c>
      <c r="B87" s="319" t="s">
        <v>156</v>
      </c>
      <c r="C87" s="320">
        <f>'Order form'!P215+'Order form'!F272</f>
        <v>0</v>
      </c>
      <c r="D87" s="320" t="str">
        <f>'Order form'!N214</f>
        <v>H-18NP</v>
      </c>
      <c r="E87" s="320" t="s">
        <v>762</v>
      </c>
      <c r="F87" s="321">
        <f>'Order form'!N215</f>
        <v>0.92</v>
      </c>
      <c r="G87" s="321">
        <f t="shared" si="10"/>
        <v>0</v>
      </c>
      <c r="H87" s="322">
        <v>0.15180000000000002</v>
      </c>
      <c r="I87" s="323">
        <f t="shared" si="6"/>
        <v>0</v>
      </c>
      <c r="J87" s="323" t="s">
        <v>22</v>
      </c>
      <c r="K87" s="323">
        <f>'Order form'!Q216</f>
        <v>145</v>
      </c>
      <c r="L87" s="323">
        <f t="shared" si="7"/>
        <v>0</v>
      </c>
      <c r="M87" s="324">
        <f t="shared" si="8"/>
        <v>22.011000000000003</v>
      </c>
      <c r="N87" s="320">
        <f t="shared" si="9"/>
        <v>0</v>
      </c>
      <c r="O87" s="1064"/>
    </row>
    <row r="88" spans="1:15" s="325" customFormat="1" ht="12" customHeight="1" x14ac:dyDescent="0.2">
      <c r="A88" s="318" t="s">
        <v>153</v>
      </c>
      <c r="B88" s="319" t="s">
        <v>156</v>
      </c>
      <c r="C88" s="320">
        <f>'Order form'!U215+('Order form'!K272*2)</f>
        <v>0</v>
      </c>
      <c r="D88" s="320" t="str">
        <f>'Order form'!S214</f>
        <v>H-23NP</v>
      </c>
      <c r="E88" s="320" t="s">
        <v>938</v>
      </c>
      <c r="F88" s="321">
        <f>'Order form'!S215</f>
        <v>1.05</v>
      </c>
      <c r="G88" s="321">
        <f t="shared" si="10"/>
        <v>0</v>
      </c>
      <c r="H88" s="322">
        <v>0.13640000000000002</v>
      </c>
      <c r="I88" s="323">
        <f t="shared" si="6"/>
        <v>0</v>
      </c>
      <c r="J88" s="323" t="s">
        <v>22</v>
      </c>
      <c r="K88" s="323">
        <f>'Order form'!V216</f>
        <v>120</v>
      </c>
      <c r="L88" s="323">
        <f t="shared" si="7"/>
        <v>0</v>
      </c>
      <c r="M88" s="324">
        <f t="shared" si="8"/>
        <v>16.368000000000002</v>
      </c>
      <c r="N88" s="320">
        <f t="shared" si="9"/>
        <v>0</v>
      </c>
      <c r="O88" s="1065"/>
    </row>
    <row r="89" spans="1:15" s="325" customFormat="1" ht="12" customHeight="1" x14ac:dyDescent="0.2">
      <c r="A89" s="318" t="s">
        <v>153</v>
      </c>
      <c r="B89" s="319" t="s">
        <v>156</v>
      </c>
      <c r="C89" s="320">
        <f>'Order form'!Z215+('Order form'!P272*2)</f>
        <v>0</v>
      </c>
      <c r="D89" s="320" t="str">
        <f>'Order form'!X214</f>
        <v>H-24NP</v>
      </c>
      <c r="E89" s="320" t="s">
        <v>939</v>
      </c>
      <c r="F89" s="321">
        <f>'Order form'!X215</f>
        <v>1.1000000000000001</v>
      </c>
      <c r="G89" s="321">
        <f t="shared" si="10"/>
        <v>0</v>
      </c>
      <c r="H89" s="322">
        <v>0.49399999999999999</v>
      </c>
      <c r="I89" s="323">
        <f t="shared" si="6"/>
        <v>0</v>
      </c>
      <c r="J89" s="323" t="s">
        <v>22</v>
      </c>
      <c r="K89" s="323">
        <f>'Order form'!AA216</f>
        <v>150</v>
      </c>
      <c r="L89" s="323">
        <f t="shared" si="7"/>
        <v>0</v>
      </c>
      <c r="M89" s="324">
        <f t="shared" si="8"/>
        <v>74.099999999999994</v>
      </c>
      <c r="N89" s="320">
        <f t="shared" si="9"/>
        <v>0</v>
      </c>
      <c r="O89" s="332">
        <f>SUM(G70:G89)</f>
        <v>0</v>
      </c>
    </row>
    <row r="90" spans="1:15" s="325" customFormat="1" ht="12" customHeight="1" x14ac:dyDescent="0.2">
      <c r="A90" s="318" t="s">
        <v>153</v>
      </c>
      <c r="B90" s="319" t="s">
        <v>156</v>
      </c>
      <c r="C90" s="320">
        <f>'Order form'!F225+('Order form'!U272*2)</f>
        <v>0</v>
      </c>
      <c r="D90" s="320" t="str">
        <f>'Order form'!D224</f>
        <v>H-90NP</v>
      </c>
      <c r="E90" s="320" t="s">
        <v>940</v>
      </c>
      <c r="F90" s="321">
        <f>'Order form'!D225</f>
        <v>1.22</v>
      </c>
      <c r="G90" s="321">
        <f t="shared" si="10"/>
        <v>0</v>
      </c>
      <c r="H90" s="322">
        <v>0.224</v>
      </c>
      <c r="I90" s="323">
        <f t="shared" ref="I90" si="11">C90*H90</f>
        <v>0</v>
      </c>
      <c r="J90" s="323" t="s">
        <v>22</v>
      </c>
      <c r="K90" s="323">
        <f>'Order form'!G226</f>
        <v>100</v>
      </c>
      <c r="L90" s="323">
        <f t="shared" si="7"/>
        <v>0</v>
      </c>
      <c r="M90" s="324">
        <f t="shared" si="8"/>
        <v>22.400000000000002</v>
      </c>
      <c r="N90" s="320">
        <f t="shared" si="9"/>
        <v>0</v>
      </c>
      <c r="O90" s="332"/>
    </row>
    <row r="91" spans="1:15" ht="12" customHeight="1" x14ac:dyDescent="0.2">
      <c r="A91" s="506" t="s">
        <v>153</v>
      </c>
      <c r="B91" s="196"/>
      <c r="C91" s="194"/>
      <c r="D91" s="194" t="str">
        <f>'Order form'!D236</f>
        <v>HJ-1NP</v>
      </c>
      <c r="E91" s="194" t="s">
        <v>763</v>
      </c>
      <c r="F91" s="188">
        <f>'Order form'!D239</f>
        <v>1.62</v>
      </c>
      <c r="G91" s="188">
        <f t="shared" si="10"/>
        <v>0</v>
      </c>
      <c r="H91" s="189">
        <v>0.31460000000000005</v>
      </c>
      <c r="I91" s="190"/>
      <c r="J91" s="190" t="s">
        <v>377</v>
      </c>
      <c r="K91" s="190"/>
      <c r="L91" s="190"/>
      <c r="M91" s="195"/>
      <c r="N91" s="194">
        <f>IF(C91=0,N89,N89+1)</f>
        <v>0</v>
      </c>
      <c r="O91" s="1061"/>
    </row>
    <row r="92" spans="1:15" ht="12" customHeight="1" x14ac:dyDescent="0.2">
      <c r="A92" s="506" t="s">
        <v>153</v>
      </c>
      <c r="B92" s="196"/>
      <c r="C92" s="194"/>
      <c r="D92" s="194" t="str">
        <f>'Order form'!I236</f>
        <v>HJ-2NP</v>
      </c>
      <c r="E92" s="194" t="s">
        <v>764</v>
      </c>
      <c r="F92" s="188">
        <f>'Order form'!I239</f>
        <v>2.71</v>
      </c>
      <c r="G92" s="188">
        <f t="shared" si="10"/>
        <v>0</v>
      </c>
      <c r="H92" s="189">
        <v>0.51039999999999996</v>
      </c>
      <c r="I92" s="190"/>
      <c r="J92" s="190" t="s">
        <v>377</v>
      </c>
      <c r="K92" s="190"/>
      <c r="L92" s="190"/>
      <c r="M92" s="195"/>
      <c r="N92" s="194">
        <f t="shared" si="9"/>
        <v>0</v>
      </c>
      <c r="O92" s="1062"/>
    </row>
    <row r="93" spans="1:15" ht="12" customHeight="1" x14ac:dyDescent="0.2">
      <c r="A93" s="506" t="s">
        <v>153</v>
      </c>
      <c r="B93" s="196"/>
      <c r="C93" s="194"/>
      <c r="D93" s="194" t="str">
        <f>'Order form'!N236</f>
        <v>HJ-3NP</v>
      </c>
      <c r="E93" s="194" t="s">
        <v>765</v>
      </c>
      <c r="F93" s="188">
        <f>'Order form'!N239</f>
        <v>3.91</v>
      </c>
      <c r="G93" s="188">
        <f t="shared" si="10"/>
        <v>0</v>
      </c>
      <c r="H93" s="189">
        <v>0.70620000000000005</v>
      </c>
      <c r="I93" s="190"/>
      <c r="J93" s="190" t="s">
        <v>377</v>
      </c>
      <c r="K93" s="190"/>
      <c r="L93" s="190"/>
      <c r="M93" s="195"/>
      <c r="N93" s="194">
        <f t="shared" si="9"/>
        <v>0</v>
      </c>
      <c r="O93" s="1062"/>
    </row>
    <row r="94" spans="1:15" ht="12" customHeight="1" x14ac:dyDescent="0.2">
      <c r="A94" s="506" t="s">
        <v>153</v>
      </c>
      <c r="B94" s="196"/>
      <c r="C94" s="194"/>
      <c r="D94" s="194" t="str">
        <f>'Order form'!S236</f>
        <v>HJ-4NP</v>
      </c>
      <c r="E94" s="194" t="s">
        <v>766</v>
      </c>
      <c r="F94" s="188">
        <f>'Order form'!S239</f>
        <v>2.5000000000000004</v>
      </c>
      <c r="G94" s="188">
        <f t="shared" si="10"/>
        <v>0</v>
      </c>
      <c r="H94" s="189">
        <v>0.50600000000000001</v>
      </c>
      <c r="I94" s="190"/>
      <c r="J94" s="190" t="s">
        <v>377</v>
      </c>
      <c r="K94" s="190"/>
      <c r="L94" s="190"/>
      <c r="M94" s="195"/>
      <c r="N94" s="194">
        <f t="shared" si="9"/>
        <v>0</v>
      </c>
      <c r="O94" s="1062"/>
    </row>
    <row r="95" spans="1:15" ht="12" customHeight="1" x14ac:dyDescent="0.2">
      <c r="A95" s="506" t="s">
        <v>153</v>
      </c>
      <c r="B95" s="196"/>
      <c r="C95" s="194"/>
      <c r="D95" s="194" t="str">
        <f>'Order form'!X236</f>
        <v>HJ-5NP</v>
      </c>
      <c r="E95" s="194" t="s">
        <v>767</v>
      </c>
      <c r="F95" s="188">
        <f>'Order form'!X239</f>
        <v>5.32</v>
      </c>
      <c r="G95" s="188">
        <f t="shared" si="10"/>
        <v>0</v>
      </c>
      <c r="H95" s="189">
        <v>0.90640000000000009</v>
      </c>
      <c r="I95" s="190"/>
      <c r="J95" s="190" t="s">
        <v>377</v>
      </c>
      <c r="K95" s="190"/>
      <c r="L95" s="190"/>
      <c r="M95" s="195"/>
      <c r="N95" s="194">
        <f t="shared" si="9"/>
        <v>0</v>
      </c>
      <c r="O95" s="1062"/>
    </row>
    <row r="96" spans="1:15" ht="12" customHeight="1" x14ac:dyDescent="0.2">
      <c r="A96" s="506" t="s">
        <v>153</v>
      </c>
      <c r="B96" s="196"/>
      <c r="C96" s="194"/>
      <c r="D96" s="194" t="str">
        <f>'Order form'!D247</f>
        <v>HJ-6NP</v>
      </c>
      <c r="E96" s="194" t="s">
        <v>768</v>
      </c>
      <c r="F96" s="188">
        <f>'Order form'!D250</f>
        <v>3.16</v>
      </c>
      <c r="G96" s="188">
        <f t="shared" si="10"/>
        <v>0</v>
      </c>
      <c r="H96" s="189">
        <v>0.49719999999999998</v>
      </c>
      <c r="I96" s="190"/>
      <c r="J96" s="190" t="s">
        <v>377</v>
      </c>
      <c r="K96" s="190"/>
      <c r="L96" s="190"/>
      <c r="M96" s="195"/>
      <c r="N96" s="194">
        <f t="shared" si="9"/>
        <v>0</v>
      </c>
      <c r="O96" s="1062"/>
    </row>
    <row r="97" spans="1:15" ht="12" customHeight="1" x14ac:dyDescent="0.2">
      <c r="A97" s="506" t="s">
        <v>153</v>
      </c>
      <c r="B97" s="196"/>
      <c r="C97" s="194"/>
      <c r="D97" s="194" t="str">
        <f>'Order form'!I247</f>
        <v>HJ-6ANP</v>
      </c>
      <c r="E97" s="194" t="s">
        <v>769</v>
      </c>
      <c r="F97" s="188">
        <f>'Order form'!I250</f>
        <v>3.84</v>
      </c>
      <c r="G97" s="188">
        <f t="shared" si="10"/>
        <v>0</v>
      </c>
      <c r="H97" s="189">
        <v>0.60940000000000005</v>
      </c>
      <c r="I97" s="190"/>
      <c r="J97" s="190" t="s">
        <v>377</v>
      </c>
      <c r="K97" s="190"/>
      <c r="L97" s="190"/>
      <c r="M97" s="195"/>
      <c r="N97" s="194">
        <f t="shared" si="9"/>
        <v>0</v>
      </c>
      <c r="O97" s="1062"/>
    </row>
    <row r="98" spans="1:15" ht="12" customHeight="1" x14ac:dyDescent="0.2">
      <c r="A98" s="506" t="s">
        <v>153</v>
      </c>
      <c r="B98" s="196"/>
      <c r="C98" s="194"/>
      <c r="D98" s="194" t="str">
        <f>'Order form'!N247</f>
        <v>HJ-7NP</v>
      </c>
      <c r="E98" s="194" t="s">
        <v>770</v>
      </c>
      <c r="F98" s="188">
        <f>'Order form'!N250</f>
        <v>1.7000000000000002</v>
      </c>
      <c r="G98" s="188">
        <f t="shared" si="10"/>
        <v>0</v>
      </c>
      <c r="H98" s="189">
        <v>0.23100000000000004</v>
      </c>
      <c r="I98" s="190"/>
      <c r="J98" s="190" t="s">
        <v>377</v>
      </c>
      <c r="K98" s="190"/>
      <c r="L98" s="190"/>
      <c r="M98" s="195"/>
      <c r="N98" s="194">
        <f t="shared" si="9"/>
        <v>0</v>
      </c>
      <c r="O98" s="1062"/>
    </row>
    <row r="99" spans="1:15" ht="12" customHeight="1" x14ac:dyDescent="0.2">
      <c r="A99" s="506" t="s">
        <v>153</v>
      </c>
      <c r="B99" s="196"/>
      <c r="C99" s="194"/>
      <c r="D99" s="194" t="str">
        <f>'Order form'!S247</f>
        <v>HJ-7ANP</v>
      </c>
      <c r="E99" s="194" t="s">
        <v>771</v>
      </c>
      <c r="F99" s="188">
        <f>'Order form'!S250</f>
        <v>2</v>
      </c>
      <c r="G99" s="188">
        <f t="shared" si="10"/>
        <v>0</v>
      </c>
      <c r="H99" s="189">
        <v>0.1958</v>
      </c>
      <c r="I99" s="190"/>
      <c r="J99" s="190" t="s">
        <v>377</v>
      </c>
      <c r="K99" s="190"/>
      <c r="L99" s="190"/>
      <c r="M99" s="195"/>
      <c r="N99" s="194">
        <f t="shared" si="9"/>
        <v>0</v>
      </c>
      <c r="O99" s="1062"/>
    </row>
    <row r="100" spans="1:15" ht="12" customHeight="1" x14ac:dyDescent="0.2">
      <c r="A100" s="506" t="s">
        <v>153</v>
      </c>
      <c r="B100" s="196"/>
      <c r="C100" s="194"/>
      <c r="D100" s="194" t="str">
        <f>'Order form'!X247</f>
        <v>HJ-8NP</v>
      </c>
      <c r="E100" s="194" t="s">
        <v>772</v>
      </c>
      <c r="F100" s="188">
        <f>'Order form'!X250</f>
        <v>2.08</v>
      </c>
      <c r="G100" s="188">
        <f t="shared" si="10"/>
        <v>0</v>
      </c>
      <c r="H100" s="189">
        <v>0.30360000000000004</v>
      </c>
      <c r="I100" s="190"/>
      <c r="J100" s="190" t="s">
        <v>377</v>
      </c>
      <c r="K100" s="190"/>
      <c r="L100" s="190"/>
      <c r="M100" s="195"/>
      <c r="N100" s="194">
        <f t="shared" si="9"/>
        <v>0</v>
      </c>
      <c r="O100" s="1062"/>
    </row>
    <row r="101" spans="1:15" ht="12" customHeight="1" x14ac:dyDescent="0.2">
      <c r="A101" s="506" t="s">
        <v>153</v>
      </c>
      <c r="B101" s="196"/>
      <c r="C101" s="194"/>
      <c r="D101" s="194" t="str">
        <f>'Order form'!D258</f>
        <v>HJ-9NP</v>
      </c>
      <c r="E101" s="194" t="s">
        <v>773</v>
      </c>
      <c r="F101" s="188">
        <f>'Order form'!D261</f>
        <v>2.08</v>
      </c>
      <c r="G101" s="188">
        <f t="shared" si="10"/>
        <v>0</v>
      </c>
      <c r="H101" s="189">
        <v>0.29260000000000003</v>
      </c>
      <c r="I101" s="190"/>
      <c r="J101" s="190" t="s">
        <v>377</v>
      </c>
      <c r="K101" s="190"/>
      <c r="L101" s="190"/>
      <c r="M101" s="195"/>
      <c r="N101" s="194">
        <f t="shared" si="9"/>
        <v>0</v>
      </c>
      <c r="O101" s="1062"/>
    </row>
    <row r="102" spans="1:15" ht="12" customHeight="1" x14ac:dyDescent="0.2">
      <c r="A102" s="506" t="s">
        <v>153</v>
      </c>
      <c r="B102" s="196"/>
      <c r="C102" s="194"/>
      <c r="D102" s="194" t="str">
        <f>'Order form'!I258</f>
        <v>HJ-12NP</v>
      </c>
      <c r="E102" s="194" t="s">
        <v>774</v>
      </c>
      <c r="F102" s="188">
        <f>'Order form'!I261</f>
        <v>2.23</v>
      </c>
      <c r="G102" s="188">
        <f t="shared" si="10"/>
        <v>0</v>
      </c>
      <c r="H102" s="189">
        <v>0.31020000000000003</v>
      </c>
      <c r="I102" s="190"/>
      <c r="J102" s="190" t="s">
        <v>377</v>
      </c>
      <c r="K102" s="190"/>
      <c r="L102" s="190"/>
      <c r="M102" s="195"/>
      <c r="N102" s="194">
        <f t="shared" si="9"/>
        <v>0</v>
      </c>
      <c r="O102" s="1062"/>
    </row>
    <row r="103" spans="1:15" ht="12" customHeight="1" x14ac:dyDescent="0.2">
      <c r="A103" s="506" t="s">
        <v>153</v>
      </c>
      <c r="B103" s="196"/>
      <c r="C103" s="194"/>
      <c r="D103" s="194" t="str">
        <f>'Order form'!N258</f>
        <v>HJ-13NP</v>
      </c>
      <c r="E103" s="194" t="s">
        <v>775</v>
      </c>
      <c r="F103" s="188">
        <f>'Order form'!N261</f>
        <v>1.8800000000000001</v>
      </c>
      <c r="G103" s="188">
        <f t="shared" si="10"/>
        <v>0</v>
      </c>
      <c r="H103" s="189">
        <v>0.253</v>
      </c>
      <c r="I103" s="190"/>
      <c r="J103" s="190" t="s">
        <v>377</v>
      </c>
      <c r="K103" s="190"/>
      <c r="L103" s="190"/>
      <c r="M103" s="195"/>
      <c r="N103" s="194">
        <f t="shared" si="9"/>
        <v>0</v>
      </c>
      <c r="O103" s="1063"/>
    </row>
    <row r="104" spans="1:15" ht="12" customHeight="1" x14ac:dyDescent="0.2">
      <c r="A104" s="506" t="s">
        <v>153</v>
      </c>
      <c r="B104" s="196"/>
      <c r="C104" s="194"/>
      <c r="D104" s="194" t="str">
        <f>'Order form'!S258</f>
        <v>HJ-14NP</v>
      </c>
      <c r="E104" s="194" t="s">
        <v>776</v>
      </c>
      <c r="F104" s="188">
        <f>'Order form'!S261</f>
        <v>5.42</v>
      </c>
      <c r="G104" s="188">
        <f t="shared" si="10"/>
        <v>0</v>
      </c>
      <c r="H104" s="189">
        <v>0.84480000000000011</v>
      </c>
      <c r="I104" s="190"/>
      <c r="J104" s="190" t="s">
        <v>377</v>
      </c>
      <c r="K104" s="190"/>
      <c r="L104" s="190"/>
      <c r="M104" s="195"/>
      <c r="N104" s="194">
        <f t="shared" si="9"/>
        <v>0</v>
      </c>
      <c r="O104" s="507"/>
    </row>
    <row r="105" spans="1:15" ht="12" customHeight="1" x14ac:dyDescent="0.2">
      <c r="A105" s="506" t="s">
        <v>153</v>
      </c>
      <c r="B105" s="196"/>
      <c r="C105" s="194"/>
      <c r="D105" s="194" t="str">
        <f>'Order form'!X258</f>
        <v>HJ-15NP</v>
      </c>
      <c r="E105" s="194" t="s">
        <v>777</v>
      </c>
      <c r="F105" s="188">
        <f>'Order form'!X261</f>
        <v>2.1799999999999997</v>
      </c>
      <c r="G105" s="188">
        <f t="shared" si="10"/>
        <v>0</v>
      </c>
      <c r="H105" s="189">
        <v>0.20020000000000002</v>
      </c>
      <c r="I105" s="190"/>
      <c r="J105" s="190" t="s">
        <v>377</v>
      </c>
      <c r="K105" s="190"/>
      <c r="L105" s="190"/>
      <c r="M105" s="195"/>
      <c r="N105" s="194">
        <f t="shared" si="9"/>
        <v>0</v>
      </c>
      <c r="O105" s="507"/>
    </row>
    <row r="106" spans="1:15" ht="12" customHeight="1" x14ac:dyDescent="0.2">
      <c r="A106" s="506" t="s">
        <v>153</v>
      </c>
      <c r="B106" s="196"/>
      <c r="C106" s="194"/>
      <c r="D106" s="194" t="str">
        <f>'Order form'!D269</f>
        <v>HJ-17NP</v>
      </c>
      <c r="E106" s="194" t="s">
        <v>778</v>
      </c>
      <c r="F106" s="188">
        <f>'Order form'!D272</f>
        <v>2.02</v>
      </c>
      <c r="G106" s="188">
        <f t="shared" si="10"/>
        <v>0</v>
      </c>
      <c r="H106" s="189">
        <v>0.32340000000000008</v>
      </c>
      <c r="I106" s="190"/>
      <c r="J106" s="190" t="s">
        <v>377</v>
      </c>
      <c r="K106" s="190"/>
      <c r="L106" s="190"/>
      <c r="M106" s="195"/>
      <c r="N106" s="194">
        <f t="shared" si="9"/>
        <v>0</v>
      </c>
      <c r="O106" s="507"/>
    </row>
    <row r="107" spans="1:15" ht="12" customHeight="1" x14ac:dyDescent="0.2">
      <c r="A107" s="506" t="s">
        <v>153</v>
      </c>
      <c r="B107" s="196"/>
      <c r="C107" s="194"/>
      <c r="D107" s="194" t="str">
        <f>'Order form'!I269</f>
        <v>HJ-23NP</v>
      </c>
      <c r="E107" s="194" t="s">
        <v>941</v>
      </c>
      <c r="F107" s="188">
        <f>'Order form'!I272</f>
        <v>2.5</v>
      </c>
      <c r="G107" s="188">
        <f t="shared" si="10"/>
        <v>0</v>
      </c>
      <c r="H107" s="534">
        <v>0.31900000000000006</v>
      </c>
      <c r="I107" s="190"/>
      <c r="J107" s="190" t="s">
        <v>377</v>
      </c>
      <c r="K107" s="190"/>
      <c r="L107" s="190"/>
      <c r="M107" s="195"/>
      <c r="N107" s="194">
        <f t="shared" si="9"/>
        <v>0</v>
      </c>
      <c r="O107" s="507"/>
    </row>
    <row r="108" spans="1:15" ht="12" customHeight="1" x14ac:dyDescent="0.2">
      <c r="A108" s="506" t="s">
        <v>153</v>
      </c>
      <c r="B108" s="196"/>
      <c r="C108" s="194"/>
      <c r="D108" s="194" t="str">
        <f>'Order form'!N269</f>
        <v>HJ-24NP</v>
      </c>
      <c r="E108" s="194" t="s">
        <v>942</v>
      </c>
      <c r="F108" s="188">
        <f>'Order form'!N272</f>
        <v>2.75</v>
      </c>
      <c r="G108" s="188">
        <f t="shared" si="10"/>
        <v>0</v>
      </c>
      <c r="H108" s="534">
        <v>0.4884</v>
      </c>
      <c r="I108" s="190"/>
      <c r="J108" s="190" t="s">
        <v>377</v>
      </c>
      <c r="K108" s="190"/>
      <c r="L108" s="190"/>
      <c r="M108" s="195"/>
      <c r="N108" s="194">
        <f t="shared" si="9"/>
        <v>0</v>
      </c>
      <c r="O108" s="507"/>
    </row>
    <row r="109" spans="1:15" ht="12" customHeight="1" x14ac:dyDescent="0.2">
      <c r="A109" s="506" t="s">
        <v>153</v>
      </c>
      <c r="B109" s="196"/>
      <c r="C109" s="194"/>
      <c r="D109" s="194" t="str">
        <f>'Order form'!S269</f>
        <v>HJ-90NP</v>
      </c>
      <c r="E109" s="194" t="s">
        <v>779</v>
      </c>
      <c r="F109" s="188">
        <f>'Order form'!S272</f>
        <v>2.8</v>
      </c>
      <c r="G109" s="188">
        <f t="shared" si="10"/>
        <v>0</v>
      </c>
      <c r="H109" s="189">
        <v>0.4884</v>
      </c>
      <c r="I109" s="190"/>
      <c r="J109" s="190" t="s">
        <v>377</v>
      </c>
      <c r="K109" s="190"/>
      <c r="L109" s="190"/>
      <c r="M109" s="195"/>
      <c r="N109" s="194">
        <f t="shared" si="9"/>
        <v>0</v>
      </c>
      <c r="O109" s="507"/>
    </row>
    <row r="110" spans="1:15" s="325" customFormat="1" ht="12.6" customHeight="1" x14ac:dyDescent="0.2">
      <c r="A110" s="318" t="s">
        <v>153</v>
      </c>
      <c r="B110" s="319" t="s">
        <v>422</v>
      </c>
      <c r="C110" s="320">
        <f>'Order form'!F284</f>
        <v>0</v>
      </c>
      <c r="D110" s="320" t="str">
        <f>'Order form'!D282</f>
        <v>AP-ICAP</v>
      </c>
      <c r="E110" s="320" t="s">
        <v>780</v>
      </c>
      <c r="F110" s="321">
        <f>'Order form'!D284</f>
        <v>0.13</v>
      </c>
      <c r="G110" s="321">
        <f t="shared" si="10"/>
        <v>0</v>
      </c>
      <c r="H110" s="322">
        <v>6.6E-3</v>
      </c>
      <c r="I110" s="323">
        <f t="shared" si="4"/>
        <v>0</v>
      </c>
      <c r="J110" s="323" t="s">
        <v>22</v>
      </c>
      <c r="K110" s="323">
        <f>'Order form'!G285</f>
        <v>400</v>
      </c>
      <c r="L110" s="323">
        <f t="shared" ref="L110:L143" si="12">C110/K110</f>
        <v>0</v>
      </c>
      <c r="M110" s="324">
        <f t="shared" ref="M110:M143" si="13">K110*H110</f>
        <v>2.64</v>
      </c>
      <c r="N110" s="194">
        <f t="shared" si="9"/>
        <v>0</v>
      </c>
      <c r="O110" s="1066">
        <f>SUM(G110:G150)</f>
        <v>0</v>
      </c>
    </row>
    <row r="111" spans="1:15" s="325" customFormat="1" ht="12.6" customHeight="1" x14ac:dyDescent="0.2">
      <c r="A111" s="318" t="s">
        <v>153</v>
      </c>
      <c r="B111" s="319" t="s">
        <v>422</v>
      </c>
      <c r="C111" s="320">
        <f>'Order form'!K284</f>
        <v>0</v>
      </c>
      <c r="D111" s="320" t="str">
        <f>'Order form'!I282</f>
        <v>AP-CNNCT</v>
      </c>
      <c r="E111" s="320" t="s">
        <v>781</v>
      </c>
      <c r="F111" s="321">
        <f>'Order form'!I284</f>
        <v>0.95</v>
      </c>
      <c r="G111" s="321">
        <f t="shared" si="10"/>
        <v>0</v>
      </c>
      <c r="H111" s="322">
        <v>7.0000000000000001E-3</v>
      </c>
      <c r="I111" s="323">
        <f t="shared" si="4"/>
        <v>0</v>
      </c>
      <c r="J111" s="323" t="s">
        <v>22</v>
      </c>
      <c r="K111" s="323">
        <f>'Order form'!L285</f>
        <v>100</v>
      </c>
      <c r="L111" s="323">
        <f t="shared" si="12"/>
        <v>0</v>
      </c>
      <c r="M111" s="324">
        <f t="shared" si="13"/>
        <v>0.70000000000000007</v>
      </c>
      <c r="N111" s="194">
        <f t="shared" si="9"/>
        <v>0</v>
      </c>
      <c r="O111" s="1067"/>
    </row>
    <row r="112" spans="1:15" s="325" customFormat="1" ht="12.6" customHeight="1" x14ac:dyDescent="0.2">
      <c r="A112" s="318" t="s">
        <v>153</v>
      </c>
      <c r="B112" s="319" t="s">
        <v>158</v>
      </c>
      <c r="C112" s="320">
        <f>'Order form'!P284</f>
        <v>0</v>
      </c>
      <c r="D112" s="320" t="str">
        <f>'Order form'!N282</f>
        <v>AP-CNNCT2</v>
      </c>
      <c r="E112" s="320" t="s">
        <v>782</v>
      </c>
      <c r="F112" s="321">
        <f>'Order form'!N284</f>
        <v>0.95</v>
      </c>
      <c r="G112" s="321">
        <f t="shared" si="10"/>
        <v>0</v>
      </c>
      <c r="H112" s="322">
        <v>0.1144</v>
      </c>
      <c r="I112" s="323">
        <f t="shared" si="4"/>
        <v>0</v>
      </c>
      <c r="J112" s="323" t="s">
        <v>22</v>
      </c>
      <c r="K112" s="323">
        <f>'Order form'!V285</f>
        <v>150</v>
      </c>
      <c r="L112" s="323">
        <f t="shared" si="12"/>
        <v>0</v>
      </c>
      <c r="M112" s="324">
        <f t="shared" si="13"/>
        <v>17.16</v>
      </c>
      <c r="N112" s="194">
        <f t="shared" si="9"/>
        <v>0</v>
      </c>
      <c r="O112" s="1067"/>
    </row>
    <row r="113" spans="1:15" s="325" customFormat="1" ht="12.6" customHeight="1" x14ac:dyDescent="0.2">
      <c r="A113" s="318" t="s">
        <v>153</v>
      </c>
      <c r="B113" s="319" t="s">
        <v>158</v>
      </c>
      <c r="C113" s="320">
        <f>'Order form'!U284+('Order form'!K174)+('Order form'!P174)+('Order form'!K272)+('Order form'!P272)+('Order form'!K261)+('Order form'!K163)</f>
        <v>0</v>
      </c>
      <c r="D113" s="320" t="str">
        <f>'Order form'!S282</f>
        <v>AP-HINGE</v>
      </c>
      <c r="E113" s="320" t="s">
        <v>783</v>
      </c>
      <c r="F113" s="321">
        <f>'Order form'!S284</f>
        <v>0.25</v>
      </c>
      <c r="G113" s="321">
        <f t="shared" si="10"/>
        <v>0</v>
      </c>
      <c r="H113" s="322">
        <v>0.1144</v>
      </c>
      <c r="I113" s="323">
        <f t="shared" si="4"/>
        <v>0</v>
      </c>
      <c r="J113" s="323" t="s">
        <v>22</v>
      </c>
      <c r="K113" s="323">
        <f>'Order form'!Q285</f>
        <v>100</v>
      </c>
      <c r="L113" s="323">
        <f t="shared" si="12"/>
        <v>0</v>
      </c>
      <c r="M113" s="324">
        <f t="shared" si="13"/>
        <v>11.44</v>
      </c>
      <c r="N113" s="194">
        <f t="shared" si="9"/>
        <v>0</v>
      </c>
      <c r="O113" s="1067"/>
    </row>
    <row r="114" spans="1:15" s="325" customFormat="1" ht="12.6" customHeight="1" x14ac:dyDescent="0.2">
      <c r="A114" s="318" t="s">
        <v>153</v>
      </c>
      <c r="B114" s="319" t="s">
        <v>158</v>
      </c>
      <c r="C114" s="320">
        <f>'Order form'!F295</f>
        <v>0</v>
      </c>
      <c r="D114" s="320" t="str">
        <f>'Order form'!D293</f>
        <v>AF-ILEV</v>
      </c>
      <c r="E114" s="320" t="s">
        <v>784</v>
      </c>
      <c r="F114" s="321">
        <f>'Order form'!D295</f>
        <v>2.4</v>
      </c>
      <c r="G114" s="321">
        <f t="shared" si="10"/>
        <v>0</v>
      </c>
      <c r="H114" s="322">
        <v>0.32119999999999999</v>
      </c>
      <c r="I114" s="323">
        <f t="shared" si="4"/>
        <v>0</v>
      </c>
      <c r="J114" s="323" t="s">
        <v>22</v>
      </c>
      <c r="K114" s="323">
        <f>'Order form'!G296</f>
        <v>100</v>
      </c>
      <c r="L114" s="323">
        <f t="shared" si="12"/>
        <v>0</v>
      </c>
      <c r="M114" s="324">
        <f t="shared" si="13"/>
        <v>32.119999999999997</v>
      </c>
      <c r="N114" s="194">
        <f t="shared" si="9"/>
        <v>0</v>
      </c>
      <c r="O114" s="1067"/>
    </row>
    <row r="115" spans="1:15" s="325" customFormat="1" ht="12.6" customHeight="1" x14ac:dyDescent="0.2">
      <c r="A115" s="318" t="s">
        <v>153</v>
      </c>
      <c r="B115" s="319" t="s">
        <v>158</v>
      </c>
      <c r="C115" s="320">
        <f>'Order form'!K295</f>
        <v>0</v>
      </c>
      <c r="D115" s="320" t="str">
        <f>'Order form'!I293</f>
        <v>AF-OLEV</v>
      </c>
      <c r="E115" s="320" t="s">
        <v>785</v>
      </c>
      <c r="F115" s="321">
        <f>'Order form'!I295</f>
        <v>2.4</v>
      </c>
      <c r="G115" s="321">
        <f t="shared" si="10"/>
        <v>0</v>
      </c>
      <c r="H115" s="322">
        <v>0.28599999999999998</v>
      </c>
      <c r="I115" s="323">
        <f t="shared" si="4"/>
        <v>0</v>
      </c>
      <c r="J115" s="323" t="s">
        <v>22</v>
      </c>
      <c r="K115" s="323">
        <f>'Order form'!L296</f>
        <v>100</v>
      </c>
      <c r="L115" s="323">
        <f t="shared" si="12"/>
        <v>0</v>
      </c>
      <c r="M115" s="324">
        <f t="shared" si="13"/>
        <v>28.599999999999998</v>
      </c>
      <c r="N115" s="194">
        <f t="shared" si="9"/>
        <v>0</v>
      </c>
      <c r="O115" s="1067"/>
    </row>
    <row r="116" spans="1:15" s="325" customFormat="1" ht="12.6" customHeight="1" x14ac:dyDescent="0.2">
      <c r="A116" s="318" t="s">
        <v>153</v>
      </c>
      <c r="B116" s="319" t="s">
        <v>422</v>
      </c>
      <c r="C116" s="320">
        <f>'Order form'!P295</f>
        <v>0</v>
      </c>
      <c r="D116" s="320" t="str">
        <f>'Order form'!N293</f>
        <v>AF-RUB</v>
      </c>
      <c r="E116" s="320" t="s">
        <v>786</v>
      </c>
      <c r="F116" s="321">
        <f>'Order form'!N295</f>
        <v>0.7</v>
      </c>
      <c r="G116" s="321">
        <f t="shared" si="10"/>
        <v>0</v>
      </c>
      <c r="H116" s="322">
        <v>8.2280000000000006E-2</v>
      </c>
      <c r="I116" s="323">
        <f t="shared" si="4"/>
        <v>0</v>
      </c>
      <c r="J116" s="323" t="s">
        <v>22</v>
      </c>
      <c r="K116" s="323">
        <f>'Order form'!Q296</f>
        <v>100</v>
      </c>
      <c r="L116" s="323">
        <f t="shared" si="12"/>
        <v>0</v>
      </c>
      <c r="M116" s="324">
        <f t="shared" si="13"/>
        <v>8.2279999999999998</v>
      </c>
      <c r="N116" s="194">
        <f t="shared" si="9"/>
        <v>0</v>
      </c>
      <c r="O116" s="1067"/>
    </row>
    <row r="117" spans="1:15" s="325" customFormat="1" ht="12.6" customHeight="1" x14ac:dyDescent="0.2">
      <c r="A117" s="318" t="s">
        <v>153</v>
      </c>
      <c r="B117" s="319" t="s">
        <v>158</v>
      </c>
      <c r="C117" s="320">
        <f>'Order form'!U295</f>
        <v>0</v>
      </c>
      <c r="D117" s="320" t="str">
        <f>'Order form'!S293</f>
        <v>AF-OSM</v>
      </c>
      <c r="E117" s="320" t="s">
        <v>787</v>
      </c>
      <c r="F117" s="321">
        <f>'Order form'!S295</f>
        <v>5</v>
      </c>
      <c r="G117" s="321">
        <f t="shared" si="10"/>
        <v>0</v>
      </c>
      <c r="H117" s="322">
        <v>2.2000000000000002</v>
      </c>
      <c r="I117" s="323">
        <f t="shared" si="4"/>
        <v>0</v>
      </c>
      <c r="J117" s="323" t="s">
        <v>22</v>
      </c>
      <c r="K117" s="323">
        <f>'Order form'!V296</f>
        <v>15</v>
      </c>
      <c r="L117" s="323">
        <f t="shared" si="12"/>
        <v>0</v>
      </c>
      <c r="M117" s="324">
        <f t="shared" si="13"/>
        <v>33</v>
      </c>
      <c r="N117" s="194">
        <f t="shared" si="9"/>
        <v>0</v>
      </c>
      <c r="O117" s="1067"/>
    </row>
    <row r="118" spans="1:15" s="325" customFormat="1" ht="12.6" customHeight="1" x14ac:dyDescent="0.2">
      <c r="A118" s="318" t="s">
        <v>153</v>
      </c>
      <c r="B118" s="319" t="s">
        <v>158</v>
      </c>
      <c r="C118" s="320">
        <f>'Order form'!Z295</f>
        <v>0</v>
      </c>
      <c r="D118" s="320" t="str">
        <f>'Order form'!X293</f>
        <v>AF-STACK</v>
      </c>
      <c r="E118" s="320" t="s">
        <v>788</v>
      </c>
      <c r="F118" s="321">
        <f>'Order form'!X295</f>
        <v>5</v>
      </c>
      <c r="G118" s="321">
        <f t="shared" si="10"/>
        <v>0</v>
      </c>
      <c r="H118" s="322">
        <v>0.86899999999999999</v>
      </c>
      <c r="I118" s="323">
        <f t="shared" si="4"/>
        <v>0</v>
      </c>
      <c r="J118" s="323" t="s">
        <v>22</v>
      </c>
      <c r="K118" s="323">
        <f>'Order form'!AA296</f>
        <v>10</v>
      </c>
      <c r="L118" s="323">
        <f t="shared" si="12"/>
        <v>0</v>
      </c>
      <c r="M118" s="324">
        <f t="shared" si="13"/>
        <v>8.69</v>
      </c>
      <c r="N118" s="194">
        <f t="shared" si="9"/>
        <v>0</v>
      </c>
      <c r="O118" s="1067"/>
    </row>
    <row r="119" spans="1:15" s="325" customFormat="1" ht="12.6" customHeight="1" x14ac:dyDescent="0.2">
      <c r="A119" s="318" t="s">
        <v>153</v>
      </c>
      <c r="B119" s="319" t="s">
        <v>422</v>
      </c>
      <c r="C119" s="320">
        <f>'Order form'!F306</f>
        <v>0</v>
      </c>
      <c r="D119" s="320" t="str">
        <f>'Order form'!D304</f>
        <v>AO-SHIM</v>
      </c>
      <c r="E119" s="320" t="s">
        <v>789</v>
      </c>
      <c r="F119" s="321">
        <f>'Order form'!D306</f>
        <v>0.13</v>
      </c>
      <c r="G119" s="321">
        <f t="shared" ref="G119:G129" si="14">F119*C119</f>
        <v>0</v>
      </c>
      <c r="H119" s="322">
        <v>1.0999999999999999E-2</v>
      </c>
      <c r="I119" s="323">
        <f t="shared" ref="I119:I125" si="15">C119*H119</f>
        <v>0</v>
      </c>
      <c r="J119" s="323" t="s">
        <v>22</v>
      </c>
      <c r="K119" s="323">
        <f>'Order form'!G307</f>
        <v>300</v>
      </c>
      <c r="L119" s="323">
        <f t="shared" si="12"/>
        <v>0</v>
      </c>
      <c r="M119" s="324">
        <f t="shared" si="13"/>
        <v>3.3</v>
      </c>
      <c r="N119" s="194">
        <f t="shared" si="9"/>
        <v>0</v>
      </c>
      <c r="O119" s="1067"/>
    </row>
    <row r="120" spans="1:15" s="325" customFormat="1" ht="12.6" customHeight="1" x14ac:dyDescent="0.2">
      <c r="A120" s="318" t="s">
        <v>153</v>
      </c>
      <c r="B120" s="319" t="s">
        <v>422</v>
      </c>
      <c r="C120" s="320">
        <f>'Order form'!K306</f>
        <v>0</v>
      </c>
      <c r="D120" s="320" t="str">
        <f>'Order form'!I304</f>
        <v>AO-CLIP</v>
      </c>
      <c r="E120" s="320" t="s">
        <v>790</v>
      </c>
      <c r="F120" s="321">
        <f>'Order form'!I306</f>
        <v>0.5</v>
      </c>
      <c r="G120" s="321">
        <f t="shared" si="14"/>
        <v>0</v>
      </c>
      <c r="H120" s="322">
        <v>2.86E-2</v>
      </c>
      <c r="I120" s="323">
        <f t="shared" si="15"/>
        <v>0</v>
      </c>
      <c r="J120" s="323" t="s">
        <v>22</v>
      </c>
      <c r="K120" s="323">
        <f>'Order form'!L307</f>
        <v>100</v>
      </c>
      <c r="L120" s="323">
        <f t="shared" si="12"/>
        <v>0</v>
      </c>
      <c r="M120" s="324">
        <f t="shared" si="13"/>
        <v>2.86</v>
      </c>
      <c r="N120" s="194">
        <f t="shared" si="9"/>
        <v>0</v>
      </c>
      <c r="O120" s="1067"/>
    </row>
    <row r="121" spans="1:15" s="325" customFormat="1" ht="12.6" customHeight="1" x14ac:dyDescent="0.2">
      <c r="A121" s="318" t="s">
        <v>153</v>
      </c>
      <c r="B121" s="319" t="s">
        <v>158</v>
      </c>
      <c r="C121" s="320">
        <f>'Order form'!P306</f>
        <v>0</v>
      </c>
      <c r="D121" s="320" t="str">
        <f>'Order form'!N304</f>
        <v>AO-EMT1</v>
      </c>
      <c r="E121" s="320" t="s">
        <v>792</v>
      </c>
      <c r="F121" s="321">
        <f>'Order form'!N306</f>
        <v>0.2</v>
      </c>
      <c r="G121" s="321">
        <f t="shared" si="14"/>
        <v>0</v>
      </c>
      <c r="H121" s="322">
        <v>4.3999999999999997E-2</v>
      </c>
      <c r="I121" s="323">
        <f t="shared" si="15"/>
        <v>0</v>
      </c>
      <c r="J121" s="323" t="s">
        <v>22</v>
      </c>
      <c r="K121" s="323">
        <f>'Order form'!Q307</f>
        <v>230</v>
      </c>
      <c r="L121" s="323">
        <f t="shared" si="12"/>
        <v>0</v>
      </c>
      <c r="M121" s="324">
        <f t="shared" si="13"/>
        <v>10.119999999999999</v>
      </c>
      <c r="N121" s="194">
        <f t="shared" si="9"/>
        <v>0</v>
      </c>
      <c r="O121" s="1067"/>
    </row>
    <row r="122" spans="1:15" s="325" customFormat="1" ht="12.6" customHeight="1" x14ac:dyDescent="0.2">
      <c r="A122" s="318" t="s">
        <v>153</v>
      </c>
      <c r="B122" s="319" t="s">
        <v>158</v>
      </c>
      <c r="C122" s="320">
        <f>'Order form'!U306</f>
        <v>0</v>
      </c>
      <c r="D122" s="320" t="str">
        <f>'Order form'!S304</f>
        <v>AO-EMT2</v>
      </c>
      <c r="E122" s="320" t="s">
        <v>793</v>
      </c>
      <c r="F122" s="321">
        <f>'Order form'!S306</f>
        <v>0.23</v>
      </c>
      <c r="G122" s="321">
        <f t="shared" si="14"/>
        <v>0</v>
      </c>
      <c r="H122" s="322">
        <v>5.7000000000000002E-2</v>
      </c>
      <c r="I122" s="323">
        <f t="shared" si="15"/>
        <v>0</v>
      </c>
      <c r="J122" s="323" t="s">
        <v>22</v>
      </c>
      <c r="K122" s="323">
        <f>'Order form'!V307</f>
        <v>200</v>
      </c>
      <c r="L122" s="323">
        <f t="shared" si="12"/>
        <v>0</v>
      </c>
      <c r="M122" s="324">
        <f t="shared" si="13"/>
        <v>11.4</v>
      </c>
      <c r="N122" s="194">
        <f t="shared" si="9"/>
        <v>0</v>
      </c>
      <c r="O122" s="1067"/>
    </row>
    <row r="123" spans="1:15" s="325" customFormat="1" ht="12.6" customHeight="1" x14ac:dyDescent="0.2">
      <c r="A123" s="318" t="s">
        <v>153</v>
      </c>
      <c r="B123" s="319" t="s">
        <v>158</v>
      </c>
      <c r="C123" s="320">
        <f>'Order form'!F317</f>
        <v>0</v>
      </c>
      <c r="D123" s="320" t="str">
        <f>'Order form'!D315</f>
        <v>AI-CORNER</v>
      </c>
      <c r="E123" s="320" t="s">
        <v>794</v>
      </c>
      <c r="F123" s="321">
        <f>'Order form'!D317</f>
        <v>0.9</v>
      </c>
      <c r="G123" s="321">
        <f t="shared" si="14"/>
        <v>0</v>
      </c>
      <c r="H123" s="322">
        <v>0.15840000000000001</v>
      </c>
      <c r="I123" s="323">
        <f t="shared" si="15"/>
        <v>0</v>
      </c>
      <c r="J123" s="323" t="s">
        <v>22</v>
      </c>
      <c r="K123" s="323">
        <f>'Order form'!G318</f>
        <v>60</v>
      </c>
      <c r="L123" s="323">
        <f t="shared" si="12"/>
        <v>0</v>
      </c>
      <c r="M123" s="324">
        <f t="shared" si="13"/>
        <v>9.5040000000000013</v>
      </c>
      <c r="N123" s="194">
        <f t="shared" si="9"/>
        <v>0</v>
      </c>
      <c r="O123" s="1067"/>
    </row>
    <row r="124" spans="1:15" s="325" customFormat="1" ht="12.6" customHeight="1" x14ac:dyDescent="0.2">
      <c r="A124" s="318" t="s">
        <v>153</v>
      </c>
      <c r="B124" s="319" t="s">
        <v>158</v>
      </c>
      <c r="C124" s="320">
        <f>'Order form'!K317</f>
        <v>0</v>
      </c>
      <c r="D124" s="320" t="str">
        <f>'Order form'!I315</f>
        <v>AI-SUPPORT</v>
      </c>
      <c r="E124" s="320" t="s">
        <v>802</v>
      </c>
      <c r="F124" s="321">
        <f>'Order form'!I317</f>
        <v>0.8</v>
      </c>
      <c r="G124" s="321">
        <f t="shared" si="14"/>
        <v>0</v>
      </c>
      <c r="H124" s="322">
        <v>0.154</v>
      </c>
      <c r="I124" s="323">
        <f t="shared" si="15"/>
        <v>0</v>
      </c>
      <c r="J124" s="323" t="s">
        <v>22</v>
      </c>
      <c r="K124" s="323">
        <f>'Order form'!L318</f>
        <v>100</v>
      </c>
      <c r="L124" s="323">
        <f t="shared" si="12"/>
        <v>0</v>
      </c>
      <c r="M124" s="324">
        <f t="shared" si="13"/>
        <v>15.4</v>
      </c>
      <c r="N124" s="194">
        <f t="shared" si="9"/>
        <v>0</v>
      </c>
      <c r="O124" s="1067"/>
    </row>
    <row r="125" spans="1:15" s="325" customFormat="1" ht="12.6" customHeight="1" x14ac:dyDescent="0.2">
      <c r="A125" s="318" t="s">
        <v>153</v>
      </c>
      <c r="B125" s="319" t="s">
        <v>158</v>
      </c>
      <c r="C125" s="320">
        <f>'Order form'!P317</f>
        <v>0</v>
      </c>
      <c r="D125" s="320" t="str">
        <f>'Order form'!N315</f>
        <v>AI-CENTER</v>
      </c>
      <c r="E125" s="320" t="s">
        <v>803</v>
      </c>
      <c r="F125" s="321">
        <f>'Order form'!N317</f>
        <v>1.8</v>
      </c>
      <c r="G125" s="321">
        <f t="shared" si="14"/>
        <v>0</v>
      </c>
      <c r="H125" s="322">
        <v>0.29039999999999999</v>
      </c>
      <c r="I125" s="323">
        <f t="shared" si="15"/>
        <v>0</v>
      </c>
      <c r="J125" s="323" t="s">
        <v>22</v>
      </c>
      <c r="K125" s="323">
        <f>'Order form'!Q318</f>
        <v>60</v>
      </c>
      <c r="L125" s="323">
        <f t="shared" si="12"/>
        <v>0</v>
      </c>
      <c r="M125" s="324">
        <f t="shared" si="13"/>
        <v>17.423999999999999</v>
      </c>
      <c r="N125" s="194">
        <f t="shared" si="9"/>
        <v>0</v>
      </c>
      <c r="O125" s="1067"/>
    </row>
    <row r="126" spans="1:15" s="325" customFormat="1" ht="12.6" customHeight="1" x14ac:dyDescent="0.2">
      <c r="A126" s="318" t="s">
        <v>153</v>
      </c>
      <c r="B126" s="319" t="s">
        <v>158</v>
      </c>
      <c r="C126" s="320">
        <f>'Order form'!U317</f>
        <v>0</v>
      </c>
      <c r="D126" s="320" t="str">
        <f>'Order form'!S315</f>
        <v>AP-HOLE</v>
      </c>
      <c r="E126" s="320" t="s">
        <v>943</v>
      </c>
      <c r="F126" s="321">
        <f>'Order form'!S317</f>
        <v>1.9</v>
      </c>
      <c r="G126" s="321">
        <f t="shared" si="14"/>
        <v>0</v>
      </c>
      <c r="H126" s="322">
        <v>0.19800000000000001</v>
      </c>
      <c r="I126" s="323">
        <f t="shared" ref="I126:I131" si="16">C126*H126</f>
        <v>0</v>
      </c>
      <c r="J126" s="323" t="s">
        <v>22</v>
      </c>
      <c r="K126" s="323">
        <f>'Order form'!V318</f>
        <v>165</v>
      </c>
      <c r="L126" s="323">
        <f t="shared" si="12"/>
        <v>0</v>
      </c>
      <c r="M126" s="324">
        <f t="shared" si="13"/>
        <v>32.67</v>
      </c>
      <c r="N126" s="194">
        <f t="shared" si="9"/>
        <v>0</v>
      </c>
      <c r="O126" s="1067"/>
    </row>
    <row r="127" spans="1:15" s="325" customFormat="1" ht="12.6" customHeight="1" x14ac:dyDescent="0.2">
      <c r="A127" s="318" t="s">
        <v>153</v>
      </c>
      <c r="B127" s="319" t="s">
        <v>158</v>
      </c>
      <c r="C127" s="320">
        <f>'Order form'!Z317</f>
        <v>0</v>
      </c>
      <c r="D127" s="320" t="str">
        <f>'Order form'!X315</f>
        <v>AP-SLEEVE</v>
      </c>
      <c r="E127" s="320" t="s">
        <v>944</v>
      </c>
      <c r="F127" s="321">
        <f>'Order form'!X317</f>
        <v>2.25</v>
      </c>
      <c r="G127" s="321">
        <f t="shared" si="14"/>
        <v>0</v>
      </c>
      <c r="H127" s="322">
        <v>0.35299999999999998</v>
      </c>
      <c r="I127" s="323">
        <f t="shared" si="16"/>
        <v>0</v>
      </c>
      <c r="J127" s="323" t="s">
        <v>22</v>
      </c>
      <c r="K127" s="323">
        <f>'Order form'!AA318</f>
        <v>90</v>
      </c>
      <c r="L127" s="323">
        <f t="shared" si="12"/>
        <v>0</v>
      </c>
      <c r="M127" s="324">
        <f t="shared" si="13"/>
        <v>31.77</v>
      </c>
      <c r="N127" s="194">
        <f t="shared" si="9"/>
        <v>0</v>
      </c>
      <c r="O127" s="1067"/>
    </row>
    <row r="128" spans="1:15" s="325" customFormat="1" ht="12.6" customHeight="1" x14ac:dyDescent="0.2">
      <c r="A128" s="318" t="s">
        <v>153</v>
      </c>
      <c r="B128" s="319" t="s">
        <v>422</v>
      </c>
      <c r="C128" s="320">
        <f>'Order form'!F328</f>
        <v>0</v>
      </c>
      <c r="D128" s="320" t="str">
        <f>'Order form'!D326</f>
        <v>AS-DIVIDER</v>
      </c>
      <c r="E128" s="320" t="s">
        <v>791</v>
      </c>
      <c r="F128" s="321">
        <f>'Order form'!D328</f>
        <v>1</v>
      </c>
      <c r="G128" s="321">
        <f t="shared" si="14"/>
        <v>0</v>
      </c>
      <c r="H128" s="322">
        <v>1.9800000000000002E-2</v>
      </c>
      <c r="I128" s="323">
        <f t="shared" si="16"/>
        <v>0</v>
      </c>
      <c r="J128" s="323" t="s">
        <v>22</v>
      </c>
      <c r="K128" s="323">
        <f>'Order form'!G329</f>
        <v>200</v>
      </c>
      <c r="L128" s="323">
        <f t="shared" si="12"/>
        <v>0</v>
      </c>
      <c r="M128" s="324">
        <f t="shared" si="13"/>
        <v>3.9600000000000004</v>
      </c>
      <c r="N128" s="194">
        <f t="shared" si="9"/>
        <v>0</v>
      </c>
      <c r="O128" s="1067"/>
    </row>
    <row r="129" spans="1:15" s="325" customFormat="1" ht="12.6" customHeight="1" x14ac:dyDescent="0.2">
      <c r="A129" s="318" t="s">
        <v>153</v>
      </c>
      <c r="B129" s="319" t="s">
        <v>158</v>
      </c>
      <c r="C129" s="320">
        <f>'Order form'!K328</f>
        <v>0</v>
      </c>
      <c r="D129" s="320" t="str">
        <f>'Order form'!I326</f>
        <v>AS-SWIVEL</v>
      </c>
      <c r="E129" s="320" t="s">
        <v>795</v>
      </c>
      <c r="F129" s="321">
        <f>'Order form'!I328</f>
        <v>6.5</v>
      </c>
      <c r="G129" s="321">
        <f t="shared" si="14"/>
        <v>0</v>
      </c>
      <c r="H129" s="322">
        <v>0.50600000000000001</v>
      </c>
      <c r="I129" s="323">
        <f t="shared" si="16"/>
        <v>0</v>
      </c>
      <c r="J129" s="323" t="s">
        <v>22</v>
      </c>
      <c r="K129" s="323">
        <f>'Order form'!L329</f>
        <v>100</v>
      </c>
      <c r="L129" s="323">
        <f t="shared" si="12"/>
        <v>0</v>
      </c>
      <c r="M129" s="324">
        <f t="shared" si="13"/>
        <v>50.6</v>
      </c>
      <c r="N129" s="194">
        <f t="shared" si="9"/>
        <v>0</v>
      </c>
      <c r="O129" s="1067"/>
    </row>
    <row r="130" spans="1:15" s="325" customFormat="1" ht="12.6" customHeight="1" x14ac:dyDescent="0.2">
      <c r="A130" s="318" t="s">
        <v>153</v>
      </c>
      <c r="B130" s="319" t="s">
        <v>158</v>
      </c>
      <c r="C130" s="320">
        <f>'Order form'!P328</f>
        <v>0</v>
      </c>
      <c r="D130" s="320" t="str">
        <f>'Order form'!N326</f>
        <v>AS-REST</v>
      </c>
      <c r="E130" s="320" t="s">
        <v>796</v>
      </c>
      <c r="F130" s="321">
        <f>'Order form'!N328</f>
        <v>3</v>
      </c>
      <c r="G130" s="321">
        <f t="shared" si="10"/>
        <v>0</v>
      </c>
      <c r="H130" s="322">
        <v>0.1386</v>
      </c>
      <c r="I130" s="323">
        <f t="shared" si="16"/>
        <v>0</v>
      </c>
      <c r="J130" s="323" t="s">
        <v>22</v>
      </c>
      <c r="K130" s="323">
        <f>'Order form'!Q329</f>
        <v>105</v>
      </c>
      <c r="L130" s="323">
        <f t="shared" si="12"/>
        <v>0</v>
      </c>
      <c r="M130" s="324">
        <f t="shared" si="13"/>
        <v>14.553000000000001</v>
      </c>
      <c r="N130" s="194">
        <f t="shared" si="9"/>
        <v>0</v>
      </c>
      <c r="O130" s="1067"/>
    </row>
    <row r="131" spans="1:15" s="325" customFormat="1" ht="12.6" customHeight="1" x14ac:dyDescent="0.2">
      <c r="A131" s="318" t="s">
        <v>153</v>
      </c>
      <c r="B131" s="319" t="s">
        <v>158</v>
      </c>
      <c r="C131" s="320">
        <f>'Order form'!U328</f>
        <v>0</v>
      </c>
      <c r="D131" s="320" t="str">
        <f>'Order form'!S326</f>
        <v>AS-UREST</v>
      </c>
      <c r="E131" s="320" t="s">
        <v>945</v>
      </c>
      <c r="F131" s="321">
        <f>'Order form'!S328</f>
        <v>3.1</v>
      </c>
      <c r="G131" s="321">
        <f t="shared" si="10"/>
        <v>0</v>
      </c>
      <c r="H131" s="322">
        <v>0.26600000000000001</v>
      </c>
      <c r="I131" s="323">
        <f t="shared" si="16"/>
        <v>0</v>
      </c>
      <c r="J131" s="323" t="s">
        <v>22</v>
      </c>
      <c r="K131" s="323">
        <f>'Order form'!V329</f>
        <v>105</v>
      </c>
      <c r="L131" s="323">
        <f t="shared" si="12"/>
        <v>0</v>
      </c>
      <c r="M131" s="324">
        <f t="shared" si="13"/>
        <v>27.93</v>
      </c>
      <c r="N131" s="194">
        <f t="shared" si="9"/>
        <v>0</v>
      </c>
      <c r="O131" s="1067"/>
    </row>
    <row r="132" spans="1:15" s="325" customFormat="1" ht="12.6" customHeight="1" x14ac:dyDescent="0.2">
      <c r="A132" s="318" t="s">
        <v>153</v>
      </c>
      <c r="B132" s="319" t="s">
        <v>158</v>
      </c>
      <c r="C132" s="320">
        <f>'Order form'!F339</f>
        <v>0</v>
      </c>
      <c r="D132" s="320" t="str">
        <f>'Order form'!D337</f>
        <v>AC-SKID</v>
      </c>
      <c r="E132" s="320" t="s">
        <v>798</v>
      </c>
      <c r="F132" s="321">
        <f>'Order form'!D339</f>
        <v>3.5</v>
      </c>
      <c r="G132" s="321">
        <f t="shared" si="10"/>
        <v>0</v>
      </c>
      <c r="H132" s="322">
        <v>0.60499999999999998</v>
      </c>
      <c r="I132" s="323">
        <f t="shared" si="4"/>
        <v>0</v>
      </c>
      <c r="J132" s="323" t="s">
        <v>22</v>
      </c>
      <c r="K132" s="323">
        <f>'Order form'!G340</f>
        <v>20</v>
      </c>
      <c r="L132" s="323">
        <f t="shared" si="12"/>
        <v>0</v>
      </c>
      <c r="M132" s="324">
        <f t="shared" si="13"/>
        <v>12.1</v>
      </c>
      <c r="N132" s="194">
        <f t="shared" si="9"/>
        <v>0</v>
      </c>
      <c r="O132" s="1067"/>
    </row>
    <row r="133" spans="1:15" s="325" customFormat="1" ht="12.6" customHeight="1" x14ac:dyDescent="0.2">
      <c r="A133" s="318" t="s">
        <v>153</v>
      </c>
      <c r="B133" s="319" t="s">
        <v>158</v>
      </c>
      <c r="C133" s="320">
        <f>'Order form'!K339</f>
        <v>0</v>
      </c>
      <c r="D133" s="320" t="str">
        <f>'Order form'!I337</f>
        <v>AC-STRAP</v>
      </c>
      <c r="E133" s="320" t="s">
        <v>799</v>
      </c>
      <c r="F133" s="321">
        <f>'Order form'!I339</f>
        <v>7.25</v>
      </c>
      <c r="G133" s="321">
        <f t="shared" si="10"/>
        <v>0</v>
      </c>
      <c r="H133" s="322">
        <v>0.31900000000000001</v>
      </c>
      <c r="I133" s="323">
        <f t="shared" si="4"/>
        <v>0</v>
      </c>
      <c r="J133" s="323" t="s">
        <v>22</v>
      </c>
      <c r="K133" s="323">
        <f>'Order form'!L340</f>
        <v>50</v>
      </c>
      <c r="L133" s="323">
        <f t="shared" si="12"/>
        <v>0</v>
      </c>
      <c r="M133" s="324">
        <f t="shared" si="13"/>
        <v>15.950000000000001</v>
      </c>
      <c r="N133" s="194">
        <f t="shared" si="9"/>
        <v>0</v>
      </c>
      <c r="O133" s="1067"/>
    </row>
    <row r="134" spans="1:15" s="325" customFormat="1" ht="12.6" customHeight="1" x14ac:dyDescent="0.2">
      <c r="A134" s="318" t="s">
        <v>153</v>
      </c>
      <c r="B134" s="319" t="s">
        <v>422</v>
      </c>
      <c r="C134" s="320">
        <f>'Order form'!P339</f>
        <v>0</v>
      </c>
      <c r="D134" s="320" t="str">
        <f>'Order form'!N337</f>
        <v>AL-TAG1</v>
      </c>
      <c r="E134" s="320" t="s">
        <v>800</v>
      </c>
      <c r="F134" s="321">
        <f>'Order form'!N339</f>
        <v>1.5</v>
      </c>
      <c r="G134" s="321">
        <f t="shared" si="10"/>
        <v>0</v>
      </c>
      <c r="H134" s="322">
        <v>6.1600000000000002E-2</v>
      </c>
      <c r="I134" s="323">
        <f t="shared" si="4"/>
        <v>0</v>
      </c>
      <c r="J134" s="323" t="s">
        <v>22</v>
      </c>
      <c r="K134" s="323">
        <f>'Order form'!Q340</f>
        <v>45</v>
      </c>
      <c r="L134" s="323">
        <f t="shared" si="12"/>
        <v>0</v>
      </c>
      <c r="M134" s="324">
        <f t="shared" si="13"/>
        <v>2.7720000000000002</v>
      </c>
      <c r="N134" s="194">
        <f t="shared" si="9"/>
        <v>0</v>
      </c>
      <c r="O134" s="1067"/>
    </row>
    <row r="135" spans="1:15" s="325" customFormat="1" ht="12.6" customHeight="1" x14ac:dyDescent="0.2">
      <c r="A135" s="318" t="s">
        <v>153</v>
      </c>
      <c r="B135" s="319" t="s">
        <v>422</v>
      </c>
      <c r="C135" s="320">
        <f>'Order form'!U339</f>
        <v>0</v>
      </c>
      <c r="D135" s="320" t="str">
        <f>'Order form'!S337</f>
        <v>AL-TAG2</v>
      </c>
      <c r="E135" s="320" t="s">
        <v>801</v>
      </c>
      <c r="F135" s="321">
        <f>'Order form'!S339</f>
        <v>1.5</v>
      </c>
      <c r="G135" s="321">
        <f t="shared" si="10"/>
        <v>0</v>
      </c>
      <c r="H135" s="322">
        <v>8.6019999999999999E-2</v>
      </c>
      <c r="I135" s="323">
        <f t="shared" ref="I135:I136" si="17">C135*H135</f>
        <v>0</v>
      </c>
      <c r="J135" s="323" t="s">
        <v>22</v>
      </c>
      <c r="K135" s="323">
        <f>'Order form'!V340</f>
        <v>90</v>
      </c>
      <c r="L135" s="323">
        <f t="shared" si="12"/>
        <v>0</v>
      </c>
      <c r="M135" s="324">
        <f t="shared" si="13"/>
        <v>7.7417999999999996</v>
      </c>
      <c r="N135" s="194">
        <f t="shared" si="9"/>
        <v>0</v>
      </c>
      <c r="O135" s="1067"/>
    </row>
    <row r="136" spans="1:15" s="325" customFormat="1" ht="12.6" customHeight="1" x14ac:dyDescent="0.2">
      <c r="A136" s="318" t="s">
        <v>153</v>
      </c>
      <c r="B136" s="319" t="s">
        <v>422</v>
      </c>
      <c r="C136" s="320">
        <f>'Order form'!Z339</f>
        <v>0</v>
      </c>
      <c r="D136" s="320" t="str">
        <f>'Order form'!X337</f>
        <v>AC-BUMPER</v>
      </c>
      <c r="E136" s="320" t="s">
        <v>806</v>
      </c>
      <c r="F136" s="321">
        <f>'Order form'!X339</f>
        <v>3.95</v>
      </c>
      <c r="G136" s="321">
        <f t="shared" si="10"/>
        <v>0</v>
      </c>
      <c r="H136" s="322">
        <v>9.9000000000000005E-2</v>
      </c>
      <c r="I136" s="323">
        <f t="shared" si="17"/>
        <v>0</v>
      </c>
      <c r="J136" s="323" t="s">
        <v>22</v>
      </c>
      <c r="K136" s="323">
        <f>'Order form'!AA340</f>
        <v>100</v>
      </c>
      <c r="L136" s="323">
        <f t="shared" si="12"/>
        <v>0</v>
      </c>
      <c r="M136" s="324">
        <f t="shared" si="13"/>
        <v>9.9</v>
      </c>
      <c r="N136" s="194">
        <f t="shared" si="9"/>
        <v>0</v>
      </c>
      <c r="O136" s="1067"/>
    </row>
    <row r="137" spans="1:15" s="325" customFormat="1" ht="12.6" customHeight="1" x14ac:dyDescent="0.2">
      <c r="A137" s="318" t="s">
        <v>153</v>
      </c>
      <c r="B137" s="319" t="s">
        <v>158</v>
      </c>
      <c r="C137" s="320">
        <f>'Order form'!F350</f>
        <v>0</v>
      </c>
      <c r="D137" s="320" t="str">
        <f>'Order form'!D348</f>
        <v>AW-HOOK</v>
      </c>
      <c r="E137" s="320" t="s">
        <v>807</v>
      </c>
      <c r="F137" s="321">
        <f>'Order form'!D350</f>
        <v>0.9</v>
      </c>
      <c r="G137" s="321">
        <f t="shared" si="10"/>
        <v>0</v>
      </c>
      <c r="H137" s="322">
        <v>4.3999999999999997E-2</v>
      </c>
      <c r="I137" s="323">
        <f t="shared" ref="I137:I174" si="18">C137*H137</f>
        <v>0</v>
      </c>
      <c r="J137" s="323" t="s">
        <v>22</v>
      </c>
      <c r="K137" s="323">
        <f>'Order form'!G351</f>
        <v>200</v>
      </c>
      <c r="L137" s="323">
        <f t="shared" si="12"/>
        <v>0</v>
      </c>
      <c r="M137" s="324">
        <f t="shared" si="13"/>
        <v>8.7999999999999989</v>
      </c>
      <c r="N137" s="194">
        <f t="shared" si="9"/>
        <v>0</v>
      </c>
      <c r="O137" s="1067"/>
    </row>
    <row r="138" spans="1:15" s="325" customFormat="1" ht="12.6" customHeight="1" x14ac:dyDescent="0.2">
      <c r="A138" s="318" t="s">
        <v>153</v>
      </c>
      <c r="B138" s="319" t="s">
        <v>158</v>
      </c>
      <c r="C138" s="320">
        <f>'Order form'!K350</f>
        <v>0</v>
      </c>
      <c r="D138" s="320" t="str">
        <f>'Order form'!I348</f>
        <v>AW-HANGER</v>
      </c>
      <c r="E138" s="320" t="s">
        <v>808</v>
      </c>
      <c r="F138" s="321">
        <f>'Order form'!I350</f>
        <v>2.5</v>
      </c>
      <c r="G138" s="321">
        <f t="shared" si="10"/>
        <v>0</v>
      </c>
      <c r="H138" s="322">
        <v>0.2288</v>
      </c>
      <c r="I138" s="323">
        <f t="shared" si="18"/>
        <v>0</v>
      </c>
      <c r="J138" s="323" t="s">
        <v>22</v>
      </c>
      <c r="K138" s="330">
        <f>'Order form'!L351</f>
        <v>40</v>
      </c>
      <c r="L138" s="323">
        <f t="shared" si="12"/>
        <v>0</v>
      </c>
      <c r="M138" s="324">
        <f t="shared" si="13"/>
        <v>9.152000000000001</v>
      </c>
      <c r="N138" s="194">
        <f t="shared" si="9"/>
        <v>0</v>
      </c>
      <c r="O138" s="1067"/>
    </row>
    <row r="139" spans="1:15" s="325" customFormat="1" ht="12.6" customHeight="1" x14ac:dyDescent="0.2">
      <c r="A139" s="318" t="s">
        <v>153</v>
      </c>
      <c r="B139" s="319" t="s">
        <v>158</v>
      </c>
      <c r="C139" s="320">
        <f>'Order form'!P350</f>
        <v>0</v>
      </c>
      <c r="D139" s="320" t="str">
        <f>'Order form'!N348</f>
        <v>AW-HOLDER</v>
      </c>
      <c r="E139" s="320" t="s">
        <v>809</v>
      </c>
      <c r="F139" s="321">
        <f>'Order form'!N350</f>
        <v>9</v>
      </c>
      <c r="G139" s="321">
        <f t="shared" si="10"/>
        <v>0</v>
      </c>
      <c r="H139" s="331">
        <v>0.374</v>
      </c>
      <c r="I139" s="323">
        <f t="shared" si="18"/>
        <v>0</v>
      </c>
      <c r="J139" s="323" t="s">
        <v>22</v>
      </c>
      <c r="K139" s="330">
        <f>'Order form'!Q351</f>
        <v>20</v>
      </c>
      <c r="L139" s="323">
        <f t="shared" si="12"/>
        <v>0</v>
      </c>
      <c r="M139" s="324">
        <f t="shared" si="13"/>
        <v>7.48</v>
      </c>
      <c r="N139" s="194">
        <f t="shared" si="9"/>
        <v>0</v>
      </c>
      <c r="O139" s="1067"/>
    </row>
    <row r="140" spans="1:15" s="325" customFormat="1" ht="12.6" customHeight="1" x14ac:dyDescent="0.2">
      <c r="A140" s="318" t="s">
        <v>154</v>
      </c>
      <c r="B140" s="319" t="s">
        <v>595</v>
      </c>
      <c r="C140" s="320">
        <f>'Order form'!U350</f>
        <v>0</v>
      </c>
      <c r="D140" s="320" t="str">
        <f>'Order form'!S348</f>
        <v>L-M77012</v>
      </c>
      <c r="E140" s="320" t="s">
        <v>810</v>
      </c>
      <c r="F140" s="321">
        <f>'Order form'!S350</f>
        <v>1375</v>
      </c>
      <c r="G140" s="321">
        <f t="shared" si="10"/>
        <v>0</v>
      </c>
      <c r="H140" s="331">
        <v>37</v>
      </c>
      <c r="I140" s="323">
        <f t="shared" si="18"/>
        <v>0</v>
      </c>
      <c r="J140" s="323" t="s">
        <v>22</v>
      </c>
      <c r="K140" s="330">
        <v>1</v>
      </c>
      <c r="L140" s="323">
        <f t="shared" si="12"/>
        <v>0</v>
      </c>
      <c r="M140" s="324">
        <f t="shared" si="13"/>
        <v>37</v>
      </c>
      <c r="N140" s="194">
        <f t="shared" si="9"/>
        <v>0</v>
      </c>
      <c r="O140" s="1067"/>
    </row>
    <row r="141" spans="1:15" s="325" customFormat="1" ht="12.6" customHeight="1" x14ac:dyDescent="0.2">
      <c r="A141" s="318" t="s">
        <v>154</v>
      </c>
      <c r="B141" s="319" t="s">
        <v>595</v>
      </c>
      <c r="C141" s="320">
        <f>'Order form'!Z350</f>
        <v>0</v>
      </c>
      <c r="D141" s="320" t="str">
        <f>'Order form'!X348</f>
        <v>L-C77012</v>
      </c>
      <c r="E141" s="320" t="s">
        <v>811</v>
      </c>
      <c r="F141" s="321">
        <f>'Order form'!X350</f>
        <v>930</v>
      </c>
      <c r="G141" s="321">
        <f t="shared" si="10"/>
        <v>0</v>
      </c>
      <c r="H141" s="322">
        <v>30</v>
      </c>
      <c r="I141" s="323">
        <f t="shared" si="18"/>
        <v>0</v>
      </c>
      <c r="J141" s="323" t="s">
        <v>22</v>
      </c>
      <c r="K141" s="330">
        <f>'Order form'!V351</f>
        <v>1</v>
      </c>
      <c r="L141" s="323">
        <f t="shared" si="12"/>
        <v>0</v>
      </c>
      <c r="M141" s="324">
        <f t="shared" si="13"/>
        <v>30</v>
      </c>
      <c r="N141" s="194">
        <f t="shared" si="9"/>
        <v>0</v>
      </c>
      <c r="O141" s="1067"/>
    </row>
    <row r="142" spans="1:15" s="325" customFormat="1" x14ac:dyDescent="0.2">
      <c r="A142" s="318" t="s">
        <v>511</v>
      </c>
      <c r="B142" s="319" t="s">
        <v>158</v>
      </c>
      <c r="C142" s="320">
        <f>'Order form'!F361</f>
        <v>0</v>
      </c>
      <c r="D142" s="320" t="str">
        <f>'Order form'!D359</f>
        <v>FL-COU14-100lbs</v>
      </c>
      <c r="E142" s="320" t="s">
        <v>873</v>
      </c>
      <c r="F142" s="321">
        <f>'Order form'!D361</f>
        <v>24</v>
      </c>
      <c r="G142" s="321">
        <f t="shared" si="10"/>
        <v>0</v>
      </c>
      <c r="H142" s="322">
        <v>2.34</v>
      </c>
      <c r="I142" s="323">
        <f t="shared" si="18"/>
        <v>0</v>
      </c>
      <c r="J142" s="323" t="s">
        <v>473</v>
      </c>
      <c r="K142" s="323">
        <f>'Order form'!G362</f>
        <v>10</v>
      </c>
      <c r="L142" s="323">
        <f t="shared" si="12"/>
        <v>0</v>
      </c>
      <c r="M142" s="324">
        <f t="shared" si="13"/>
        <v>23.4</v>
      </c>
      <c r="N142" s="194">
        <f t="shared" si="9"/>
        <v>0</v>
      </c>
      <c r="O142" s="1067"/>
    </row>
    <row r="143" spans="1:15" s="325" customFormat="1" x14ac:dyDescent="0.2">
      <c r="A143" s="318" t="s">
        <v>511</v>
      </c>
      <c r="B143" s="319" t="s">
        <v>158</v>
      </c>
      <c r="C143" s="320">
        <f>'Order form'!K361</f>
        <v>0</v>
      </c>
      <c r="D143" s="320" t="str">
        <f>'Order form'!I359</f>
        <v>FL-COU20-100lbs</v>
      </c>
      <c r="E143" s="320" t="s">
        <v>874</v>
      </c>
      <c r="F143" s="321">
        <f>'Order form'!I361</f>
        <v>24</v>
      </c>
      <c r="G143" s="321">
        <f t="shared" si="10"/>
        <v>0</v>
      </c>
      <c r="H143" s="322">
        <v>3.38</v>
      </c>
      <c r="I143" s="323">
        <f t="shared" si="18"/>
        <v>0</v>
      </c>
      <c r="J143" s="323" t="s">
        <v>473</v>
      </c>
      <c r="K143" s="323">
        <f>'Order form'!L362</f>
        <v>10</v>
      </c>
      <c r="L143" s="323">
        <f t="shared" si="12"/>
        <v>0</v>
      </c>
      <c r="M143" s="324">
        <f t="shared" si="13"/>
        <v>33.799999999999997</v>
      </c>
      <c r="N143" s="194">
        <f t="shared" ref="N143:N208" si="19">IF(C143=0,N142,N142+1)</f>
        <v>0</v>
      </c>
      <c r="O143" s="1067"/>
    </row>
    <row r="144" spans="1:15" s="325" customFormat="1" x14ac:dyDescent="0.2">
      <c r="A144" s="318" t="s">
        <v>511</v>
      </c>
      <c r="B144" s="319" t="s">
        <v>158</v>
      </c>
      <c r="C144" s="320">
        <f>'Order form'!P361</f>
        <v>0</v>
      </c>
      <c r="D144" s="320" t="str">
        <f>'Order form'!N359</f>
        <v>FL-COU24-100lbs</v>
      </c>
      <c r="E144" s="320" t="s">
        <v>875</v>
      </c>
      <c r="F144" s="321">
        <f>'Order form'!N361</f>
        <v>26</v>
      </c>
      <c r="G144" s="321">
        <f t="shared" si="10"/>
        <v>0</v>
      </c>
      <c r="H144" s="322">
        <v>4.12</v>
      </c>
      <c r="I144" s="323">
        <f t="shared" si="18"/>
        <v>0</v>
      </c>
      <c r="J144" s="323" t="s">
        <v>473</v>
      </c>
      <c r="K144" s="323">
        <f>'Order form'!Q362</f>
        <v>10</v>
      </c>
      <c r="L144" s="323">
        <f t="shared" ref="L144:L176" si="20">C144/K144</f>
        <v>0</v>
      </c>
      <c r="M144" s="324">
        <f t="shared" ref="M144:M176" si="21">K144*H144</f>
        <v>41.2</v>
      </c>
      <c r="N144" s="194">
        <f t="shared" si="19"/>
        <v>0</v>
      </c>
      <c r="O144" s="1067"/>
    </row>
    <row r="145" spans="1:15" s="325" customFormat="1" x14ac:dyDescent="0.2">
      <c r="A145" s="318" t="s">
        <v>153</v>
      </c>
      <c r="B145" s="319" t="s">
        <v>158</v>
      </c>
      <c r="C145" s="320">
        <f>'Order form'!U361</f>
        <v>0</v>
      </c>
      <c r="D145" s="320" t="str">
        <f>'Order form'!S359</f>
        <v>FL-COU-U</v>
      </c>
      <c r="E145" s="320" t="s">
        <v>812</v>
      </c>
      <c r="F145" s="321">
        <f>'Order form'!S361</f>
        <v>0.6</v>
      </c>
      <c r="G145" s="321">
        <f t="shared" si="10"/>
        <v>0</v>
      </c>
      <c r="H145" s="322">
        <v>8.14E-2</v>
      </c>
      <c r="I145" s="323">
        <f t="shared" si="18"/>
        <v>0</v>
      </c>
      <c r="J145" s="323" t="s">
        <v>22</v>
      </c>
      <c r="K145" s="323">
        <f>'Order form'!V362</f>
        <v>400</v>
      </c>
      <c r="L145" s="323">
        <f t="shared" si="20"/>
        <v>0</v>
      </c>
      <c r="M145" s="324">
        <f t="shared" si="21"/>
        <v>32.56</v>
      </c>
      <c r="N145" s="194">
        <f t="shared" si="19"/>
        <v>0</v>
      </c>
      <c r="O145" s="1067"/>
    </row>
    <row r="146" spans="1:15" s="325" customFormat="1" x14ac:dyDescent="0.2">
      <c r="A146" s="318" t="s">
        <v>153</v>
      </c>
      <c r="B146" s="319" t="s">
        <v>158</v>
      </c>
      <c r="C146" s="320">
        <f>'Order form'!Z361</f>
        <v>0</v>
      </c>
      <c r="D146" s="320" t="str">
        <f>'Order form'!X359</f>
        <v>AW-ROLLER</v>
      </c>
      <c r="E146" s="320" t="s">
        <v>813</v>
      </c>
      <c r="F146" s="321">
        <f>'Order form'!X361</f>
        <v>7.5</v>
      </c>
      <c r="G146" s="321">
        <f t="shared" si="10"/>
        <v>0</v>
      </c>
      <c r="H146" s="322">
        <v>0.22900000000000001</v>
      </c>
      <c r="I146" s="323">
        <f t="shared" si="18"/>
        <v>0</v>
      </c>
      <c r="J146" s="323" t="s">
        <v>22</v>
      </c>
      <c r="K146" s="323">
        <f>'Order form'!AA362</f>
        <v>35</v>
      </c>
      <c r="L146" s="323">
        <f t="shared" si="20"/>
        <v>0</v>
      </c>
      <c r="M146" s="324">
        <f t="shared" si="21"/>
        <v>8.0150000000000006</v>
      </c>
      <c r="N146" s="194">
        <f t="shared" si="19"/>
        <v>0</v>
      </c>
      <c r="O146" s="1067"/>
    </row>
    <row r="147" spans="1:15" s="325" customFormat="1" x14ac:dyDescent="0.2">
      <c r="A147" s="318" t="s">
        <v>155</v>
      </c>
      <c r="B147" s="319" t="s">
        <v>158</v>
      </c>
      <c r="C147" s="320">
        <f>'Order form'!F372</f>
        <v>0</v>
      </c>
      <c r="D147" s="320" t="str">
        <f>'Order form'!D370</f>
        <v>CO-LWM</v>
      </c>
      <c r="E147" s="320" t="s">
        <v>817</v>
      </c>
      <c r="F147" s="321">
        <f>'Order form'!D372</f>
        <v>47</v>
      </c>
      <c r="G147" s="321">
        <f t="shared" si="10"/>
        <v>0</v>
      </c>
      <c r="H147" s="322">
        <v>3.0859999999999999</v>
      </c>
      <c r="I147" s="323">
        <f t="shared" si="18"/>
        <v>0</v>
      </c>
      <c r="J147" s="323" t="s">
        <v>22</v>
      </c>
      <c r="K147" s="323">
        <v>1</v>
      </c>
      <c r="L147" s="323">
        <f t="shared" si="20"/>
        <v>0</v>
      </c>
      <c r="M147" s="324">
        <f t="shared" si="21"/>
        <v>3.0859999999999999</v>
      </c>
      <c r="N147" s="194">
        <f t="shared" si="19"/>
        <v>0</v>
      </c>
      <c r="O147" s="1067"/>
    </row>
    <row r="148" spans="1:15" s="325" customFormat="1" x14ac:dyDescent="0.2">
      <c r="A148" s="318" t="s">
        <v>155</v>
      </c>
      <c r="B148" s="319" t="s">
        <v>158</v>
      </c>
      <c r="C148" s="320">
        <f>'Order form'!K372</f>
        <v>0</v>
      </c>
      <c r="D148" s="320" t="str">
        <f>'Order form'!I370</f>
        <v>CO-LWF</v>
      </c>
      <c r="E148" s="320" t="s">
        <v>816</v>
      </c>
      <c r="F148" s="321">
        <f>'Order form'!I372</f>
        <v>100</v>
      </c>
      <c r="G148" s="321">
        <f t="shared" si="10"/>
        <v>0</v>
      </c>
      <c r="H148" s="322">
        <v>8.5020000000000007</v>
      </c>
      <c r="I148" s="323">
        <f t="shared" si="18"/>
        <v>0</v>
      </c>
      <c r="J148" s="323" t="s">
        <v>22</v>
      </c>
      <c r="K148" s="323">
        <v>1</v>
      </c>
      <c r="L148" s="323">
        <f t="shared" si="20"/>
        <v>0</v>
      </c>
      <c r="M148" s="324">
        <f t="shared" si="21"/>
        <v>8.5020000000000007</v>
      </c>
      <c r="N148" s="194">
        <f t="shared" si="19"/>
        <v>0</v>
      </c>
      <c r="O148" s="1067"/>
    </row>
    <row r="149" spans="1:15" s="325" customFormat="1" x14ac:dyDescent="0.2">
      <c r="A149" s="318" t="s">
        <v>155</v>
      </c>
      <c r="B149" s="319" t="s">
        <v>158</v>
      </c>
      <c r="C149" s="320">
        <f>'Order form'!P372</f>
        <v>0</v>
      </c>
      <c r="D149" s="320" t="str">
        <f>'Order form'!N370</f>
        <v>CO-SLM</v>
      </c>
      <c r="E149" s="320" t="s">
        <v>815</v>
      </c>
      <c r="F149" s="321">
        <f>'Order form'!N372</f>
        <v>48</v>
      </c>
      <c r="G149" s="321">
        <f t="shared" si="10"/>
        <v>0</v>
      </c>
      <c r="H149" s="322">
        <v>3.2040000000000002</v>
      </c>
      <c r="I149" s="323">
        <f t="shared" si="18"/>
        <v>0</v>
      </c>
      <c r="J149" s="323" t="s">
        <v>22</v>
      </c>
      <c r="K149" s="323">
        <v>1</v>
      </c>
      <c r="L149" s="323">
        <f t="shared" si="20"/>
        <v>0</v>
      </c>
      <c r="M149" s="324">
        <f t="shared" si="21"/>
        <v>3.2040000000000002</v>
      </c>
      <c r="N149" s="194">
        <f t="shared" si="19"/>
        <v>0</v>
      </c>
      <c r="O149" s="1067"/>
    </row>
    <row r="150" spans="1:15" s="325" customFormat="1" x14ac:dyDescent="0.2">
      <c r="A150" s="318" t="s">
        <v>155</v>
      </c>
      <c r="B150" s="319" t="s">
        <v>158</v>
      </c>
      <c r="C150" s="320">
        <f>'Order form'!U372</f>
        <v>0</v>
      </c>
      <c r="D150" s="320" t="str">
        <f>'Order form'!S370</f>
        <v>CO-SLF</v>
      </c>
      <c r="E150" s="320" t="s">
        <v>814</v>
      </c>
      <c r="F150" s="321">
        <f>'Order form'!S372</f>
        <v>155</v>
      </c>
      <c r="G150" s="321">
        <f t="shared" si="10"/>
        <v>0</v>
      </c>
      <c r="H150" s="322">
        <v>11.603999999999999</v>
      </c>
      <c r="I150" s="323">
        <f t="shared" si="18"/>
        <v>0</v>
      </c>
      <c r="J150" s="323" t="s">
        <v>22</v>
      </c>
      <c r="K150" s="323">
        <v>1</v>
      </c>
      <c r="L150" s="323">
        <f t="shared" si="20"/>
        <v>0</v>
      </c>
      <c r="M150" s="324">
        <f t="shared" si="21"/>
        <v>11.603999999999999</v>
      </c>
      <c r="N150" s="194">
        <f t="shared" si="19"/>
        <v>0</v>
      </c>
      <c r="O150" s="1068"/>
    </row>
    <row r="151" spans="1:15" ht="12.6" customHeight="1" x14ac:dyDescent="0.2">
      <c r="A151" s="506" t="s">
        <v>154</v>
      </c>
      <c r="B151" s="196" t="s">
        <v>159</v>
      </c>
      <c r="C151" s="194">
        <f>'Order form'!F384</f>
        <v>0</v>
      </c>
      <c r="D151" s="194" t="str">
        <f>'Order form'!D382</f>
        <v>D-HDPEW-481/2</v>
      </c>
      <c r="E151" s="194" t="s">
        <v>818</v>
      </c>
      <c r="F151" s="188">
        <f>'Order form'!D384</f>
        <v>210</v>
      </c>
      <c r="G151" s="188">
        <f t="shared" si="10"/>
        <v>0</v>
      </c>
      <c r="H151" s="189">
        <v>80</v>
      </c>
      <c r="I151" s="190">
        <f t="shared" si="18"/>
        <v>0</v>
      </c>
      <c r="J151" s="190" t="s">
        <v>2</v>
      </c>
      <c r="K151" s="190">
        <v>1</v>
      </c>
      <c r="L151" s="190">
        <f t="shared" si="20"/>
        <v>0</v>
      </c>
      <c r="M151" s="195">
        <f t="shared" si="21"/>
        <v>80</v>
      </c>
      <c r="N151" s="194">
        <f t="shared" si="19"/>
        <v>0</v>
      </c>
      <c r="O151" s="1056">
        <f>SUM(G151:G154)</f>
        <v>0</v>
      </c>
    </row>
    <row r="152" spans="1:15" ht="12.6" customHeight="1" x14ac:dyDescent="0.2">
      <c r="A152" s="506" t="s">
        <v>154</v>
      </c>
      <c r="B152" s="196" t="s">
        <v>159</v>
      </c>
      <c r="C152" s="194">
        <f>'Order form'!K384</f>
        <v>0</v>
      </c>
      <c r="D152" s="194" t="str">
        <f>'Order form'!I382</f>
        <v>D-HDPEW-481/4</v>
      </c>
      <c r="E152" s="194" t="s">
        <v>819</v>
      </c>
      <c r="F152" s="188">
        <f>'Order form'!I384</f>
        <v>110</v>
      </c>
      <c r="G152" s="188">
        <f t="shared" si="10"/>
        <v>0</v>
      </c>
      <c r="H152" s="189">
        <v>40</v>
      </c>
      <c r="I152" s="190">
        <f t="shared" si="18"/>
        <v>0</v>
      </c>
      <c r="J152" s="190" t="s">
        <v>2</v>
      </c>
      <c r="K152" s="190">
        <v>1</v>
      </c>
      <c r="L152" s="190">
        <f t="shared" si="20"/>
        <v>0</v>
      </c>
      <c r="M152" s="195">
        <f t="shared" si="21"/>
        <v>40</v>
      </c>
      <c r="N152" s="194">
        <f t="shared" si="19"/>
        <v>0</v>
      </c>
      <c r="O152" s="1057"/>
    </row>
    <row r="153" spans="1:15" ht="12.6" customHeight="1" x14ac:dyDescent="0.2">
      <c r="A153" s="506" t="s">
        <v>155</v>
      </c>
      <c r="B153" s="196" t="s">
        <v>159</v>
      </c>
      <c r="C153" s="194">
        <f>'Order form'!P384</f>
        <v>0</v>
      </c>
      <c r="D153" s="194" t="str">
        <f>'Order form'!N382</f>
        <v>D-HDPEB-481/2</v>
      </c>
      <c r="E153" s="194" t="s">
        <v>820</v>
      </c>
      <c r="F153" s="188">
        <f>'Order form'!N384</f>
        <v>170</v>
      </c>
      <c r="G153" s="188">
        <f t="shared" si="10"/>
        <v>0</v>
      </c>
      <c r="H153" s="189">
        <v>80</v>
      </c>
      <c r="I153" s="190">
        <f t="shared" si="18"/>
        <v>0</v>
      </c>
      <c r="J153" s="190" t="s">
        <v>2</v>
      </c>
      <c r="K153" s="190">
        <v>1</v>
      </c>
      <c r="L153" s="190">
        <f t="shared" si="20"/>
        <v>0</v>
      </c>
      <c r="M153" s="195">
        <f t="shared" si="21"/>
        <v>80</v>
      </c>
      <c r="N153" s="194">
        <f t="shared" si="19"/>
        <v>0</v>
      </c>
      <c r="O153" s="1057"/>
    </row>
    <row r="154" spans="1:15" ht="12.6" customHeight="1" x14ac:dyDescent="0.2">
      <c r="A154" s="506" t="s">
        <v>155</v>
      </c>
      <c r="B154" s="196" t="s">
        <v>159</v>
      </c>
      <c r="C154" s="194">
        <f>'Order form'!U384</f>
        <v>0</v>
      </c>
      <c r="D154" s="194" t="str">
        <f>'Order form'!S382</f>
        <v>D-HDPEB-481/4</v>
      </c>
      <c r="E154" s="194" t="s">
        <v>821</v>
      </c>
      <c r="F154" s="188">
        <f>'Order form'!S384</f>
        <v>85</v>
      </c>
      <c r="G154" s="188">
        <f t="shared" si="10"/>
        <v>0</v>
      </c>
      <c r="H154" s="189">
        <v>40</v>
      </c>
      <c r="I154" s="190">
        <f t="shared" si="18"/>
        <v>0</v>
      </c>
      <c r="J154" s="190" t="s">
        <v>2</v>
      </c>
      <c r="K154" s="190">
        <v>1</v>
      </c>
      <c r="L154" s="190">
        <f t="shared" si="20"/>
        <v>0</v>
      </c>
      <c r="M154" s="195">
        <f t="shared" si="21"/>
        <v>40</v>
      </c>
      <c r="N154" s="194">
        <f t="shared" si="19"/>
        <v>0</v>
      </c>
      <c r="O154" s="1058"/>
    </row>
    <row r="155" spans="1:15" s="325" customFormat="1" x14ac:dyDescent="0.2">
      <c r="A155" s="318" t="s">
        <v>153</v>
      </c>
      <c r="B155" s="319" t="s">
        <v>596</v>
      </c>
      <c r="C155" s="320">
        <f>'Order form'!F396+('Order form'!F141)+('Order form'!K141*2)+('Order form'!P141*3)+('Order form'!U141*2)+('Order form'!Z141*4)+('Order form'!F152*2)+('Order form'!K152*3)+('Order form'!P152*1)+('Order form'!U152*1)+('Order form'!Z152*1)+('Order form'!F163*1)+('Order form'!K163*1)+('Order form'!P163*1)+('Order form'!U163*4)+('Order form'!F174*1)+('Order form'!K174*1)+('Order form'!P174*2)+('Order form'!U174*2)</f>
        <v>0</v>
      </c>
      <c r="D155" s="320" t="str">
        <f>'Order form'!D394</f>
        <v>M6-25B</v>
      </c>
      <c r="E155" s="320" t="s">
        <v>823</v>
      </c>
      <c r="F155" s="321">
        <f>'Order form'!D396</f>
        <v>0.08</v>
      </c>
      <c r="G155" s="321">
        <f t="shared" si="10"/>
        <v>0</v>
      </c>
      <c r="H155" s="322">
        <v>1.54E-2</v>
      </c>
      <c r="I155" s="323">
        <f t="shared" si="18"/>
        <v>0</v>
      </c>
      <c r="J155" s="323" t="s">
        <v>22</v>
      </c>
      <c r="K155" s="330">
        <f>'Order form'!G397</f>
        <v>200</v>
      </c>
      <c r="L155" s="323">
        <f t="shared" si="20"/>
        <v>0</v>
      </c>
      <c r="M155" s="324">
        <f t="shared" si="21"/>
        <v>3.08</v>
      </c>
      <c r="N155" s="194">
        <f t="shared" si="19"/>
        <v>0</v>
      </c>
      <c r="O155" s="1059">
        <f>SUM(G155:G176)</f>
        <v>0</v>
      </c>
    </row>
    <row r="156" spans="1:15" s="325" customFormat="1" x14ac:dyDescent="0.2">
      <c r="A156" s="318" t="s">
        <v>153</v>
      </c>
      <c r="B156" s="319" t="s">
        <v>596</v>
      </c>
      <c r="C156" s="320">
        <f>'Order form'!K396+'Order form'!F141+('Order form'!K141*2)+('Order form'!P141*3)+('Order form'!U141*2)+('Order form'!Z141*4)+('Order form'!F152*2)+('Order form'!K152*3)+('Order form'!P152*1)+('Order form'!U152*1)+('Order form'!Z152*1)+('Order form'!F163*1)+('Order form'!K163*1)+('Order form'!P163*1)+('Order form'!U163*4)+('Order form'!Z163*1)+('Order form'!F174*1)+('Order form'!K174*1)+('Order form'!P174*2)+('Order form'!U174*2)</f>
        <v>0</v>
      </c>
      <c r="D156" s="320" t="str">
        <f>'Order form'!I394</f>
        <v>M6-N</v>
      </c>
      <c r="E156" s="320" t="s">
        <v>824</v>
      </c>
      <c r="F156" s="321">
        <f>'Order form'!I396</f>
        <v>7.0000000000000007E-2</v>
      </c>
      <c r="G156" s="321">
        <f t="shared" si="10"/>
        <v>0</v>
      </c>
      <c r="H156" s="322">
        <v>4.4000000000000003E-3</v>
      </c>
      <c r="I156" s="323">
        <f t="shared" si="18"/>
        <v>0</v>
      </c>
      <c r="J156" s="323" t="s">
        <v>22</v>
      </c>
      <c r="K156" s="330">
        <f>'Order form'!L397</f>
        <v>200</v>
      </c>
      <c r="L156" s="323">
        <f t="shared" si="20"/>
        <v>0</v>
      </c>
      <c r="M156" s="324">
        <f t="shared" si="21"/>
        <v>0.88</v>
      </c>
      <c r="N156" s="194">
        <f t="shared" si="19"/>
        <v>0</v>
      </c>
      <c r="O156" s="1060"/>
    </row>
    <row r="157" spans="1:15" s="325" customFormat="1" x14ac:dyDescent="0.2">
      <c r="A157" s="318" t="s">
        <v>153</v>
      </c>
      <c r="B157" s="319" t="s">
        <v>596</v>
      </c>
      <c r="C157" s="320">
        <f>'Order form'!P396+('Order form'!Z163*1)</f>
        <v>0</v>
      </c>
      <c r="D157" s="320" t="str">
        <f>'Order form'!N394</f>
        <v>M6-12B</v>
      </c>
      <c r="E157" s="320" t="s">
        <v>822</v>
      </c>
      <c r="F157" s="321">
        <f>'Order form'!N396</f>
        <v>0.09</v>
      </c>
      <c r="G157" s="321">
        <f t="shared" si="10"/>
        <v>0</v>
      </c>
      <c r="H157" s="322">
        <v>1.0999999999999999E-2</v>
      </c>
      <c r="I157" s="323">
        <f t="shared" si="18"/>
        <v>0</v>
      </c>
      <c r="J157" s="323" t="s">
        <v>22</v>
      </c>
      <c r="K157" s="330">
        <f>'Order form'!Q397</f>
        <v>200</v>
      </c>
      <c r="L157" s="323">
        <f t="shared" si="20"/>
        <v>0</v>
      </c>
      <c r="M157" s="324">
        <f t="shared" si="21"/>
        <v>2.1999999999999997</v>
      </c>
      <c r="N157" s="194">
        <f t="shared" si="19"/>
        <v>0</v>
      </c>
      <c r="O157" s="1060"/>
    </row>
    <row r="158" spans="1:15" s="325" customFormat="1" x14ac:dyDescent="0.2">
      <c r="A158" s="318" t="s">
        <v>153</v>
      </c>
      <c r="B158" s="319" t="s">
        <v>596</v>
      </c>
      <c r="C158" s="320">
        <f>'Order form'!$U$396</f>
        <v>0</v>
      </c>
      <c r="D158" s="320" t="str">
        <f>'Order form'!$S$394</f>
        <v>M6-25BTL</v>
      </c>
      <c r="E158" s="320" t="s">
        <v>825</v>
      </c>
      <c r="F158" s="321">
        <f>'Order form'!$S$396</f>
        <v>0.11</v>
      </c>
      <c r="G158" s="321">
        <f t="shared" si="10"/>
        <v>0</v>
      </c>
      <c r="H158" s="322">
        <v>1.4999999999999999E-2</v>
      </c>
      <c r="I158" s="323">
        <f t="shared" si="18"/>
        <v>0</v>
      </c>
      <c r="J158" s="323" t="s">
        <v>22</v>
      </c>
      <c r="K158" s="330">
        <f>'Order form'!$V$397</f>
        <v>200</v>
      </c>
      <c r="L158" s="323">
        <f t="shared" si="20"/>
        <v>0</v>
      </c>
      <c r="M158" s="324">
        <f t="shared" si="21"/>
        <v>3</v>
      </c>
      <c r="N158" s="194">
        <f t="shared" si="19"/>
        <v>0</v>
      </c>
      <c r="O158" s="1060"/>
    </row>
    <row r="159" spans="1:15" s="325" customFormat="1" x14ac:dyDescent="0.2">
      <c r="A159" s="318" t="s">
        <v>153</v>
      </c>
      <c r="B159" s="319" t="s">
        <v>596</v>
      </c>
      <c r="C159" s="320">
        <f>'Order form'!Z396</f>
        <v>0</v>
      </c>
      <c r="D159" s="320" t="str">
        <f>'Order form'!X394</f>
        <v>M6-25BHAN</v>
      </c>
      <c r="E159" s="320" t="s">
        <v>951</v>
      </c>
      <c r="F159" s="321">
        <f>'Order form'!X396</f>
        <v>5.5</v>
      </c>
      <c r="G159" s="321">
        <f t="shared" si="10"/>
        <v>0</v>
      </c>
      <c r="H159" s="322">
        <v>0.16900000000000001</v>
      </c>
      <c r="I159" s="323">
        <f t="shared" si="18"/>
        <v>0</v>
      </c>
      <c r="J159" s="323" t="s">
        <v>22</v>
      </c>
      <c r="K159" s="330">
        <v>1</v>
      </c>
      <c r="L159" s="323">
        <f t="shared" ref="L159" si="22">C159/K159</f>
        <v>0</v>
      </c>
      <c r="M159" s="324">
        <f t="shared" ref="M159" si="23">K159*H159</f>
        <v>0.16900000000000001</v>
      </c>
      <c r="N159" s="194">
        <f t="shared" si="19"/>
        <v>0</v>
      </c>
      <c r="O159" s="1060"/>
    </row>
    <row r="160" spans="1:15" s="325" customFormat="1" x14ac:dyDescent="0.2">
      <c r="A160" s="318" t="s">
        <v>153</v>
      </c>
      <c r="B160" s="319" t="s">
        <v>596</v>
      </c>
      <c r="C160" s="320">
        <f>'Order form'!F239+'Order form'!K239*2+'Order form'!P239*3+'Order form'!U239*2+'Order form'!Z239*4+'Order form'!F250*2+'Order form'!K250*3+'Order form'!P250+'Order form'!U250+'Order form'!Z250+'Order form'!F261+'Order form'!K261+'Order form'!P261+'Order form'!U261*4+'Order form'!F272+'Order form'!K272+'Order form'!P272*2+'Order form'!F407+'Order form'!U272*2</f>
        <v>0</v>
      </c>
      <c r="D160" s="320" t="str">
        <f>'Order form'!D405</f>
        <v>M6-25BWZ</v>
      </c>
      <c r="E160" s="320" t="s">
        <v>826</v>
      </c>
      <c r="F160" s="321">
        <f>'Order form'!D407</f>
        <v>0.09</v>
      </c>
      <c r="G160" s="321">
        <f t="shared" si="10"/>
        <v>0</v>
      </c>
      <c r="H160" s="322">
        <v>1.54E-2</v>
      </c>
      <c r="I160" s="323">
        <f t="shared" si="18"/>
        <v>0</v>
      </c>
      <c r="J160" s="323" t="s">
        <v>22</v>
      </c>
      <c r="K160" s="330">
        <f>'Order form'!G408</f>
        <v>200</v>
      </c>
      <c r="L160" s="323">
        <f t="shared" si="20"/>
        <v>0</v>
      </c>
      <c r="M160" s="324">
        <f t="shared" si="21"/>
        <v>3.08</v>
      </c>
      <c r="N160" s="194">
        <f t="shared" si="19"/>
        <v>0</v>
      </c>
      <c r="O160" s="1060"/>
    </row>
    <row r="161" spans="1:15" s="325" customFormat="1" x14ac:dyDescent="0.2">
      <c r="A161" s="318" t="s">
        <v>153</v>
      </c>
      <c r="B161" s="319" t="s">
        <v>596</v>
      </c>
      <c r="C161" s="320">
        <f>'Order form'!F239+'Order form'!K239*2+'Order form'!P239*3+'Order form'!U239*2+'Order form'!Z239*4+'Order form'!F250*2+'Order form'!K250*3+'Order form'!P250+'Order form'!U250+'Order form'!Z250+'Order form'!F261+'Order form'!K261+'Order form'!P261+'Order form'!U261*4+'Order form'!F272+'Order form'!K272+'Order form'!P272*2+'Order form'!Z261+'Order form'!K407+'Order form'!U272*2</f>
        <v>0</v>
      </c>
      <c r="D161" s="320" t="str">
        <f>'Order form'!I405</f>
        <v>M6-NWZ</v>
      </c>
      <c r="E161" s="320" t="s">
        <v>827</v>
      </c>
      <c r="F161" s="321">
        <f>'Order form'!I407</f>
        <v>0.09</v>
      </c>
      <c r="G161" s="321">
        <f t="shared" si="10"/>
        <v>0</v>
      </c>
      <c r="H161" s="322">
        <v>4.4000000000000003E-3</v>
      </c>
      <c r="I161" s="323">
        <f t="shared" si="18"/>
        <v>0</v>
      </c>
      <c r="J161" s="323" t="s">
        <v>22</v>
      </c>
      <c r="K161" s="330">
        <f>'Order form'!L408</f>
        <v>200</v>
      </c>
      <c r="L161" s="323">
        <f t="shared" si="20"/>
        <v>0</v>
      </c>
      <c r="M161" s="324">
        <f t="shared" si="21"/>
        <v>0.88</v>
      </c>
      <c r="N161" s="194">
        <f t="shared" si="19"/>
        <v>0</v>
      </c>
      <c r="O161" s="1060"/>
    </row>
    <row r="162" spans="1:15" s="325" customFormat="1" x14ac:dyDescent="0.2">
      <c r="A162" s="318" t="s">
        <v>153</v>
      </c>
      <c r="B162" s="319" t="s">
        <v>596</v>
      </c>
      <c r="C162" s="320">
        <f>'Order form'!P407+('Order form'!Z250*1)</f>
        <v>0</v>
      </c>
      <c r="D162" s="320" t="str">
        <f>'Order form'!N405</f>
        <v>M6-12BWZ</v>
      </c>
      <c r="E162" s="320" t="s">
        <v>828</v>
      </c>
      <c r="F162" s="321">
        <f>'Order form'!N407</f>
        <v>0.09</v>
      </c>
      <c r="G162" s="321">
        <f t="shared" si="10"/>
        <v>0</v>
      </c>
      <c r="H162" s="322">
        <v>1.0999999999999999E-2</v>
      </c>
      <c r="I162" s="323">
        <f t="shared" si="18"/>
        <v>0</v>
      </c>
      <c r="J162" s="323" t="s">
        <v>22</v>
      </c>
      <c r="K162" s="330">
        <f>'Order form'!Q408</f>
        <v>200</v>
      </c>
      <c r="L162" s="323">
        <f t="shared" si="20"/>
        <v>0</v>
      </c>
      <c r="M162" s="324">
        <f t="shared" si="21"/>
        <v>2.1999999999999997</v>
      </c>
      <c r="N162" s="194">
        <f t="shared" si="19"/>
        <v>0</v>
      </c>
      <c r="O162" s="1060"/>
    </row>
    <row r="163" spans="1:15" s="325" customFormat="1" x14ac:dyDescent="0.2">
      <c r="A163" s="318" t="s">
        <v>153</v>
      </c>
      <c r="B163" s="319" t="s">
        <v>596</v>
      </c>
      <c r="C163" s="320">
        <f>'Order form'!$U$407</f>
        <v>0</v>
      </c>
      <c r="D163" s="320" t="str">
        <f>'Order form'!$S$405</f>
        <v>M6-25BWZTL</v>
      </c>
      <c r="E163" s="320" t="s">
        <v>829</v>
      </c>
      <c r="F163" s="321">
        <f>'Order form'!$S$407</f>
        <v>0.12</v>
      </c>
      <c r="G163" s="321">
        <f t="shared" si="10"/>
        <v>0</v>
      </c>
      <c r="H163" s="322">
        <v>1.4999999999999999E-2</v>
      </c>
      <c r="I163" s="323">
        <f t="shared" si="18"/>
        <v>0</v>
      </c>
      <c r="J163" s="323" t="s">
        <v>22</v>
      </c>
      <c r="K163" s="330">
        <f>'Order form'!$V$408</f>
        <v>200</v>
      </c>
      <c r="L163" s="323">
        <f t="shared" si="20"/>
        <v>0</v>
      </c>
      <c r="M163" s="324">
        <f t="shared" si="21"/>
        <v>3</v>
      </c>
      <c r="N163" s="194">
        <f t="shared" si="19"/>
        <v>0</v>
      </c>
      <c r="O163" s="1060"/>
    </row>
    <row r="164" spans="1:15" s="325" customFormat="1" x14ac:dyDescent="0.2">
      <c r="A164" s="318" t="s">
        <v>153</v>
      </c>
      <c r="B164" s="319" t="s">
        <v>597</v>
      </c>
      <c r="C164" s="320">
        <f>'Order form'!F419</f>
        <v>0</v>
      </c>
      <c r="D164" s="320" t="str">
        <f>'Order form'!D417</f>
        <v>F-A85/8</v>
      </c>
      <c r="E164" s="320" t="s">
        <v>832</v>
      </c>
      <c r="F164" s="321">
        <f>'Order form'!D419</f>
        <v>0.04</v>
      </c>
      <c r="G164" s="321">
        <f t="shared" si="10"/>
        <v>0</v>
      </c>
      <c r="H164" s="322">
        <v>0.187</v>
      </c>
      <c r="I164" s="323">
        <f t="shared" si="18"/>
        <v>0</v>
      </c>
      <c r="J164" s="323" t="s">
        <v>22</v>
      </c>
      <c r="K164" s="330">
        <f>'Order form'!G420</f>
        <v>100</v>
      </c>
      <c r="L164" s="323">
        <f t="shared" si="20"/>
        <v>0</v>
      </c>
      <c r="M164" s="324">
        <f t="shared" si="21"/>
        <v>18.7</v>
      </c>
      <c r="N164" s="194">
        <f t="shared" si="19"/>
        <v>0</v>
      </c>
      <c r="O164" s="1060"/>
    </row>
    <row r="165" spans="1:15" s="325" customFormat="1" x14ac:dyDescent="0.2">
      <c r="A165" s="318" t="s">
        <v>153</v>
      </c>
      <c r="B165" s="319" t="s">
        <v>597</v>
      </c>
      <c r="C165" s="320">
        <f>'Order form'!K419</f>
        <v>0</v>
      </c>
      <c r="D165" s="320" t="str">
        <f>'Order form'!I417</f>
        <v>F-SF81</v>
      </c>
      <c r="E165" s="320" t="s">
        <v>831</v>
      </c>
      <c r="F165" s="321">
        <f>'Order form'!I419</f>
        <v>0.04</v>
      </c>
      <c r="G165" s="321">
        <f t="shared" si="10"/>
        <v>0</v>
      </c>
      <c r="H165" s="322">
        <v>0.187</v>
      </c>
      <c r="I165" s="323">
        <f t="shared" si="18"/>
        <v>0</v>
      </c>
      <c r="J165" s="323" t="s">
        <v>22</v>
      </c>
      <c r="K165" s="330">
        <f>'Order form'!L420</f>
        <v>100</v>
      </c>
      <c r="L165" s="323">
        <f t="shared" si="20"/>
        <v>0</v>
      </c>
      <c r="M165" s="324">
        <f t="shared" si="21"/>
        <v>18.7</v>
      </c>
      <c r="N165" s="194">
        <f t="shared" si="19"/>
        <v>0</v>
      </c>
      <c r="O165" s="1060"/>
    </row>
    <row r="166" spans="1:15" s="325" customFormat="1" x14ac:dyDescent="0.2">
      <c r="A166" s="318" t="s">
        <v>153</v>
      </c>
      <c r="B166" s="319" t="s">
        <v>597</v>
      </c>
      <c r="C166" s="320">
        <f>'Order form'!P419</f>
        <v>0</v>
      </c>
      <c r="D166" s="320" t="str">
        <f>'Order form'!N417</f>
        <v>F-S81/2</v>
      </c>
      <c r="E166" s="320" t="s">
        <v>830</v>
      </c>
      <c r="F166" s="321">
        <f>'Order form'!N419</f>
        <v>0.04</v>
      </c>
      <c r="G166" s="321">
        <f t="shared" si="10"/>
        <v>0</v>
      </c>
      <c r="H166" s="322">
        <v>0.187</v>
      </c>
      <c r="I166" s="323">
        <f t="shared" si="18"/>
        <v>0</v>
      </c>
      <c r="J166" s="323" t="s">
        <v>22</v>
      </c>
      <c r="K166" s="330">
        <f>'Order form'!Q420</f>
        <v>100</v>
      </c>
      <c r="L166" s="323">
        <f t="shared" si="20"/>
        <v>0</v>
      </c>
      <c r="M166" s="324">
        <f t="shared" si="21"/>
        <v>18.7</v>
      </c>
      <c r="N166" s="194">
        <f t="shared" si="19"/>
        <v>0</v>
      </c>
      <c r="O166" s="1060"/>
    </row>
    <row r="167" spans="1:15" s="325" customFormat="1" x14ac:dyDescent="0.2">
      <c r="A167" s="318" t="s">
        <v>153</v>
      </c>
      <c r="B167" s="319" t="s">
        <v>158</v>
      </c>
      <c r="C167" s="320">
        <f>'Order form'!U419</f>
        <v>0</v>
      </c>
      <c r="D167" s="320" t="str">
        <f>'Order form'!S417</f>
        <v>F-BUS</v>
      </c>
      <c r="E167" s="320" t="s">
        <v>833</v>
      </c>
      <c r="F167" s="321">
        <f>'Order form'!S419</f>
        <v>1</v>
      </c>
      <c r="G167" s="321">
        <f t="shared" si="10"/>
        <v>0</v>
      </c>
      <c r="H167" s="322">
        <v>0.18479999999999999</v>
      </c>
      <c r="I167" s="323">
        <f t="shared" si="18"/>
        <v>0</v>
      </c>
      <c r="J167" s="483" t="s">
        <v>22</v>
      </c>
      <c r="K167" s="330">
        <f>'Order form'!V420</f>
        <v>200</v>
      </c>
      <c r="L167" s="323">
        <f t="shared" si="20"/>
        <v>0</v>
      </c>
      <c r="M167" s="324">
        <f t="shared" si="21"/>
        <v>36.96</v>
      </c>
      <c r="N167" s="194">
        <f t="shared" si="19"/>
        <v>0</v>
      </c>
      <c r="O167" s="1060"/>
    </row>
    <row r="168" spans="1:15" s="325" customFormat="1" x14ac:dyDescent="0.2">
      <c r="A168" s="318" t="s">
        <v>153</v>
      </c>
      <c r="B168" s="319" t="s">
        <v>158</v>
      </c>
      <c r="C168" s="320">
        <f>'Order form'!F430</f>
        <v>0</v>
      </c>
      <c r="D168" s="320" t="str">
        <f>'Order form'!D428</f>
        <v>WF-UP</v>
      </c>
      <c r="E168" s="320" t="s">
        <v>834</v>
      </c>
      <c r="F168" s="321">
        <f>'Order form'!D430</f>
        <v>0.8</v>
      </c>
      <c r="G168" s="321">
        <f t="shared" si="10"/>
        <v>0</v>
      </c>
      <c r="H168" s="322">
        <v>0.1804</v>
      </c>
      <c r="I168" s="323">
        <f t="shared" si="18"/>
        <v>0</v>
      </c>
      <c r="J168" s="323" t="s">
        <v>22</v>
      </c>
      <c r="K168" s="330">
        <f>'Order form'!G431</f>
        <v>180</v>
      </c>
      <c r="L168" s="323">
        <f t="shared" si="20"/>
        <v>0</v>
      </c>
      <c r="M168" s="324">
        <f t="shared" si="21"/>
        <v>32.472000000000001</v>
      </c>
      <c r="N168" s="194">
        <f t="shared" si="19"/>
        <v>0</v>
      </c>
      <c r="O168" s="1060"/>
    </row>
    <row r="169" spans="1:15" s="325" customFormat="1" x14ac:dyDescent="0.2">
      <c r="A169" s="318" t="s">
        <v>153</v>
      </c>
      <c r="B169" s="319" t="s">
        <v>158</v>
      </c>
      <c r="C169" s="320">
        <f>'Order form'!K430</f>
        <v>0</v>
      </c>
      <c r="D169" s="320" t="str">
        <f>'Order form'!I428</f>
        <v>WF-LOW</v>
      </c>
      <c r="E169" s="320" t="s">
        <v>835</v>
      </c>
      <c r="F169" s="321">
        <f>'Order form'!I430</f>
        <v>0.8</v>
      </c>
      <c r="G169" s="321">
        <f t="shared" si="10"/>
        <v>0</v>
      </c>
      <c r="H169" s="322">
        <v>0.17380000000000001</v>
      </c>
      <c r="I169" s="323">
        <f t="shared" si="18"/>
        <v>0</v>
      </c>
      <c r="J169" s="323" t="s">
        <v>22</v>
      </c>
      <c r="K169" s="330">
        <f>'Order form'!L431</f>
        <v>180</v>
      </c>
      <c r="L169" s="323">
        <f t="shared" si="20"/>
        <v>0</v>
      </c>
      <c r="M169" s="324">
        <f t="shared" si="21"/>
        <v>31.284000000000002</v>
      </c>
      <c r="N169" s="194">
        <f t="shared" si="19"/>
        <v>0</v>
      </c>
      <c r="O169" s="1060"/>
    </row>
    <row r="170" spans="1:15" s="325" customFormat="1" x14ac:dyDescent="0.2">
      <c r="A170" s="318" t="s">
        <v>153</v>
      </c>
      <c r="B170" s="319" t="s">
        <v>158</v>
      </c>
      <c r="C170" s="320">
        <f>'Order form'!P430</f>
        <v>0</v>
      </c>
      <c r="D170" s="320" t="str">
        <f>'Order form'!N428</f>
        <v>WF-LARGE</v>
      </c>
      <c r="E170" s="320" t="s">
        <v>836</v>
      </c>
      <c r="F170" s="321">
        <f>'Order form'!N430</f>
        <v>1</v>
      </c>
      <c r="G170" s="321">
        <f t="shared" si="10"/>
        <v>0</v>
      </c>
      <c r="H170" s="322">
        <v>0.23799999999999999</v>
      </c>
      <c r="I170" s="323">
        <f t="shared" si="18"/>
        <v>0</v>
      </c>
      <c r="J170" s="323" t="s">
        <v>22</v>
      </c>
      <c r="K170" s="330">
        <f>'Order form'!Q431</f>
        <v>90</v>
      </c>
      <c r="L170" s="323">
        <f t="shared" si="20"/>
        <v>0</v>
      </c>
      <c r="M170" s="324">
        <f t="shared" si="21"/>
        <v>21.419999999999998</v>
      </c>
      <c r="N170" s="194">
        <f t="shared" si="19"/>
        <v>0</v>
      </c>
      <c r="O170" s="1060"/>
    </row>
    <row r="171" spans="1:15" s="325" customFormat="1" x14ac:dyDescent="0.2">
      <c r="A171" s="318" t="s">
        <v>153</v>
      </c>
      <c r="B171" s="319" t="s">
        <v>158</v>
      </c>
      <c r="C171" s="320">
        <f>'Order form'!U430</f>
        <v>0</v>
      </c>
      <c r="D171" s="320" t="str">
        <f>'Order form'!S428</f>
        <v>WF-LPLATE</v>
      </c>
      <c r="E171" s="320" t="s">
        <v>838</v>
      </c>
      <c r="F171" s="321">
        <f>'Order form'!S430</f>
        <v>25</v>
      </c>
      <c r="G171" s="321">
        <f t="shared" si="10"/>
        <v>0</v>
      </c>
      <c r="H171" s="322">
        <v>4.2460000000000004</v>
      </c>
      <c r="I171" s="323">
        <f t="shared" si="18"/>
        <v>0</v>
      </c>
      <c r="J171" s="323" t="s">
        <v>22</v>
      </c>
      <c r="K171" s="330">
        <f>'Order form'!V431</f>
        <v>2</v>
      </c>
      <c r="L171" s="323">
        <f t="shared" si="20"/>
        <v>0</v>
      </c>
      <c r="M171" s="324">
        <f t="shared" si="21"/>
        <v>8.4920000000000009</v>
      </c>
      <c r="N171" s="194">
        <f t="shared" si="19"/>
        <v>0</v>
      </c>
      <c r="O171" s="1060"/>
    </row>
    <row r="172" spans="1:15" s="325" customFormat="1" x14ac:dyDescent="0.2">
      <c r="A172" s="318" t="s">
        <v>153</v>
      </c>
      <c r="B172" s="319" t="s">
        <v>158</v>
      </c>
      <c r="C172" s="320">
        <f>'Order form'!Z430</f>
        <v>0</v>
      </c>
      <c r="D172" s="320" t="str">
        <f>'Order form'!X428</f>
        <v>WF-RPLATE</v>
      </c>
      <c r="E172" s="320" t="s">
        <v>839</v>
      </c>
      <c r="F172" s="321">
        <f>'Order form'!X430</f>
        <v>25</v>
      </c>
      <c r="G172" s="321">
        <f t="shared" si="10"/>
        <v>0</v>
      </c>
      <c r="H172" s="322">
        <v>4.2460000000000004</v>
      </c>
      <c r="I172" s="323">
        <f t="shared" si="18"/>
        <v>0</v>
      </c>
      <c r="J172" s="323" t="s">
        <v>22</v>
      </c>
      <c r="K172" s="330">
        <f>'Order form'!AA431</f>
        <v>2</v>
      </c>
      <c r="L172" s="323">
        <f t="shared" si="20"/>
        <v>0</v>
      </c>
      <c r="M172" s="324">
        <f t="shared" si="21"/>
        <v>8.4920000000000009</v>
      </c>
      <c r="N172" s="194">
        <f t="shared" si="19"/>
        <v>0</v>
      </c>
      <c r="O172" s="1060"/>
    </row>
    <row r="173" spans="1:15" s="325" customFormat="1" x14ac:dyDescent="0.2">
      <c r="A173" s="318" t="s">
        <v>153</v>
      </c>
      <c r="B173" s="319" t="s">
        <v>157</v>
      </c>
      <c r="C173" s="320">
        <f>'Order form'!F441</f>
        <v>0</v>
      </c>
      <c r="D173" s="320" t="str">
        <f>'Order form'!D439</f>
        <v>M8-35B</v>
      </c>
      <c r="E173" s="320" t="s">
        <v>948</v>
      </c>
      <c r="F173" s="321">
        <f>'Order form'!D441</f>
        <v>0.15</v>
      </c>
      <c r="G173" s="321">
        <f t="shared" ref="G173:G226" si="24">F173*C173</f>
        <v>0</v>
      </c>
      <c r="H173" s="322">
        <v>3.7400000000000003E-2</v>
      </c>
      <c r="I173" s="323">
        <f t="shared" si="18"/>
        <v>0</v>
      </c>
      <c r="J173" s="323" t="s">
        <v>22</v>
      </c>
      <c r="K173" s="330">
        <f>'Order form'!G442</f>
        <v>800</v>
      </c>
      <c r="L173" s="323">
        <f t="shared" si="20"/>
        <v>0</v>
      </c>
      <c r="M173" s="324">
        <f t="shared" si="21"/>
        <v>29.92</v>
      </c>
      <c r="N173" s="194">
        <f t="shared" si="19"/>
        <v>0</v>
      </c>
      <c r="O173" s="1060"/>
    </row>
    <row r="174" spans="1:15" s="325" customFormat="1" x14ac:dyDescent="0.2">
      <c r="A174" s="318" t="s">
        <v>153</v>
      </c>
      <c r="B174" s="319" t="s">
        <v>157</v>
      </c>
      <c r="C174" s="320">
        <f>'Order form'!K441</f>
        <v>0</v>
      </c>
      <c r="D174" s="320" t="str">
        <f>'Order form'!I439</f>
        <v>M8-45B</v>
      </c>
      <c r="E174" s="320" t="s">
        <v>949</v>
      </c>
      <c r="F174" s="321">
        <f>'Order form'!I441</f>
        <v>0.15</v>
      </c>
      <c r="G174" s="321">
        <f t="shared" si="24"/>
        <v>0</v>
      </c>
      <c r="H174" s="322">
        <v>8.8000000000000005E-3</v>
      </c>
      <c r="I174" s="323">
        <f t="shared" si="18"/>
        <v>0</v>
      </c>
      <c r="J174" s="323" t="s">
        <v>22</v>
      </c>
      <c r="K174" s="330">
        <f>'Order form'!L442</f>
        <v>800</v>
      </c>
      <c r="L174" s="323">
        <f t="shared" si="20"/>
        <v>0</v>
      </c>
      <c r="M174" s="324">
        <f t="shared" si="21"/>
        <v>7.04</v>
      </c>
      <c r="N174" s="194">
        <f t="shared" si="19"/>
        <v>0</v>
      </c>
      <c r="O174" s="1060"/>
    </row>
    <row r="175" spans="1:15" s="325" customFormat="1" x14ac:dyDescent="0.2">
      <c r="A175" s="318" t="s">
        <v>153</v>
      </c>
      <c r="B175" s="319" t="s">
        <v>157</v>
      </c>
      <c r="C175" s="320">
        <f>'Order form'!P441</f>
        <v>0</v>
      </c>
      <c r="D175" s="320" t="str">
        <f>'Order form'!N439</f>
        <v>M8-N</v>
      </c>
      <c r="E175" s="320" t="s">
        <v>840</v>
      </c>
      <c r="F175" s="321">
        <f>'Order form'!N441</f>
        <v>0.05</v>
      </c>
      <c r="G175" s="321">
        <f t="shared" si="24"/>
        <v>0</v>
      </c>
      <c r="H175" s="322">
        <v>8.8000000000000005E-3</v>
      </c>
      <c r="I175" s="323">
        <f t="shared" ref="I175:I176" si="25">C175*H175</f>
        <v>0</v>
      </c>
      <c r="J175" s="323" t="s">
        <v>22</v>
      </c>
      <c r="K175" s="330">
        <f>'Order form'!Q442</f>
        <v>200</v>
      </c>
      <c r="L175" s="323">
        <f t="shared" si="20"/>
        <v>0</v>
      </c>
      <c r="M175" s="324">
        <f t="shared" si="21"/>
        <v>1.76</v>
      </c>
      <c r="N175" s="194">
        <f t="shared" si="19"/>
        <v>0</v>
      </c>
      <c r="O175" s="1060"/>
    </row>
    <row r="176" spans="1:15" s="325" customFormat="1" x14ac:dyDescent="0.2">
      <c r="A176" s="318" t="s">
        <v>153</v>
      </c>
      <c r="B176" s="319" t="s">
        <v>157</v>
      </c>
      <c r="C176" s="320">
        <f>'Order form'!U441</f>
        <v>0</v>
      </c>
      <c r="D176" s="320" t="str">
        <f>'Order form'!S439</f>
        <v>F-W5/16</v>
      </c>
      <c r="E176" s="320" t="s">
        <v>950</v>
      </c>
      <c r="F176" s="321">
        <f>'Order form'!S441</f>
        <v>0.04</v>
      </c>
      <c r="G176" s="321">
        <f t="shared" si="24"/>
        <v>0</v>
      </c>
      <c r="H176" s="322">
        <v>0.187</v>
      </c>
      <c r="I176" s="323">
        <f t="shared" si="25"/>
        <v>0</v>
      </c>
      <c r="J176" s="323" t="s">
        <v>22</v>
      </c>
      <c r="K176" s="330">
        <f>'Order form'!V442</f>
        <v>100</v>
      </c>
      <c r="L176" s="323">
        <f t="shared" si="20"/>
        <v>0</v>
      </c>
      <c r="M176" s="324">
        <f t="shared" si="21"/>
        <v>18.7</v>
      </c>
      <c r="N176" s="194">
        <f t="shared" si="19"/>
        <v>0</v>
      </c>
      <c r="O176" s="1060"/>
    </row>
    <row r="177" spans="1:15" ht="12.6" customHeight="1" x14ac:dyDescent="0.2">
      <c r="A177" s="506" t="s">
        <v>153</v>
      </c>
      <c r="B177" s="196" t="s">
        <v>423</v>
      </c>
      <c r="C177" s="194">
        <f>'Order form'!F454</f>
        <v>0</v>
      </c>
      <c r="D177" s="194" t="str">
        <f>'Order form'!D452</f>
        <v>W-3ESB</v>
      </c>
      <c r="E177" s="194" t="s">
        <v>842</v>
      </c>
      <c r="F177" s="188">
        <f>'Order form'!D454</f>
        <v>9</v>
      </c>
      <c r="G177" s="188">
        <f>F177*C177</f>
        <v>0</v>
      </c>
      <c r="H177" s="189">
        <v>1.595</v>
      </c>
      <c r="I177" s="190">
        <f>C177*H177</f>
        <v>0</v>
      </c>
      <c r="J177" s="190" t="s">
        <v>22</v>
      </c>
      <c r="K177" s="190">
        <f>'Order form'!G455</f>
        <v>40</v>
      </c>
      <c r="L177" s="190">
        <f t="shared" ref="L177:L214" si="26">C177/K177</f>
        <v>0</v>
      </c>
      <c r="M177" s="195">
        <f t="shared" ref="M177:M214" si="27">K177*H177</f>
        <v>63.8</v>
      </c>
      <c r="N177" s="194">
        <f t="shared" si="19"/>
        <v>0</v>
      </c>
      <c r="O177" s="1070">
        <f>SUM(G177:G193)</f>
        <v>0</v>
      </c>
    </row>
    <row r="178" spans="1:15" ht="12.6" customHeight="1" x14ac:dyDescent="0.2">
      <c r="A178" s="506" t="s">
        <v>153</v>
      </c>
      <c r="B178" s="196" t="s">
        <v>423</v>
      </c>
      <c r="C178" s="194">
        <f>'Order form'!K454</f>
        <v>0</v>
      </c>
      <c r="D178" s="194" t="str">
        <f>'Order form'!I452</f>
        <v>W-3EF</v>
      </c>
      <c r="E178" s="194" t="s">
        <v>850</v>
      </c>
      <c r="F178" s="188">
        <f>'Order form'!I454</f>
        <v>11</v>
      </c>
      <c r="G178" s="188">
        <f t="shared" si="24"/>
        <v>0</v>
      </c>
      <c r="H178" s="189">
        <v>1.1659999999999999</v>
      </c>
      <c r="I178" s="190">
        <f t="shared" ref="I178:I226" si="28">C178*H178</f>
        <v>0</v>
      </c>
      <c r="J178" s="190" t="s">
        <v>22</v>
      </c>
      <c r="K178" s="190">
        <f>'Order form'!L455</f>
        <v>6</v>
      </c>
      <c r="L178" s="190">
        <f t="shared" si="26"/>
        <v>0</v>
      </c>
      <c r="M178" s="195">
        <f t="shared" si="27"/>
        <v>6.9959999999999996</v>
      </c>
      <c r="N178" s="194">
        <f t="shared" si="19"/>
        <v>0</v>
      </c>
      <c r="O178" s="1070"/>
    </row>
    <row r="179" spans="1:15" ht="12.6" customHeight="1" x14ac:dyDescent="0.2">
      <c r="A179" s="506" t="s">
        <v>153</v>
      </c>
      <c r="B179" s="196" t="s">
        <v>423</v>
      </c>
      <c r="C179" s="194">
        <f>'Order form'!U454</f>
        <v>0</v>
      </c>
      <c r="D179" s="194" t="str">
        <f>'Order form'!S452</f>
        <v>EW-3ESB</v>
      </c>
      <c r="E179" s="194" t="s">
        <v>844</v>
      </c>
      <c r="F179" s="188">
        <f>'Order form'!S454</f>
        <v>12</v>
      </c>
      <c r="G179" s="188">
        <f t="shared" si="24"/>
        <v>0</v>
      </c>
      <c r="H179" s="189">
        <v>1.1659999999999999</v>
      </c>
      <c r="I179" s="190">
        <f t="shared" si="28"/>
        <v>0</v>
      </c>
      <c r="J179" s="190" t="s">
        <v>22</v>
      </c>
      <c r="K179" s="190">
        <f>'Order form'!V455</f>
        <v>40</v>
      </c>
      <c r="L179" s="190">
        <f t="shared" si="26"/>
        <v>0</v>
      </c>
      <c r="M179" s="195">
        <f t="shared" si="27"/>
        <v>46.64</v>
      </c>
      <c r="N179" s="194">
        <f t="shared" si="19"/>
        <v>0</v>
      </c>
      <c r="O179" s="1070"/>
    </row>
    <row r="180" spans="1:15" ht="12.6" customHeight="1" x14ac:dyDescent="0.2">
      <c r="A180" s="506" t="s">
        <v>153</v>
      </c>
      <c r="B180" s="196" t="s">
        <v>423</v>
      </c>
      <c r="C180" s="194">
        <f>'Order form'!F465</f>
        <v>0</v>
      </c>
      <c r="D180" s="194" t="str">
        <f>'Order form'!D463</f>
        <v>W-4ESB</v>
      </c>
      <c r="E180" s="194" t="s">
        <v>841</v>
      </c>
      <c r="F180" s="188">
        <f>'Order form'!D465</f>
        <v>10</v>
      </c>
      <c r="G180" s="188">
        <f t="shared" si="24"/>
        <v>0</v>
      </c>
      <c r="H180" s="189">
        <v>1.881</v>
      </c>
      <c r="I180" s="190">
        <f t="shared" si="28"/>
        <v>0</v>
      </c>
      <c r="J180" s="190" t="s">
        <v>22</v>
      </c>
      <c r="K180" s="190">
        <f>'Order form'!G466</f>
        <v>4</v>
      </c>
      <c r="L180" s="190">
        <f t="shared" si="26"/>
        <v>0</v>
      </c>
      <c r="M180" s="195">
        <f t="shared" si="27"/>
        <v>7.524</v>
      </c>
      <c r="N180" s="194">
        <f t="shared" si="19"/>
        <v>0</v>
      </c>
      <c r="O180" s="1070"/>
    </row>
    <row r="181" spans="1:15" x14ac:dyDescent="0.2">
      <c r="A181" s="506" t="s">
        <v>153</v>
      </c>
      <c r="B181" s="196" t="s">
        <v>423</v>
      </c>
      <c r="C181" s="194">
        <f>'Order form'!K465</f>
        <v>0</v>
      </c>
      <c r="D181" s="194" t="str">
        <f>'Order form'!I463</f>
        <v>W-4EF</v>
      </c>
      <c r="E181" s="194" t="s">
        <v>851</v>
      </c>
      <c r="F181" s="188">
        <f>'Order form'!I465</f>
        <v>12.5</v>
      </c>
      <c r="G181" s="188">
        <f t="shared" si="24"/>
        <v>0</v>
      </c>
      <c r="H181" s="189">
        <v>1.496</v>
      </c>
      <c r="I181" s="190">
        <f t="shared" si="28"/>
        <v>0</v>
      </c>
      <c r="J181" s="190" t="s">
        <v>22</v>
      </c>
      <c r="K181" s="190">
        <f>'Order form'!L466</f>
        <v>32</v>
      </c>
      <c r="L181" s="190">
        <f t="shared" si="26"/>
        <v>0</v>
      </c>
      <c r="M181" s="195">
        <f t="shared" si="27"/>
        <v>47.872</v>
      </c>
      <c r="N181" s="194">
        <f t="shared" si="19"/>
        <v>0</v>
      </c>
      <c r="O181" s="1070"/>
    </row>
    <row r="182" spans="1:15" ht="12.6" customHeight="1" x14ac:dyDescent="0.2">
      <c r="A182" s="506" t="s">
        <v>153</v>
      </c>
      <c r="B182" s="196" t="s">
        <v>423</v>
      </c>
      <c r="C182" s="194">
        <f>'Order form'!U465</f>
        <v>0</v>
      </c>
      <c r="D182" s="194" t="str">
        <f>'Order form'!S463</f>
        <v>EW-4ESB</v>
      </c>
      <c r="E182" s="194" t="s">
        <v>843</v>
      </c>
      <c r="F182" s="188">
        <f>'Order form'!S465</f>
        <v>14</v>
      </c>
      <c r="G182" s="188">
        <f>F182*C182</f>
        <v>0</v>
      </c>
      <c r="H182" s="189">
        <v>1.76</v>
      </c>
      <c r="I182" s="190">
        <f>C182*H182</f>
        <v>0</v>
      </c>
      <c r="J182" s="190" t="s">
        <v>22</v>
      </c>
      <c r="K182" s="190">
        <f>'Order form'!V466</f>
        <v>32</v>
      </c>
      <c r="L182" s="190">
        <f t="shared" si="26"/>
        <v>0</v>
      </c>
      <c r="M182" s="195">
        <f t="shared" si="27"/>
        <v>56.32</v>
      </c>
      <c r="N182" s="194">
        <f t="shared" si="19"/>
        <v>0</v>
      </c>
      <c r="O182" s="1070"/>
    </row>
    <row r="183" spans="1:15" ht="12.6" customHeight="1" x14ac:dyDescent="0.2">
      <c r="A183" s="506" t="s">
        <v>153</v>
      </c>
      <c r="B183" s="196" t="s">
        <v>423</v>
      </c>
      <c r="C183" s="194">
        <f>'Order form'!Z465</f>
        <v>0</v>
      </c>
      <c r="D183" s="194" t="str">
        <f>'Order form'!X463</f>
        <v>EW-4EF</v>
      </c>
      <c r="E183" s="194" t="s">
        <v>852</v>
      </c>
      <c r="F183" s="188">
        <f>'Order form'!X465</f>
        <v>16.5</v>
      </c>
      <c r="G183" s="188">
        <f>F183*C183</f>
        <v>0</v>
      </c>
      <c r="H183" s="189">
        <v>1.43</v>
      </c>
      <c r="I183" s="190">
        <f>C183*H183</f>
        <v>0</v>
      </c>
      <c r="J183" s="190" t="s">
        <v>22</v>
      </c>
      <c r="K183" s="190">
        <f>'Order form'!AA466</f>
        <v>4</v>
      </c>
      <c r="L183" s="190">
        <f t="shared" si="26"/>
        <v>0</v>
      </c>
      <c r="M183" s="195">
        <f t="shared" si="27"/>
        <v>5.72</v>
      </c>
      <c r="N183" s="194">
        <f t="shared" si="19"/>
        <v>0</v>
      </c>
      <c r="O183" s="1070"/>
    </row>
    <row r="184" spans="1:15" ht="12.6" customHeight="1" x14ac:dyDescent="0.2">
      <c r="A184" s="506" t="s">
        <v>153</v>
      </c>
      <c r="B184" s="196" t="s">
        <v>423</v>
      </c>
      <c r="C184" s="194">
        <f>'Order form'!F476</f>
        <v>0</v>
      </c>
      <c r="D184" s="194" t="str">
        <f>'Order form'!D474:G474</f>
        <v>W-4PSB</v>
      </c>
      <c r="E184" s="194" t="s">
        <v>845</v>
      </c>
      <c r="F184" s="188">
        <f>'Order form'!D476</f>
        <v>10.5</v>
      </c>
      <c r="G184" s="188">
        <f t="shared" ref="G184:G193" si="29">F184*C184</f>
        <v>0</v>
      </c>
      <c r="H184" s="189">
        <v>1.881</v>
      </c>
      <c r="I184" s="190">
        <f t="shared" ref="I184:I188" si="30">C184*H184</f>
        <v>0</v>
      </c>
      <c r="J184" s="190" t="s">
        <v>22</v>
      </c>
      <c r="K184" s="190">
        <f>'Order form'!G477</f>
        <v>40</v>
      </c>
      <c r="L184" s="190">
        <f t="shared" si="26"/>
        <v>0</v>
      </c>
      <c r="M184" s="195">
        <f t="shared" si="27"/>
        <v>75.239999999999995</v>
      </c>
      <c r="N184" s="194">
        <f t="shared" si="19"/>
        <v>0</v>
      </c>
      <c r="O184" s="1070"/>
    </row>
    <row r="185" spans="1:15" ht="12.6" customHeight="1" x14ac:dyDescent="0.2">
      <c r="A185" s="506" t="s">
        <v>153</v>
      </c>
      <c r="B185" s="196" t="s">
        <v>423</v>
      </c>
      <c r="C185" s="194">
        <f>'Order form'!K476</f>
        <v>0</v>
      </c>
      <c r="D185" s="194" t="str">
        <f>'Order form'!I474</f>
        <v>W-4PF</v>
      </c>
      <c r="E185" s="194" t="s">
        <v>846</v>
      </c>
      <c r="F185" s="188">
        <f>'Order form'!I476</f>
        <v>8.5</v>
      </c>
      <c r="G185" s="188">
        <f t="shared" si="29"/>
        <v>0</v>
      </c>
      <c r="H185" s="189">
        <v>1.804</v>
      </c>
      <c r="I185" s="190">
        <f t="shared" si="30"/>
        <v>0</v>
      </c>
      <c r="J185" s="190" t="s">
        <v>22</v>
      </c>
      <c r="K185" s="190">
        <f>'Order form'!L477</f>
        <v>40</v>
      </c>
      <c r="L185" s="190">
        <f t="shared" si="26"/>
        <v>0</v>
      </c>
      <c r="M185" s="195">
        <f t="shared" si="27"/>
        <v>72.16</v>
      </c>
      <c r="N185" s="194">
        <f t="shared" si="19"/>
        <v>0</v>
      </c>
      <c r="O185" s="1070"/>
    </row>
    <row r="186" spans="1:15" ht="12.6" customHeight="1" x14ac:dyDescent="0.2">
      <c r="A186" s="506" t="s">
        <v>153</v>
      </c>
      <c r="B186" s="196" t="s">
        <v>423</v>
      </c>
      <c r="C186" s="194">
        <f>'Order form'!P476</f>
        <v>0</v>
      </c>
      <c r="D186" s="194" t="str">
        <f>'Order form'!N474</f>
        <v>BC4</v>
      </c>
      <c r="E186" s="194" t="s">
        <v>952</v>
      </c>
      <c r="F186" s="188">
        <f>'Order form'!N476</f>
        <v>30</v>
      </c>
      <c r="G186" s="188">
        <f t="shared" si="29"/>
        <v>0</v>
      </c>
      <c r="H186" s="189">
        <v>3.3879999999999999</v>
      </c>
      <c r="I186" s="190">
        <f t="shared" si="30"/>
        <v>0</v>
      </c>
      <c r="J186" s="190" t="s">
        <v>22</v>
      </c>
      <c r="K186" s="190">
        <f>'Order form'!Q477</f>
        <v>10</v>
      </c>
      <c r="L186" s="190">
        <f t="shared" ref="L186" si="31">C186/K186</f>
        <v>0</v>
      </c>
      <c r="M186" s="195">
        <f t="shared" ref="M186" si="32">K186*H186</f>
        <v>33.879999999999995</v>
      </c>
      <c r="N186" s="194">
        <f t="shared" si="19"/>
        <v>0</v>
      </c>
      <c r="O186" s="1070"/>
    </row>
    <row r="187" spans="1:15" ht="12.6" customHeight="1" x14ac:dyDescent="0.2">
      <c r="A187" s="506" t="s">
        <v>153</v>
      </c>
      <c r="B187" s="196" t="s">
        <v>423</v>
      </c>
      <c r="C187" s="194">
        <f>'Order form'!U476</f>
        <v>0</v>
      </c>
      <c r="D187" s="194" t="str">
        <f>'Order form'!S474</f>
        <v>W-4PSB-KIT</v>
      </c>
      <c r="E187" s="194" t="s">
        <v>847</v>
      </c>
      <c r="F187" s="188">
        <f>'Order form'!S476</f>
        <v>14.5</v>
      </c>
      <c r="G187" s="188">
        <f t="shared" si="29"/>
        <v>0</v>
      </c>
      <c r="H187" s="577">
        <v>2.7742</v>
      </c>
      <c r="I187" s="190">
        <f t="shared" si="30"/>
        <v>0</v>
      </c>
      <c r="J187" s="190" t="s">
        <v>22</v>
      </c>
      <c r="K187" s="190">
        <f>'Order form'!V477</f>
        <v>2</v>
      </c>
      <c r="L187" s="190">
        <f t="shared" si="26"/>
        <v>0</v>
      </c>
      <c r="M187" s="195">
        <f t="shared" si="27"/>
        <v>5.5484</v>
      </c>
      <c r="N187" s="194">
        <f t="shared" si="19"/>
        <v>0</v>
      </c>
      <c r="O187" s="1070"/>
    </row>
    <row r="188" spans="1:15" ht="12.6" customHeight="1" x14ac:dyDescent="0.2">
      <c r="A188" s="506" t="s">
        <v>153</v>
      </c>
      <c r="B188" s="196" t="s">
        <v>423</v>
      </c>
      <c r="C188" s="194">
        <f>'Order form'!Z476</f>
        <v>0</v>
      </c>
      <c r="D188" s="194" t="str">
        <f>'Order form'!X474</f>
        <v>W-4PF-KIT</v>
      </c>
      <c r="E188" s="194" t="s">
        <v>848</v>
      </c>
      <c r="F188" s="188">
        <f>'Order form'!X476</f>
        <v>12.5</v>
      </c>
      <c r="G188" s="188">
        <f t="shared" si="29"/>
        <v>0</v>
      </c>
      <c r="H188" s="577">
        <v>1.08</v>
      </c>
      <c r="I188" s="190">
        <f t="shared" si="30"/>
        <v>0</v>
      </c>
      <c r="J188" s="190" t="s">
        <v>22</v>
      </c>
      <c r="K188" s="190">
        <f>'Order form'!AA477</f>
        <v>2</v>
      </c>
      <c r="L188" s="190">
        <f t="shared" si="26"/>
        <v>0</v>
      </c>
      <c r="M188" s="195">
        <f t="shared" si="27"/>
        <v>2.16</v>
      </c>
      <c r="N188" s="194">
        <f t="shared" si="19"/>
        <v>0</v>
      </c>
      <c r="O188" s="1070"/>
    </row>
    <row r="189" spans="1:15" ht="12.6" customHeight="1" x14ac:dyDescent="0.2">
      <c r="A189" s="506" t="s">
        <v>153</v>
      </c>
      <c r="B189" s="196" t="s">
        <v>423</v>
      </c>
      <c r="C189" s="194">
        <f>'Order form'!F487</f>
        <v>0</v>
      </c>
      <c r="D189" s="194" t="str">
        <f>'Order form'!D485</f>
        <v>W-6PSB</v>
      </c>
      <c r="E189" s="194" t="s">
        <v>847</v>
      </c>
      <c r="F189" s="188">
        <f>'Order form'!D487</f>
        <v>26.5</v>
      </c>
      <c r="G189" s="188">
        <f t="shared" si="29"/>
        <v>0</v>
      </c>
      <c r="H189" s="189">
        <v>2.34</v>
      </c>
      <c r="I189" s="190">
        <f t="shared" ref="I189:I193" si="33">C189*H189</f>
        <v>0</v>
      </c>
      <c r="J189" s="190" t="s">
        <v>22</v>
      </c>
      <c r="K189" s="190">
        <f>'Order form'!G488</f>
        <v>12</v>
      </c>
      <c r="L189" s="190">
        <f t="shared" ref="L189" si="34">C189/K189</f>
        <v>0</v>
      </c>
      <c r="M189" s="195">
        <f t="shared" ref="M189" si="35">K189*H189</f>
        <v>28.08</v>
      </c>
      <c r="N189" s="194">
        <f t="shared" si="19"/>
        <v>0</v>
      </c>
      <c r="O189" s="1070"/>
    </row>
    <row r="190" spans="1:15" ht="12.6" customHeight="1" x14ac:dyDescent="0.2">
      <c r="A190" s="506" t="s">
        <v>153</v>
      </c>
      <c r="B190" s="196" t="s">
        <v>423</v>
      </c>
      <c r="C190" s="194">
        <f>'Order form'!K487</f>
        <v>0</v>
      </c>
      <c r="D190" s="194" t="str">
        <f>'Order form'!I485</f>
        <v>W-6PF</v>
      </c>
      <c r="E190" s="194" t="s">
        <v>848</v>
      </c>
      <c r="F190" s="188">
        <f>'Order form'!I487</f>
        <v>18.25</v>
      </c>
      <c r="G190" s="188">
        <f t="shared" si="29"/>
        <v>0</v>
      </c>
      <c r="H190" s="189">
        <v>1.595</v>
      </c>
      <c r="I190" s="190">
        <f t="shared" si="33"/>
        <v>0</v>
      </c>
      <c r="J190" s="190" t="s">
        <v>22</v>
      </c>
      <c r="K190" s="190">
        <f>'Order form'!L488</f>
        <v>12</v>
      </c>
      <c r="L190" s="190">
        <f t="shared" ref="L190:L194" si="36">C190/K190</f>
        <v>0</v>
      </c>
      <c r="M190" s="195">
        <f t="shared" ref="M190:M194" si="37">K190*H190</f>
        <v>19.14</v>
      </c>
      <c r="N190" s="194">
        <f t="shared" si="19"/>
        <v>0</v>
      </c>
      <c r="O190" s="1070"/>
    </row>
    <row r="191" spans="1:15" ht="12.6" customHeight="1" x14ac:dyDescent="0.2">
      <c r="A191" s="506" t="s">
        <v>153</v>
      </c>
      <c r="B191" s="196" t="s">
        <v>423</v>
      </c>
      <c r="C191" s="194">
        <f>'Order form'!P487</f>
        <v>0</v>
      </c>
      <c r="D191" s="194" t="str">
        <f>'Order form'!N485</f>
        <v>BC6</v>
      </c>
      <c r="E191" s="194" t="s">
        <v>953</v>
      </c>
      <c r="F191" s="188">
        <f>'Order form'!N487</f>
        <v>34</v>
      </c>
      <c r="G191" s="188">
        <f t="shared" si="29"/>
        <v>0</v>
      </c>
      <c r="H191" s="189">
        <v>3.6739999999999999</v>
      </c>
      <c r="I191" s="190">
        <f t="shared" si="33"/>
        <v>0</v>
      </c>
      <c r="J191" s="190" t="s">
        <v>22</v>
      </c>
      <c r="K191" s="190">
        <f>'Order form'!Q488</f>
        <v>10</v>
      </c>
      <c r="L191" s="190">
        <f t="shared" si="36"/>
        <v>0</v>
      </c>
      <c r="M191" s="195">
        <f t="shared" si="37"/>
        <v>36.74</v>
      </c>
      <c r="N191" s="194">
        <f t="shared" si="19"/>
        <v>0</v>
      </c>
      <c r="O191" s="1070"/>
    </row>
    <row r="192" spans="1:15" ht="12.6" customHeight="1" x14ac:dyDescent="0.2">
      <c r="A192" s="576" t="s">
        <v>153</v>
      </c>
      <c r="B192" s="196" t="s">
        <v>423</v>
      </c>
      <c r="C192" s="194">
        <f>'Order form'!U487</f>
        <v>0</v>
      </c>
      <c r="D192" s="194" t="str">
        <f>'Order form'!S485</f>
        <v>W-6PSB-KIT</v>
      </c>
      <c r="E192" s="194" t="s">
        <v>847</v>
      </c>
      <c r="F192" s="188">
        <f>'Order form'!S487</f>
        <v>31.3</v>
      </c>
      <c r="G192" s="188">
        <f t="shared" si="29"/>
        <v>0</v>
      </c>
      <c r="H192" s="577">
        <v>7.0751999999999997</v>
      </c>
      <c r="I192" s="190">
        <f t="shared" si="33"/>
        <v>0</v>
      </c>
      <c r="J192" s="190" t="s">
        <v>22</v>
      </c>
      <c r="K192" s="190">
        <f>'Order form'!V488</f>
        <v>2</v>
      </c>
      <c r="L192" s="190">
        <f t="shared" si="36"/>
        <v>0</v>
      </c>
      <c r="M192" s="195">
        <f t="shared" si="37"/>
        <v>14.150399999999999</v>
      </c>
      <c r="N192" s="194">
        <f t="shared" si="19"/>
        <v>0</v>
      </c>
      <c r="O192" s="1070"/>
    </row>
    <row r="193" spans="1:15" ht="12.6" customHeight="1" x14ac:dyDescent="0.2">
      <c r="A193" s="576" t="s">
        <v>153</v>
      </c>
      <c r="B193" s="196" t="s">
        <v>423</v>
      </c>
      <c r="C193" s="194">
        <f>'Order form'!Z487</f>
        <v>0</v>
      </c>
      <c r="D193" s="194" t="str">
        <f>'Order form'!X485</f>
        <v>W-6PF-KIT</v>
      </c>
      <c r="E193" s="194" t="s">
        <v>848</v>
      </c>
      <c r="F193" s="188">
        <f>'Order form'!X487</f>
        <v>23.05</v>
      </c>
      <c r="G193" s="188">
        <f t="shared" si="29"/>
        <v>0</v>
      </c>
      <c r="H193" s="577">
        <v>2.7302</v>
      </c>
      <c r="I193" s="190">
        <f t="shared" si="33"/>
        <v>0</v>
      </c>
      <c r="J193" s="190" t="s">
        <v>22</v>
      </c>
      <c r="K193" s="190">
        <f>'Order form'!AA488</f>
        <v>2</v>
      </c>
      <c r="L193" s="190">
        <f t="shared" si="36"/>
        <v>0</v>
      </c>
      <c r="M193" s="195">
        <f t="shared" si="37"/>
        <v>5.4603999999999999</v>
      </c>
      <c r="N193" s="194">
        <f t="shared" si="19"/>
        <v>0</v>
      </c>
      <c r="O193" s="1071"/>
    </row>
    <row r="194" spans="1:15" s="325" customFormat="1" ht="12.6" customHeight="1" x14ac:dyDescent="0.2">
      <c r="A194" s="318" t="s">
        <v>155</v>
      </c>
      <c r="B194" s="319" t="s">
        <v>163</v>
      </c>
      <c r="C194" s="320">
        <f>'Order form'!F500</f>
        <v>0</v>
      </c>
      <c r="D194" s="320" t="str">
        <f>'Order form'!D498</f>
        <v>KIT-Q5</v>
      </c>
      <c r="E194" s="320" t="s">
        <v>855</v>
      </c>
      <c r="F194" s="321" t="str">
        <f>'Order form'!D500</f>
        <v>See website</v>
      </c>
      <c r="G194" s="321" t="e">
        <f t="shared" si="24"/>
        <v>#VALUE!</v>
      </c>
      <c r="H194" s="518">
        <v>500</v>
      </c>
      <c r="I194" s="323">
        <f t="shared" si="28"/>
        <v>0</v>
      </c>
      <c r="J194" s="323" t="s">
        <v>378</v>
      </c>
      <c r="K194" s="323">
        <v>1</v>
      </c>
      <c r="L194" s="190">
        <f t="shared" si="36"/>
        <v>0</v>
      </c>
      <c r="M194" s="195">
        <f t="shared" si="37"/>
        <v>500</v>
      </c>
      <c r="N194" s="194">
        <f t="shared" si="19"/>
        <v>0</v>
      </c>
      <c r="O194" s="1066" t="e">
        <f>SUM(G194:G202)</f>
        <v>#VALUE!</v>
      </c>
    </row>
    <row r="195" spans="1:15" s="325" customFormat="1" x14ac:dyDescent="0.2">
      <c r="A195" s="318" t="s">
        <v>155</v>
      </c>
      <c r="B195" s="319" t="s">
        <v>163</v>
      </c>
      <c r="C195" s="320">
        <f>'Order form'!K500</f>
        <v>0</v>
      </c>
      <c r="D195" s="320" t="str">
        <f>'Order form'!I498</f>
        <v>KIT-FLOW</v>
      </c>
      <c r="E195" s="320" t="s">
        <v>849</v>
      </c>
      <c r="F195" s="321" t="str">
        <f>'Order form'!I500</f>
        <v>See website</v>
      </c>
      <c r="G195" s="321" t="e">
        <f t="shared" si="24"/>
        <v>#VALUE!</v>
      </c>
      <c r="H195" s="518">
        <v>500</v>
      </c>
      <c r="I195" s="323">
        <f t="shared" si="28"/>
        <v>0</v>
      </c>
      <c r="J195" s="323" t="s">
        <v>378</v>
      </c>
      <c r="K195" s="323">
        <v>1</v>
      </c>
      <c r="L195" s="323">
        <f t="shared" si="26"/>
        <v>0</v>
      </c>
      <c r="M195" s="324">
        <f t="shared" si="27"/>
        <v>500</v>
      </c>
      <c r="N195" s="194">
        <f t="shared" si="19"/>
        <v>0</v>
      </c>
      <c r="O195" s="1069"/>
    </row>
    <row r="196" spans="1:15" s="325" customFormat="1" x14ac:dyDescent="0.2">
      <c r="A196" s="318" t="s">
        <v>155</v>
      </c>
      <c r="B196" s="319" t="s">
        <v>163</v>
      </c>
      <c r="C196" s="320">
        <f>'Order form'!P500</f>
        <v>0</v>
      </c>
      <c r="D196" s="320" t="str">
        <f>'Order form'!N498</f>
        <v>KIT-CART</v>
      </c>
      <c r="E196" s="320" t="s">
        <v>854</v>
      </c>
      <c r="F196" s="321" t="str">
        <f>'Order form'!N500</f>
        <v>See website</v>
      </c>
      <c r="G196" s="321" t="e">
        <f t="shared" si="24"/>
        <v>#VALUE!</v>
      </c>
      <c r="H196" s="518">
        <v>500</v>
      </c>
      <c r="I196" s="323">
        <f t="shared" si="28"/>
        <v>0</v>
      </c>
      <c r="J196" s="323" t="s">
        <v>378</v>
      </c>
      <c r="K196" s="323">
        <v>1</v>
      </c>
      <c r="L196" s="323">
        <f t="shared" si="26"/>
        <v>0</v>
      </c>
      <c r="M196" s="324">
        <f t="shared" si="27"/>
        <v>500</v>
      </c>
      <c r="N196" s="194">
        <f t="shared" si="19"/>
        <v>0</v>
      </c>
      <c r="O196" s="1069"/>
    </row>
    <row r="197" spans="1:15" s="325" customFormat="1" x14ac:dyDescent="0.2">
      <c r="A197" s="318" t="s">
        <v>155</v>
      </c>
      <c r="B197" s="319" t="s">
        <v>163</v>
      </c>
      <c r="C197" s="320">
        <f>'Order form'!U500</f>
        <v>0</v>
      </c>
      <c r="D197" s="320" t="str">
        <f>'Order form'!S498</f>
        <v>KIT-STATION</v>
      </c>
      <c r="E197" s="320" t="s">
        <v>853</v>
      </c>
      <c r="F197" s="321" t="str">
        <f>'Order form'!S500</f>
        <v>See website</v>
      </c>
      <c r="G197" s="321" t="e">
        <f t="shared" si="24"/>
        <v>#VALUE!</v>
      </c>
      <c r="H197" s="518">
        <v>550</v>
      </c>
      <c r="I197" s="323">
        <f t="shared" si="28"/>
        <v>0</v>
      </c>
      <c r="J197" s="323" t="s">
        <v>378</v>
      </c>
      <c r="K197" s="323">
        <v>1</v>
      </c>
      <c r="L197" s="323">
        <f t="shared" si="26"/>
        <v>0</v>
      </c>
      <c r="M197" s="324">
        <f t="shared" si="27"/>
        <v>550</v>
      </c>
      <c r="N197" s="194">
        <f t="shared" si="19"/>
        <v>0</v>
      </c>
      <c r="O197" s="1069"/>
    </row>
    <row r="198" spans="1:15" s="325" customFormat="1" x14ac:dyDescent="0.2">
      <c r="A198" s="318" t="s">
        <v>155</v>
      </c>
      <c r="B198" s="319" t="s">
        <v>163</v>
      </c>
      <c r="C198" s="320">
        <f>'Order form'!Z500</f>
        <v>0</v>
      </c>
      <c r="D198" s="320" t="str">
        <f>'Order form'!X498</f>
        <v>KIT-SM</v>
      </c>
      <c r="E198" s="320" t="s">
        <v>856</v>
      </c>
      <c r="F198" s="321" t="str">
        <f>'Order form'!X500</f>
        <v>See website</v>
      </c>
      <c r="G198" s="321" t="e">
        <f t="shared" si="24"/>
        <v>#VALUE!</v>
      </c>
      <c r="H198" s="518">
        <v>200</v>
      </c>
      <c r="I198" s="323">
        <f t="shared" si="28"/>
        <v>0</v>
      </c>
      <c r="J198" s="323" t="s">
        <v>378</v>
      </c>
      <c r="K198" s="323">
        <v>1</v>
      </c>
      <c r="L198" s="323">
        <f t="shared" si="26"/>
        <v>0</v>
      </c>
      <c r="M198" s="324">
        <f t="shared" si="27"/>
        <v>200</v>
      </c>
      <c r="N198" s="194">
        <f t="shared" si="19"/>
        <v>0</v>
      </c>
      <c r="O198" s="1069"/>
    </row>
    <row r="199" spans="1:15" s="325" customFormat="1" x14ac:dyDescent="0.2">
      <c r="A199" s="318" t="s">
        <v>155</v>
      </c>
      <c r="B199" s="319" t="s">
        <v>163</v>
      </c>
      <c r="C199" s="320">
        <f>'Order form'!F510</f>
        <v>0</v>
      </c>
      <c r="D199" s="320" t="str">
        <f>'Order form'!D508</f>
        <v>KIT-CRIB</v>
      </c>
      <c r="E199" s="320" t="s">
        <v>857</v>
      </c>
      <c r="F199" s="321">
        <f>'Order form'!D510</f>
        <v>1950</v>
      </c>
      <c r="G199" s="321">
        <f t="shared" si="24"/>
        <v>0</v>
      </c>
      <c r="H199" s="518">
        <v>600</v>
      </c>
      <c r="I199" s="323">
        <f t="shared" si="28"/>
        <v>0</v>
      </c>
      <c r="J199" s="323" t="s">
        <v>378</v>
      </c>
      <c r="K199" s="323">
        <v>1</v>
      </c>
      <c r="L199" s="323">
        <f t="shared" si="26"/>
        <v>0</v>
      </c>
      <c r="M199" s="324">
        <f t="shared" si="27"/>
        <v>600</v>
      </c>
      <c r="N199" s="194">
        <f t="shared" si="19"/>
        <v>0</v>
      </c>
      <c r="O199" s="1069"/>
    </row>
    <row r="200" spans="1:15" s="325" customFormat="1" x14ac:dyDescent="0.2">
      <c r="A200" s="318" t="s">
        <v>155</v>
      </c>
      <c r="B200" s="319" t="s">
        <v>600</v>
      </c>
      <c r="C200" s="320">
        <f>'Order form'!K510</f>
        <v>0</v>
      </c>
      <c r="D200" s="320" t="str">
        <f>'Order form'!I508</f>
        <v>F-CTRAINING</v>
      </c>
      <c r="E200" s="320" t="s">
        <v>858</v>
      </c>
      <c r="F200" s="321">
        <f>'Order form'!I510</f>
        <v>2600</v>
      </c>
      <c r="G200" s="321">
        <f t="shared" si="24"/>
        <v>0</v>
      </c>
      <c r="H200" s="322">
        <v>0</v>
      </c>
      <c r="I200" s="323">
        <f t="shared" si="28"/>
        <v>0</v>
      </c>
      <c r="J200" s="323" t="s">
        <v>22</v>
      </c>
      <c r="K200" s="323">
        <v>1</v>
      </c>
      <c r="L200" s="323">
        <f t="shared" si="26"/>
        <v>0</v>
      </c>
      <c r="M200" s="324">
        <f t="shared" si="27"/>
        <v>0</v>
      </c>
      <c r="N200" s="194">
        <f t="shared" si="19"/>
        <v>0</v>
      </c>
      <c r="O200" s="1069"/>
    </row>
    <row r="201" spans="1:15" s="325" customFormat="1" x14ac:dyDescent="0.2">
      <c r="A201" s="318" t="s">
        <v>155</v>
      </c>
      <c r="B201" s="319" t="s">
        <v>600</v>
      </c>
      <c r="C201" s="320">
        <f>'Order form'!P510</f>
        <v>0</v>
      </c>
      <c r="D201" s="320" t="str">
        <f>'Order form'!N508</f>
        <v>F-HTRAINING</v>
      </c>
      <c r="E201" s="320" t="s">
        <v>859</v>
      </c>
      <c r="F201" s="321">
        <v>0</v>
      </c>
      <c r="G201" s="321">
        <f t="shared" si="24"/>
        <v>0</v>
      </c>
      <c r="H201" s="322">
        <v>0</v>
      </c>
      <c r="I201" s="323">
        <f t="shared" si="28"/>
        <v>0</v>
      </c>
      <c r="J201" s="323" t="s">
        <v>22</v>
      </c>
      <c r="K201" s="323">
        <v>1</v>
      </c>
      <c r="L201" s="323">
        <f t="shared" si="26"/>
        <v>0</v>
      </c>
      <c r="M201" s="324">
        <f t="shared" si="27"/>
        <v>0</v>
      </c>
      <c r="N201" s="194">
        <f t="shared" si="19"/>
        <v>0</v>
      </c>
      <c r="O201" s="1069"/>
    </row>
    <row r="202" spans="1:15" s="325" customFormat="1" x14ac:dyDescent="0.2">
      <c r="A202" s="318" t="s">
        <v>155</v>
      </c>
      <c r="B202" s="319" t="s">
        <v>163</v>
      </c>
      <c r="C202" s="320">
        <f>'Order form'!U510</f>
        <v>0</v>
      </c>
      <c r="D202" s="320" t="str">
        <f>'Order form'!S508</f>
        <v>KIT-TRAINING</v>
      </c>
      <c r="E202" s="320" t="s">
        <v>892</v>
      </c>
      <c r="F202" s="321" t="str">
        <f>'Order form'!S510</f>
        <v>See website</v>
      </c>
      <c r="G202" s="321" t="e">
        <f t="shared" si="24"/>
        <v>#VALUE!</v>
      </c>
      <c r="H202" s="534"/>
      <c r="I202" s="323">
        <f t="shared" ref="I202" si="38">C202*H202</f>
        <v>0</v>
      </c>
      <c r="J202" s="323" t="s">
        <v>22</v>
      </c>
      <c r="K202" s="323">
        <v>1</v>
      </c>
      <c r="L202" s="323">
        <f t="shared" ref="L202" si="39">C202/K202</f>
        <v>0</v>
      </c>
      <c r="M202" s="324">
        <f t="shared" ref="M202" si="40">K202*H202</f>
        <v>0</v>
      </c>
      <c r="N202" s="194">
        <f t="shared" ref="N202" si="41">IF(C202=0,N201,N201+1)</f>
        <v>0</v>
      </c>
      <c r="O202" s="1069"/>
    </row>
    <row r="203" spans="1:15" s="325" customFormat="1" x14ac:dyDescent="0.2">
      <c r="A203" s="318" t="s">
        <v>153</v>
      </c>
      <c r="B203" s="535" t="s">
        <v>601</v>
      </c>
      <c r="C203" s="536">
        <f>'Order form'!F520</f>
        <v>0</v>
      </c>
      <c r="D203" s="536" t="str">
        <f>'Order form'!D518</f>
        <v>T-REAMER</v>
      </c>
      <c r="E203" s="536" t="s">
        <v>110</v>
      </c>
      <c r="F203" s="537">
        <f>'Order form'!D520</f>
        <v>45</v>
      </c>
      <c r="G203" s="537">
        <f t="shared" si="24"/>
        <v>0</v>
      </c>
      <c r="H203" s="538">
        <v>0.495</v>
      </c>
      <c r="I203" s="539">
        <f t="shared" si="28"/>
        <v>0</v>
      </c>
      <c r="J203" s="539" t="s">
        <v>22</v>
      </c>
      <c r="K203" s="539">
        <v>10</v>
      </c>
      <c r="L203" s="539">
        <f t="shared" si="26"/>
        <v>0</v>
      </c>
      <c r="M203" s="540">
        <f t="shared" si="27"/>
        <v>4.95</v>
      </c>
      <c r="N203" s="536">
        <f>IF(C203=0,N202,N202+1)</f>
        <v>0</v>
      </c>
      <c r="O203" s="1075">
        <f>SUM(G203:G211)</f>
        <v>0</v>
      </c>
    </row>
    <row r="204" spans="1:15" s="325" customFormat="1" x14ac:dyDescent="0.2">
      <c r="A204" s="318" t="s">
        <v>153</v>
      </c>
      <c r="B204" s="535" t="s">
        <v>602</v>
      </c>
      <c r="C204" s="536">
        <f>'Order form'!K520</f>
        <v>0</v>
      </c>
      <c r="D204" s="536" t="str">
        <f>'Order form'!I518</f>
        <v>T-DEBURR</v>
      </c>
      <c r="E204" s="536" t="s">
        <v>860</v>
      </c>
      <c r="F204" s="537">
        <f>'Order form'!I520</f>
        <v>30</v>
      </c>
      <c r="G204" s="537">
        <f t="shared" si="24"/>
        <v>0</v>
      </c>
      <c r="H204" s="538">
        <v>9.9000000000000005E-2</v>
      </c>
      <c r="I204" s="539">
        <f t="shared" si="28"/>
        <v>0</v>
      </c>
      <c r="J204" s="539" t="s">
        <v>22</v>
      </c>
      <c r="K204" s="539">
        <v>20</v>
      </c>
      <c r="L204" s="539">
        <f t="shared" si="26"/>
        <v>0</v>
      </c>
      <c r="M204" s="540">
        <f t="shared" si="27"/>
        <v>1.98</v>
      </c>
      <c r="N204" s="536">
        <f t="shared" si="19"/>
        <v>0</v>
      </c>
      <c r="O204" s="1075"/>
    </row>
    <row r="205" spans="1:15" s="325" customFormat="1" x14ac:dyDescent="0.2">
      <c r="A205" s="318" t="s">
        <v>153</v>
      </c>
      <c r="B205" s="535" t="s">
        <v>602</v>
      </c>
      <c r="C205" s="536">
        <f>'Order form'!P520</f>
        <v>0</v>
      </c>
      <c r="D205" s="536" t="str">
        <f>'Order form'!N518</f>
        <v>T-BDEB</v>
      </c>
      <c r="E205" s="536" t="s">
        <v>478</v>
      </c>
      <c r="F205" s="537">
        <f>'Order form'!N520</f>
        <v>30</v>
      </c>
      <c r="G205" s="537">
        <f t="shared" si="24"/>
        <v>0</v>
      </c>
      <c r="H205" s="538">
        <v>4.3999999999999997E-2</v>
      </c>
      <c r="I205" s="539">
        <f t="shared" si="28"/>
        <v>0</v>
      </c>
      <c r="J205" s="539" t="s">
        <v>22</v>
      </c>
      <c r="K205" s="539">
        <v>80</v>
      </c>
      <c r="L205" s="539">
        <f t="shared" si="26"/>
        <v>0</v>
      </c>
      <c r="M205" s="540">
        <f t="shared" si="27"/>
        <v>3.5199999999999996</v>
      </c>
      <c r="N205" s="536">
        <f t="shared" si="19"/>
        <v>0</v>
      </c>
      <c r="O205" s="1075"/>
    </row>
    <row r="206" spans="1:15" s="325" customFormat="1" x14ac:dyDescent="0.2">
      <c r="A206" s="318" t="s">
        <v>153</v>
      </c>
      <c r="B206" s="541" t="s">
        <v>603</v>
      </c>
      <c r="C206" s="536">
        <f>'Order form'!U520</f>
        <v>0</v>
      </c>
      <c r="D206" s="536" t="str">
        <f>'Order form'!S518</f>
        <v>T-SAW</v>
      </c>
      <c r="E206" s="536" t="s">
        <v>861</v>
      </c>
      <c r="F206" s="537">
        <f>'Order form'!S520</f>
        <v>425</v>
      </c>
      <c r="G206" s="537">
        <f t="shared" si="24"/>
        <v>0</v>
      </c>
      <c r="H206" s="538">
        <v>12.5</v>
      </c>
      <c r="I206" s="539">
        <f t="shared" si="28"/>
        <v>0</v>
      </c>
      <c r="J206" s="539" t="s">
        <v>22</v>
      </c>
      <c r="K206" s="539">
        <v>1</v>
      </c>
      <c r="L206" s="539">
        <f t="shared" si="26"/>
        <v>0</v>
      </c>
      <c r="M206" s="540">
        <f t="shared" si="27"/>
        <v>12.5</v>
      </c>
      <c r="N206" s="536">
        <f t="shared" si="19"/>
        <v>0</v>
      </c>
      <c r="O206" s="1075"/>
    </row>
    <row r="207" spans="1:15" s="325" customFormat="1" x14ac:dyDescent="0.2">
      <c r="A207" s="318" t="s">
        <v>153</v>
      </c>
      <c r="B207" s="535" t="s">
        <v>604</v>
      </c>
      <c r="C207" s="536">
        <f>'Order form'!Z520</f>
        <v>0</v>
      </c>
      <c r="D207" s="536" t="str">
        <f>'Order form'!X518</f>
        <v>T-BSAW</v>
      </c>
      <c r="E207" s="536" t="s">
        <v>862</v>
      </c>
      <c r="F207" s="537">
        <f>'Order form'!X520</f>
        <v>40</v>
      </c>
      <c r="G207" s="537">
        <f t="shared" si="24"/>
        <v>0</v>
      </c>
      <c r="H207" s="538">
        <v>0.35</v>
      </c>
      <c r="I207" s="539">
        <f t="shared" si="28"/>
        <v>0</v>
      </c>
      <c r="J207" s="539" t="s">
        <v>22</v>
      </c>
      <c r="K207" s="539">
        <v>1</v>
      </c>
      <c r="L207" s="539">
        <f t="shared" si="26"/>
        <v>0</v>
      </c>
      <c r="M207" s="540">
        <f t="shared" si="27"/>
        <v>0.35</v>
      </c>
      <c r="N207" s="536">
        <f t="shared" si="19"/>
        <v>0</v>
      </c>
      <c r="O207" s="1075"/>
    </row>
    <row r="208" spans="1:15" s="325" customFormat="1" x14ac:dyDescent="0.2">
      <c r="A208" s="318" t="s">
        <v>153</v>
      </c>
      <c r="B208" s="535" t="s">
        <v>605</v>
      </c>
      <c r="C208" s="536">
        <f>'Order form'!F530</f>
        <v>0</v>
      </c>
      <c r="D208" s="536" t="str">
        <f>'Order form'!D528</f>
        <v>T-CUTTER</v>
      </c>
      <c r="E208" s="536" t="s">
        <v>863</v>
      </c>
      <c r="F208" s="537">
        <f>'Order form'!D530</f>
        <v>55</v>
      </c>
      <c r="G208" s="537">
        <f t="shared" si="24"/>
        <v>0</v>
      </c>
      <c r="H208" s="538">
        <v>0.95920000000000005</v>
      </c>
      <c r="I208" s="539">
        <f t="shared" si="28"/>
        <v>0</v>
      </c>
      <c r="J208" s="539" t="s">
        <v>22</v>
      </c>
      <c r="K208" s="539">
        <v>10</v>
      </c>
      <c r="L208" s="539">
        <f t="shared" si="26"/>
        <v>0</v>
      </c>
      <c r="M208" s="540">
        <f t="shared" si="27"/>
        <v>9.5920000000000005</v>
      </c>
      <c r="N208" s="536">
        <f t="shared" si="19"/>
        <v>0</v>
      </c>
      <c r="O208" s="1075"/>
    </row>
    <row r="209" spans="1:15" s="325" customFormat="1" x14ac:dyDescent="0.2">
      <c r="A209" s="318" t="s">
        <v>153</v>
      </c>
      <c r="B209" s="535" t="s">
        <v>605</v>
      </c>
      <c r="C209" s="536">
        <f>'Order form'!K530</f>
        <v>0</v>
      </c>
      <c r="D209" s="536" t="str">
        <f>'Order form'!I528</f>
        <v>T-BCUT</v>
      </c>
      <c r="E209" s="536" t="s">
        <v>684</v>
      </c>
      <c r="F209" s="537">
        <f>'Order form'!I530</f>
        <v>15</v>
      </c>
      <c r="G209" s="537">
        <f t="shared" si="24"/>
        <v>0</v>
      </c>
      <c r="H209" s="538">
        <v>3.3000000000000002E-2</v>
      </c>
      <c r="I209" s="539">
        <f t="shared" si="28"/>
        <v>0</v>
      </c>
      <c r="J209" s="539" t="s">
        <v>22</v>
      </c>
      <c r="K209" s="539">
        <v>80</v>
      </c>
      <c r="L209" s="539">
        <f t="shared" si="26"/>
        <v>0</v>
      </c>
      <c r="M209" s="540">
        <f t="shared" si="27"/>
        <v>2.64</v>
      </c>
      <c r="N209" s="536">
        <f t="shared" ref="N209:N231" si="42">IF(C209=0,N208,N208+1)</f>
        <v>0</v>
      </c>
      <c r="O209" s="1075"/>
    </row>
    <row r="210" spans="1:15" s="325" customFormat="1" x14ac:dyDescent="0.2">
      <c r="A210" s="318" t="s">
        <v>153</v>
      </c>
      <c r="B210" s="535" t="s">
        <v>158</v>
      </c>
      <c r="C210" s="536">
        <f>'Order form'!P530</f>
        <v>0</v>
      </c>
      <c r="D210" s="536" t="str">
        <f>'Order form'!N528</f>
        <v>T-HANDLE</v>
      </c>
      <c r="E210" s="536" t="s">
        <v>680</v>
      </c>
      <c r="F210" s="537">
        <f>'Order form'!N530</f>
        <v>9</v>
      </c>
      <c r="G210" s="537">
        <f t="shared" si="24"/>
        <v>0</v>
      </c>
      <c r="H210" s="538">
        <v>0.121</v>
      </c>
      <c r="I210" s="539">
        <f t="shared" si="28"/>
        <v>0</v>
      </c>
      <c r="J210" s="539" t="s">
        <v>22</v>
      </c>
      <c r="K210" s="539">
        <v>20</v>
      </c>
      <c r="L210" s="539">
        <f t="shared" si="26"/>
        <v>0</v>
      </c>
      <c r="M210" s="540">
        <f t="shared" si="27"/>
        <v>2.42</v>
      </c>
      <c r="N210" s="536">
        <f t="shared" si="42"/>
        <v>0</v>
      </c>
      <c r="O210" s="1075"/>
    </row>
    <row r="211" spans="1:15" s="325" customFormat="1" x14ac:dyDescent="0.2">
      <c r="A211" s="318" t="s">
        <v>153</v>
      </c>
      <c r="B211" s="535" t="s">
        <v>158</v>
      </c>
      <c r="C211" s="536">
        <f>'Order form'!U530</f>
        <v>0</v>
      </c>
      <c r="D211" s="536" t="str">
        <f>'Order form'!S528</f>
        <v>T-BIT</v>
      </c>
      <c r="E211" s="536" t="s">
        <v>864</v>
      </c>
      <c r="F211" s="537">
        <f>'Order form'!S530</f>
        <v>34</v>
      </c>
      <c r="G211" s="537">
        <f t="shared" si="24"/>
        <v>0</v>
      </c>
      <c r="H211" s="538">
        <v>0.05</v>
      </c>
      <c r="I211" s="539">
        <f t="shared" si="28"/>
        <v>0</v>
      </c>
      <c r="J211" s="539" t="s">
        <v>22</v>
      </c>
      <c r="K211" s="539">
        <v>80</v>
      </c>
      <c r="L211" s="539">
        <f t="shared" si="26"/>
        <v>0</v>
      </c>
      <c r="M211" s="540">
        <f t="shared" si="27"/>
        <v>4</v>
      </c>
      <c r="N211" s="536">
        <f t="shared" si="42"/>
        <v>0</v>
      </c>
      <c r="O211" s="1076"/>
    </row>
    <row r="212" spans="1:15" s="325" customFormat="1" x14ac:dyDescent="0.2">
      <c r="A212" s="318" t="s">
        <v>155</v>
      </c>
      <c r="B212" s="501" t="s">
        <v>158</v>
      </c>
      <c r="C212" s="320">
        <f>'Order form'!F542</f>
        <v>0</v>
      </c>
      <c r="D212" s="320" t="str">
        <f>'Order form'!D540</f>
        <v>USM</v>
      </c>
      <c r="E212" s="320" t="s">
        <v>686</v>
      </c>
      <c r="F212" s="321">
        <f>'Order form'!D542</f>
        <v>28</v>
      </c>
      <c r="G212" s="321">
        <f t="shared" si="24"/>
        <v>0</v>
      </c>
      <c r="H212" s="322">
        <v>2</v>
      </c>
      <c r="I212" s="323">
        <f t="shared" si="28"/>
        <v>0</v>
      </c>
      <c r="J212" s="323" t="s">
        <v>22</v>
      </c>
      <c r="K212" s="323">
        <v>1</v>
      </c>
      <c r="L212" s="323">
        <f t="shared" si="26"/>
        <v>0</v>
      </c>
      <c r="M212" s="324">
        <f t="shared" si="27"/>
        <v>2</v>
      </c>
      <c r="N212" s="194">
        <f t="shared" si="42"/>
        <v>0</v>
      </c>
      <c r="O212" s="1066">
        <f>SUM(G212:G226)</f>
        <v>0</v>
      </c>
    </row>
    <row r="213" spans="1:15" s="325" customFormat="1" x14ac:dyDescent="0.2">
      <c r="A213" s="318" t="s">
        <v>155</v>
      </c>
      <c r="B213" s="501" t="s">
        <v>158</v>
      </c>
      <c r="C213" s="320">
        <f>'Order form'!K542</f>
        <v>0</v>
      </c>
      <c r="D213" s="320" t="str">
        <f>'Order form'!I540</f>
        <v>LSM</v>
      </c>
      <c r="E213" s="320" t="s">
        <v>687</v>
      </c>
      <c r="F213" s="321">
        <f>'Order form'!I542</f>
        <v>32</v>
      </c>
      <c r="G213" s="321">
        <f t="shared" si="24"/>
        <v>0</v>
      </c>
      <c r="H213" s="322">
        <v>1.6279999999999999</v>
      </c>
      <c r="I213" s="323">
        <f t="shared" si="28"/>
        <v>0</v>
      </c>
      <c r="J213" s="323" t="s">
        <v>22</v>
      </c>
      <c r="K213" s="323">
        <v>1</v>
      </c>
      <c r="L213" s="323">
        <f t="shared" si="26"/>
        <v>0</v>
      </c>
      <c r="M213" s="324">
        <f t="shared" si="27"/>
        <v>1.6279999999999999</v>
      </c>
      <c r="N213" s="194">
        <f t="shared" si="42"/>
        <v>0</v>
      </c>
      <c r="O213" s="1069"/>
    </row>
    <row r="214" spans="1:15" s="325" customFormat="1" x14ac:dyDescent="0.2">
      <c r="A214" s="318" t="s">
        <v>155</v>
      </c>
      <c r="B214" s="319" t="s">
        <v>541</v>
      </c>
      <c r="C214" s="320">
        <f>'Order form'!P542</f>
        <v>0</v>
      </c>
      <c r="D214" s="320" t="str">
        <f>'Order form'!N540</f>
        <v>PI-3/46</v>
      </c>
      <c r="E214" s="320" t="s">
        <v>865</v>
      </c>
      <c r="F214" s="321">
        <f>'Order form'!N542</f>
        <v>6.75</v>
      </c>
      <c r="G214" s="321">
        <f t="shared" si="24"/>
        <v>0</v>
      </c>
      <c r="H214" s="322">
        <v>0.108</v>
      </c>
      <c r="I214" s="323">
        <f t="shared" si="28"/>
        <v>0</v>
      </c>
      <c r="J214" s="323" t="s">
        <v>22</v>
      </c>
      <c r="K214" s="323">
        <v>1</v>
      </c>
      <c r="L214" s="323">
        <f t="shared" si="26"/>
        <v>0</v>
      </c>
      <c r="M214" s="324">
        <f t="shared" si="27"/>
        <v>0.108</v>
      </c>
      <c r="N214" s="194">
        <f t="shared" si="42"/>
        <v>0</v>
      </c>
      <c r="O214" s="1069"/>
    </row>
    <row r="215" spans="1:15" s="325" customFormat="1" x14ac:dyDescent="0.2">
      <c r="A215" s="318" t="s">
        <v>153</v>
      </c>
      <c r="B215" s="319" t="s">
        <v>158</v>
      </c>
      <c r="C215" s="320">
        <f>'Order form'!U542</f>
        <v>0</v>
      </c>
      <c r="D215" s="320" t="str">
        <f>'Order form'!S540</f>
        <v>HAN-NIC</v>
      </c>
      <c r="E215" s="320" t="s">
        <v>520</v>
      </c>
      <c r="F215" s="321">
        <f>'Order form'!S542</f>
        <v>4.75</v>
      </c>
      <c r="G215" s="321">
        <f t="shared" si="24"/>
        <v>0</v>
      </c>
      <c r="H215" s="322">
        <v>0.11799999999999999</v>
      </c>
      <c r="I215" s="323">
        <f t="shared" si="28"/>
        <v>0</v>
      </c>
      <c r="J215" s="323" t="s">
        <v>22</v>
      </c>
      <c r="K215" s="323">
        <v>1</v>
      </c>
      <c r="L215" s="323">
        <f t="shared" ref="L215:L226" si="43">C215/K215</f>
        <v>0</v>
      </c>
      <c r="M215" s="324">
        <f t="shared" ref="M215:M226" si="44">K215*H215</f>
        <v>0.11799999999999999</v>
      </c>
      <c r="N215" s="194">
        <f t="shared" si="42"/>
        <v>0</v>
      </c>
      <c r="O215" s="1069"/>
    </row>
    <row r="216" spans="1:15" s="325" customFormat="1" x14ac:dyDescent="0.2">
      <c r="A216" s="318" t="s">
        <v>153</v>
      </c>
      <c r="B216" s="319" t="s">
        <v>158</v>
      </c>
      <c r="C216" s="320">
        <f>'Order form'!Z542</f>
        <v>0</v>
      </c>
      <c r="D216" s="320" t="str">
        <f>'Order form'!X540</f>
        <v>TT1</v>
      </c>
      <c r="E216" s="320" t="s">
        <v>521</v>
      </c>
      <c r="F216" s="321">
        <f>'Order form'!X542</f>
        <v>12</v>
      </c>
      <c r="G216" s="321">
        <f t="shared" si="24"/>
        <v>0</v>
      </c>
      <c r="H216" s="322">
        <v>3.7480000000000002</v>
      </c>
      <c r="I216" s="323">
        <f t="shared" si="28"/>
        <v>0</v>
      </c>
      <c r="J216" s="323" t="s">
        <v>22</v>
      </c>
      <c r="K216" s="323">
        <v>1</v>
      </c>
      <c r="L216" s="323">
        <f t="shared" si="43"/>
        <v>0</v>
      </c>
      <c r="M216" s="324">
        <f t="shared" si="44"/>
        <v>3.7480000000000002</v>
      </c>
      <c r="N216" s="194">
        <f t="shared" si="42"/>
        <v>0</v>
      </c>
      <c r="O216" s="1069"/>
    </row>
    <row r="217" spans="1:15" s="325" customFormat="1" x14ac:dyDescent="0.2">
      <c r="A217" s="318" t="s">
        <v>154</v>
      </c>
      <c r="B217" s="319" t="s">
        <v>542</v>
      </c>
      <c r="C217" s="320">
        <f>'Order form'!F552</f>
        <v>0</v>
      </c>
      <c r="D217" s="320" t="str">
        <f>'Order form'!D550</f>
        <v>CF-463/4-4lbs</v>
      </c>
      <c r="E217" s="320" t="s">
        <v>881</v>
      </c>
      <c r="F217" s="321">
        <f>'Order form'!D552</f>
        <v>155</v>
      </c>
      <c r="G217" s="321">
        <f t="shared" si="24"/>
        <v>0</v>
      </c>
      <c r="H217" s="322">
        <v>14</v>
      </c>
      <c r="I217" s="323">
        <f t="shared" si="28"/>
        <v>0</v>
      </c>
      <c r="J217" s="323" t="s">
        <v>22</v>
      </c>
      <c r="K217" s="323">
        <v>1</v>
      </c>
      <c r="L217" s="323">
        <f t="shared" si="43"/>
        <v>0</v>
      </c>
      <c r="M217" s="324">
        <f t="shared" si="44"/>
        <v>14</v>
      </c>
      <c r="N217" s="194">
        <f t="shared" si="42"/>
        <v>0</v>
      </c>
      <c r="O217" s="1069"/>
    </row>
    <row r="218" spans="1:15" s="325" customFormat="1" x14ac:dyDescent="0.2">
      <c r="A218" s="318" t="s">
        <v>154</v>
      </c>
      <c r="B218" s="319" t="s">
        <v>542</v>
      </c>
      <c r="C218" s="320">
        <f>'Order form'!K552</f>
        <v>0</v>
      </c>
      <c r="D218" s="320" t="str">
        <f>'Order form'!I550</f>
        <v>CF-461/8-4lbs</v>
      </c>
      <c r="E218" s="320" t="s">
        <v>882</v>
      </c>
      <c r="F218" s="321">
        <f>'Order form'!I552</f>
        <v>80</v>
      </c>
      <c r="G218" s="321">
        <f t="shared" si="24"/>
        <v>0</v>
      </c>
      <c r="H218" s="322">
        <v>5</v>
      </c>
      <c r="I218" s="323">
        <f t="shared" si="28"/>
        <v>0</v>
      </c>
      <c r="J218" s="323" t="s">
        <v>22</v>
      </c>
      <c r="K218" s="323">
        <v>1</v>
      </c>
      <c r="L218" s="323">
        <f t="shared" si="43"/>
        <v>0</v>
      </c>
      <c r="M218" s="324">
        <f t="shared" si="44"/>
        <v>5</v>
      </c>
      <c r="N218" s="194">
        <f t="shared" si="42"/>
        <v>0</v>
      </c>
      <c r="O218" s="1069"/>
    </row>
    <row r="219" spans="1:15" s="325" customFormat="1" x14ac:dyDescent="0.2">
      <c r="A219" s="318" t="s">
        <v>154</v>
      </c>
      <c r="B219" s="319" t="s">
        <v>542</v>
      </c>
      <c r="C219" s="320">
        <f>'Order form'!P552</f>
        <v>0</v>
      </c>
      <c r="D219" s="320" t="str">
        <f>'Order form'!N550</f>
        <v>EF-491-1,7lbs</v>
      </c>
      <c r="E219" s="320" t="s">
        <v>866</v>
      </c>
      <c r="F219" s="321">
        <f>'Order form'!N552</f>
        <v>90</v>
      </c>
      <c r="G219" s="321">
        <f t="shared" si="24"/>
        <v>0</v>
      </c>
      <c r="H219" s="322">
        <v>6.18</v>
      </c>
      <c r="I219" s="323">
        <f t="shared" si="28"/>
        <v>0</v>
      </c>
      <c r="J219" s="323" t="s">
        <v>22</v>
      </c>
      <c r="K219" s="323">
        <v>1</v>
      </c>
      <c r="L219" s="323">
        <f t="shared" si="43"/>
        <v>0</v>
      </c>
      <c r="M219" s="324">
        <f t="shared" si="44"/>
        <v>6.18</v>
      </c>
      <c r="N219" s="194">
        <f t="shared" si="42"/>
        <v>0</v>
      </c>
      <c r="O219" s="1069"/>
    </row>
    <row r="220" spans="1:15" s="325" customFormat="1" x14ac:dyDescent="0.2">
      <c r="A220" s="318" t="s">
        <v>155</v>
      </c>
      <c r="B220" s="319" t="s">
        <v>158</v>
      </c>
      <c r="C220" s="320">
        <f>'Order form'!U552</f>
        <v>0</v>
      </c>
      <c r="D220" s="320" t="str">
        <f>'Order form'!S550</f>
        <v>D-WIRE-MESH</v>
      </c>
      <c r="E220" s="320" t="s">
        <v>537</v>
      </c>
      <c r="F220" s="321">
        <f>'Order form'!S552</f>
        <v>85</v>
      </c>
      <c r="G220" s="321">
        <f t="shared" si="24"/>
        <v>0</v>
      </c>
      <c r="H220" s="322">
        <v>3.3639999999999999</v>
      </c>
      <c r="I220" s="323">
        <f t="shared" si="28"/>
        <v>0</v>
      </c>
      <c r="J220" s="323" t="s">
        <v>22</v>
      </c>
      <c r="K220" s="323">
        <v>1</v>
      </c>
      <c r="L220" s="323">
        <f t="shared" si="43"/>
        <v>0</v>
      </c>
      <c r="M220" s="324">
        <f t="shared" si="44"/>
        <v>3.3639999999999999</v>
      </c>
      <c r="N220" s="194">
        <f t="shared" si="42"/>
        <v>0</v>
      </c>
      <c r="O220" s="1069"/>
    </row>
    <row r="221" spans="1:15" s="325" customFormat="1" x14ac:dyDescent="0.2">
      <c r="A221" s="318" t="s">
        <v>155</v>
      </c>
      <c r="B221" s="319" t="s">
        <v>158</v>
      </c>
      <c r="C221" s="320">
        <f>'Order form'!Z552</f>
        <v>0</v>
      </c>
      <c r="D221" s="320" t="str">
        <f>'Order form'!X550</f>
        <v>D-ALUW-481/8</v>
      </c>
      <c r="E221" s="320" t="s">
        <v>536</v>
      </c>
      <c r="F221" s="321">
        <f>'Order form'!X552</f>
        <v>105</v>
      </c>
      <c r="G221" s="321">
        <f t="shared" si="24"/>
        <v>0</v>
      </c>
      <c r="H221" s="322">
        <v>3.464</v>
      </c>
      <c r="I221" s="323">
        <f t="shared" si="28"/>
        <v>0</v>
      </c>
      <c r="J221" s="323" t="s">
        <v>22</v>
      </c>
      <c r="K221" s="323">
        <v>1</v>
      </c>
      <c r="L221" s="323">
        <f t="shared" si="43"/>
        <v>0</v>
      </c>
      <c r="M221" s="324">
        <f t="shared" si="44"/>
        <v>3.464</v>
      </c>
      <c r="N221" s="194">
        <f t="shared" si="42"/>
        <v>0</v>
      </c>
      <c r="O221" s="1069"/>
    </row>
    <row r="222" spans="1:15" s="325" customFormat="1" x14ac:dyDescent="0.2">
      <c r="A222" s="318" t="s">
        <v>155</v>
      </c>
      <c r="B222" s="319" t="s">
        <v>543</v>
      </c>
      <c r="C222" s="320">
        <f>'Order form'!F562</f>
        <v>0</v>
      </c>
      <c r="D222" s="320" t="str">
        <f>'Order form'!D560</f>
        <v>G-201</v>
      </c>
      <c r="E222" s="320" t="s">
        <v>867</v>
      </c>
      <c r="F222" s="321">
        <f>'Order form'!D562</f>
        <v>80</v>
      </c>
      <c r="G222" s="321">
        <f t="shared" si="24"/>
        <v>0</v>
      </c>
      <c r="H222" s="322">
        <v>10</v>
      </c>
      <c r="I222" s="323">
        <f t="shared" si="28"/>
        <v>0</v>
      </c>
      <c r="J222" s="323" t="s">
        <v>22</v>
      </c>
      <c r="K222" s="323">
        <v>1</v>
      </c>
      <c r="L222" s="323">
        <f t="shared" si="43"/>
        <v>0</v>
      </c>
      <c r="M222" s="324">
        <f t="shared" si="44"/>
        <v>10</v>
      </c>
      <c r="N222" s="194">
        <f t="shared" si="42"/>
        <v>0</v>
      </c>
      <c r="O222" s="1069"/>
    </row>
    <row r="223" spans="1:15" s="325" customFormat="1" x14ac:dyDescent="0.2">
      <c r="A223" s="318" t="s">
        <v>155</v>
      </c>
      <c r="B223" s="319" t="s">
        <v>543</v>
      </c>
      <c r="C223" s="320">
        <f>'Order form'!K562</f>
        <v>0</v>
      </c>
      <c r="D223" s="320" t="str">
        <f>'Order form'!I560</f>
        <v>G-203</v>
      </c>
      <c r="E223" s="320" t="s">
        <v>868</v>
      </c>
      <c r="F223" s="321">
        <f>'Order form'!I562</f>
        <v>120</v>
      </c>
      <c r="G223" s="321">
        <f t="shared" si="24"/>
        <v>0</v>
      </c>
      <c r="H223" s="322">
        <v>20</v>
      </c>
      <c r="I223" s="323">
        <f t="shared" si="28"/>
        <v>0</v>
      </c>
      <c r="J223" s="323" t="s">
        <v>22</v>
      </c>
      <c r="K223" s="323">
        <v>1</v>
      </c>
      <c r="L223" s="323">
        <f t="shared" si="43"/>
        <v>0</v>
      </c>
      <c r="M223" s="324">
        <f t="shared" si="44"/>
        <v>20</v>
      </c>
      <c r="N223" s="194">
        <f t="shared" si="42"/>
        <v>0</v>
      </c>
      <c r="O223" s="1069"/>
    </row>
    <row r="224" spans="1:15" s="325" customFormat="1" x14ac:dyDescent="0.2">
      <c r="A224" s="318" t="s">
        <v>155</v>
      </c>
      <c r="B224" s="319" t="s">
        <v>543</v>
      </c>
      <c r="C224" s="320">
        <f>'Order form'!P562</f>
        <v>0</v>
      </c>
      <c r="D224" s="320" t="str">
        <f>'Order form'!N560</f>
        <v>G-204</v>
      </c>
      <c r="E224" s="320" t="s">
        <v>869</v>
      </c>
      <c r="F224" s="321">
        <f>'Order form'!N562</f>
        <v>120</v>
      </c>
      <c r="G224" s="321">
        <f t="shared" si="24"/>
        <v>0</v>
      </c>
      <c r="H224" s="322">
        <v>58</v>
      </c>
      <c r="I224" s="323">
        <f t="shared" ref="I224" si="45">C224*H224</f>
        <v>0</v>
      </c>
      <c r="J224" s="323" t="s">
        <v>22</v>
      </c>
      <c r="K224" s="323">
        <v>1</v>
      </c>
      <c r="L224" s="323">
        <f t="shared" si="43"/>
        <v>0</v>
      </c>
      <c r="M224" s="324">
        <f t="shared" si="44"/>
        <v>58</v>
      </c>
      <c r="N224" s="194">
        <f t="shared" si="42"/>
        <v>0</v>
      </c>
      <c r="O224" s="1069"/>
    </row>
    <row r="225" spans="1:16" s="325" customFormat="1" x14ac:dyDescent="0.2">
      <c r="A225" s="318" t="s">
        <v>155</v>
      </c>
      <c r="B225" s="319" t="s">
        <v>543</v>
      </c>
      <c r="C225" s="320">
        <f>'Order form'!U562</f>
        <v>0</v>
      </c>
      <c r="D225" s="320" t="str">
        <f>'Order form'!S560</f>
        <v>G-206</v>
      </c>
      <c r="E225" s="320" t="s">
        <v>883</v>
      </c>
      <c r="F225" s="321">
        <f>'Order form'!S562</f>
        <v>305</v>
      </c>
      <c r="G225" s="321">
        <f t="shared" si="24"/>
        <v>0</v>
      </c>
      <c r="H225" s="322">
        <v>69</v>
      </c>
      <c r="I225" s="323">
        <f t="shared" si="28"/>
        <v>0</v>
      </c>
      <c r="J225" s="323" t="s">
        <v>22</v>
      </c>
      <c r="K225" s="323">
        <v>1</v>
      </c>
      <c r="L225" s="323">
        <f t="shared" si="43"/>
        <v>0</v>
      </c>
      <c r="M225" s="324">
        <f t="shared" si="44"/>
        <v>69</v>
      </c>
      <c r="N225" s="194">
        <f t="shared" si="42"/>
        <v>0</v>
      </c>
      <c r="O225" s="1069"/>
    </row>
    <row r="226" spans="1:16" s="325" customFormat="1" x14ac:dyDescent="0.2">
      <c r="A226" s="318" t="s">
        <v>155</v>
      </c>
      <c r="B226" s="319" t="s">
        <v>543</v>
      </c>
      <c r="C226" s="320">
        <f>'Order form'!Z562</f>
        <v>0</v>
      </c>
      <c r="D226" s="320" t="str">
        <f>'Order form'!X560</f>
        <v>G-208</v>
      </c>
      <c r="E226" s="320" t="s">
        <v>884</v>
      </c>
      <c r="F226" s="321">
        <f>'Order form'!X562</f>
        <v>400</v>
      </c>
      <c r="G226" s="321">
        <f t="shared" si="24"/>
        <v>0</v>
      </c>
      <c r="H226" s="322">
        <v>80</v>
      </c>
      <c r="I226" s="323">
        <f t="shared" si="28"/>
        <v>0</v>
      </c>
      <c r="J226" s="323" t="s">
        <v>22</v>
      </c>
      <c r="K226" s="323">
        <v>1</v>
      </c>
      <c r="L226" s="323">
        <f t="shared" si="43"/>
        <v>0</v>
      </c>
      <c r="M226" s="324">
        <f t="shared" si="44"/>
        <v>80</v>
      </c>
      <c r="N226" s="194">
        <f t="shared" si="42"/>
        <v>0</v>
      </c>
      <c r="O226" s="1077"/>
    </row>
    <row r="227" spans="1:16" x14ac:dyDescent="0.2">
      <c r="A227" s="192"/>
      <c r="B227" s="193"/>
      <c r="C227" s="194">
        <f>IF('Order form'!Y582&gt;0,1,0)</f>
        <v>0</v>
      </c>
      <c r="D227" s="194"/>
      <c r="E227" s="194" t="str">
        <f>'Order form'!S582</f>
        <v>OTHER MATERIAL:</v>
      </c>
      <c r="F227" s="188">
        <f>'Order form'!Y582</f>
        <v>0</v>
      </c>
      <c r="G227" s="188">
        <f>F227</f>
        <v>0</v>
      </c>
      <c r="H227" s="189">
        <f>'Order form'!AC582</f>
        <v>0</v>
      </c>
      <c r="I227" s="189">
        <f>H227</f>
        <v>0</v>
      </c>
      <c r="J227" s="190"/>
      <c r="K227" s="190"/>
      <c r="L227" s="190"/>
      <c r="M227" s="195"/>
      <c r="N227" s="194">
        <f t="shared" si="42"/>
        <v>0</v>
      </c>
      <c r="O227" s="191"/>
      <c r="P227" s="166" t="s">
        <v>406</v>
      </c>
    </row>
    <row r="228" spans="1:16" x14ac:dyDescent="0.2">
      <c r="A228" s="192"/>
      <c r="B228" s="193"/>
      <c r="C228" s="194">
        <f>IF('Order form'!Y583&gt;0,1,0)</f>
        <v>0</v>
      </c>
      <c r="D228" s="194"/>
      <c r="E228" s="194" t="str">
        <f>'Order form'!S583</f>
        <v>OTHER MATERIAL:</v>
      </c>
      <c r="F228" s="188">
        <f>'Order form'!Y583</f>
        <v>0</v>
      </c>
      <c r="G228" s="188">
        <f>F228</f>
        <v>0</v>
      </c>
      <c r="H228" s="189">
        <f>'Order form'!AC583</f>
        <v>0</v>
      </c>
      <c r="I228" s="189">
        <f>H228</f>
        <v>0</v>
      </c>
      <c r="J228" s="190"/>
      <c r="K228" s="190"/>
      <c r="L228" s="190"/>
      <c r="M228" s="195"/>
      <c r="N228" s="194">
        <f t="shared" si="42"/>
        <v>0</v>
      </c>
      <c r="O228" s="191"/>
      <c r="P228" s="166" t="s">
        <v>406</v>
      </c>
    </row>
    <row r="229" spans="1:16" s="200" customFormat="1" x14ac:dyDescent="0.2">
      <c r="A229" s="196"/>
      <c r="B229" s="196"/>
      <c r="C229" s="194">
        <f>IF('Order form'!Y585&gt;0,1,0)</f>
        <v>1</v>
      </c>
      <c r="D229" s="194"/>
      <c r="E229" s="194" t="str">
        <f>'Order form'!S585</f>
        <v>PREPARATION CHARGE:</v>
      </c>
      <c r="F229" s="197">
        <f>'Order form'!Y585</f>
        <v>25</v>
      </c>
      <c r="G229" s="188">
        <f t="shared" ref="G229:G231" si="46">F229*C229</f>
        <v>25</v>
      </c>
      <c r="H229" s="198"/>
      <c r="I229" s="194">
        <v>0</v>
      </c>
      <c r="J229" s="194"/>
      <c r="K229" s="194"/>
      <c r="L229" s="194"/>
      <c r="M229" s="199"/>
      <c r="N229" s="194">
        <f t="shared" si="42"/>
        <v>1</v>
      </c>
      <c r="O229" s="191"/>
      <c r="P229" s="166" t="s">
        <v>405</v>
      </c>
    </row>
    <row r="230" spans="1:16" s="200" customFormat="1" x14ac:dyDescent="0.2">
      <c r="A230" s="196"/>
      <c r="B230" s="196"/>
      <c r="C230" s="194">
        <f>IF('Order form'!Y586&gt;0,1,0)</f>
        <v>0</v>
      </c>
      <c r="D230" s="194"/>
      <c r="E230" s="194" t="str">
        <f>'Order form'!S586</f>
        <v>CUTTING CHARGE:</v>
      </c>
      <c r="F230" s="197">
        <f>'Order form'!Y586</f>
        <v>0</v>
      </c>
      <c r="G230" s="188">
        <f t="shared" si="46"/>
        <v>0</v>
      </c>
      <c r="H230" s="198"/>
      <c r="I230" s="194">
        <v>0</v>
      </c>
      <c r="J230" s="194"/>
      <c r="K230" s="194"/>
      <c r="L230" s="194"/>
      <c r="M230" s="199"/>
      <c r="N230" s="194">
        <f t="shared" si="42"/>
        <v>1</v>
      </c>
      <c r="O230" s="191"/>
      <c r="P230" s="166" t="s">
        <v>405</v>
      </c>
    </row>
    <row r="231" spans="1:16" s="200" customFormat="1" x14ac:dyDescent="0.2">
      <c r="A231" s="196"/>
      <c r="B231" s="196"/>
      <c r="C231" s="194">
        <f>IF('Order form'!Y587&gt;0,1,0)</f>
        <v>0</v>
      </c>
      <c r="D231" s="194"/>
      <c r="E231" s="194" t="str">
        <f>'Order form'!S587</f>
        <v>SHIPPING CHARGE:</v>
      </c>
      <c r="F231" s="197">
        <f>'Order form'!Y587</f>
        <v>0</v>
      </c>
      <c r="G231" s="188">
        <f t="shared" si="46"/>
        <v>0</v>
      </c>
      <c r="H231" s="198"/>
      <c r="I231" s="194">
        <v>0</v>
      </c>
      <c r="J231" s="194"/>
      <c r="K231" s="194"/>
      <c r="L231" s="194"/>
      <c r="M231" s="199"/>
      <c r="N231" s="194">
        <f t="shared" si="42"/>
        <v>1</v>
      </c>
      <c r="O231" s="191"/>
      <c r="P231" s="166" t="s">
        <v>405</v>
      </c>
    </row>
    <row r="232" spans="1:16" ht="6" customHeight="1" x14ac:dyDescent="0.2">
      <c r="A232" s="196"/>
      <c r="B232" s="196"/>
      <c r="C232" s="196"/>
      <c r="D232" s="196"/>
      <c r="E232" s="196"/>
      <c r="F232" s="201"/>
      <c r="G232" s="201"/>
      <c r="H232" s="202"/>
      <c r="I232" s="196"/>
      <c r="J232" s="196"/>
      <c r="K232" s="196"/>
      <c r="L232" s="196"/>
      <c r="M232" s="195"/>
      <c r="N232" s="194"/>
      <c r="O232" s="196"/>
    </row>
    <row r="233" spans="1:16" s="207" customFormat="1" ht="18.75" x14ac:dyDescent="0.3">
      <c r="A233" s="203"/>
      <c r="B233" s="203"/>
      <c r="C233" s="203"/>
      <c r="D233" s="203" t="s">
        <v>7</v>
      </c>
      <c r="E233" s="203"/>
      <c r="F233" s="204"/>
      <c r="G233" s="204" t="e">
        <f>SUM(G2:G231)</f>
        <v>#VALUE!</v>
      </c>
      <c r="H233" s="205"/>
      <c r="I233" s="203">
        <f>SUM(I4:I231)</f>
        <v>0</v>
      </c>
      <c r="J233" s="203"/>
      <c r="K233" s="203"/>
      <c r="L233" s="203"/>
      <c r="M233" s="206"/>
      <c r="N233" s="203"/>
      <c r="O233" s="203"/>
    </row>
    <row r="234" spans="1:16" x14ac:dyDescent="0.2">
      <c r="F234" s="166"/>
      <c r="G234" s="166"/>
      <c r="H234" s="1073" t="s">
        <v>102</v>
      </c>
      <c r="I234" s="1073"/>
      <c r="J234" s="1073"/>
      <c r="K234" s="1073"/>
      <c r="L234" s="166">
        <f>ROUNDUP(L4+L5+L6+L7+L8+L9+L10+L11+L12+L13+L21+L22,0)</f>
        <v>0</v>
      </c>
    </row>
    <row r="235" spans="1:16" x14ac:dyDescent="0.2">
      <c r="F235" s="166"/>
      <c r="G235" s="166"/>
      <c r="H235" s="1074" t="s">
        <v>388</v>
      </c>
      <c r="I235" s="1074"/>
      <c r="J235" s="1074"/>
      <c r="K235" s="1074"/>
      <c r="L235" s="166">
        <f>ROUNDUP(SUM(L14:L20)+SUM(L28:L49)+SUM(L70:L89)+SUM(L110:L150)+SUM(L155:L174)+SUM(L177:L188)+SUM(L203:L211),0)</f>
        <v>0</v>
      </c>
    </row>
    <row r="236" spans="1:16" x14ac:dyDescent="0.2">
      <c r="F236" s="166"/>
      <c r="G236" s="166"/>
      <c r="H236" s="1074" t="s">
        <v>606</v>
      </c>
      <c r="I236" s="1074"/>
      <c r="J236" s="1074"/>
      <c r="K236" s="1074"/>
      <c r="L236" s="166">
        <f>ROUNDUP(SUM(L151:L154)+SUM(L194:L198),0)</f>
        <v>0</v>
      </c>
    </row>
    <row r="237" spans="1:16" x14ac:dyDescent="0.2">
      <c r="F237" s="166"/>
      <c r="G237" s="166"/>
      <c r="H237" s="1074"/>
      <c r="I237" s="1074"/>
      <c r="J237" s="1074"/>
      <c r="K237" s="1074"/>
    </row>
    <row r="238" spans="1:16" x14ac:dyDescent="0.2">
      <c r="C238" s="190" t="str">
        <f>Quotation!B60</f>
        <v>TRANSPORT SHOULD BE DONE BY:</v>
      </c>
      <c r="D238" s="196" t="s">
        <v>31</v>
      </c>
      <c r="E238" s="196">
        <f>Quotation!D60</f>
        <v>0</v>
      </c>
      <c r="F238" s="208">
        <v>0</v>
      </c>
      <c r="G238" s="209">
        <v>0</v>
      </c>
      <c r="I238" s="185"/>
      <c r="J238" s="185"/>
      <c r="K238" s="185"/>
    </row>
    <row r="239" spans="1:16" x14ac:dyDescent="0.2">
      <c r="C239" s="210" t="s">
        <v>104</v>
      </c>
      <c r="D239" s="211">
        <f>IF(I233&lt;150,L234,0)</f>
        <v>0</v>
      </c>
      <c r="E239" s="211" t="s">
        <v>389</v>
      </c>
      <c r="F239" s="212">
        <f>IF(D239=0,H238,H238+1)</f>
        <v>0</v>
      </c>
      <c r="G239" s="213">
        <f>IF(F239=0,G238,G238+1)</f>
        <v>0</v>
      </c>
    </row>
    <row r="240" spans="1:16" x14ac:dyDescent="0.2">
      <c r="C240" s="210"/>
      <c r="D240" s="211">
        <f>IF(I233&lt;150,L235,0)</f>
        <v>0</v>
      </c>
      <c r="E240" s="211" t="s">
        <v>387</v>
      </c>
      <c r="F240" s="212">
        <f>IF(D240=0,H239,H239+1)</f>
        <v>0</v>
      </c>
      <c r="G240" s="213">
        <f t="shared" ref="G240:G244" si="47">IF(F240=0,G239,G239+1)</f>
        <v>0</v>
      </c>
    </row>
    <row r="241" spans="3:9" x14ac:dyDescent="0.2">
      <c r="C241" s="210"/>
      <c r="D241" s="211">
        <f>IF(I233&lt;150,L236,0)</f>
        <v>0</v>
      </c>
      <c r="E241" s="211" t="s">
        <v>386</v>
      </c>
      <c r="F241" s="212">
        <f>IF(D241=0,H240,H240+1)</f>
        <v>0</v>
      </c>
      <c r="G241" s="213">
        <f t="shared" si="47"/>
        <v>0</v>
      </c>
    </row>
    <row r="242" spans="3:9" x14ac:dyDescent="0.2">
      <c r="C242" s="1078" t="s">
        <v>105</v>
      </c>
      <c r="D242" s="214">
        <f>IF(I233&gt;150,IF((L234+L236)&gt;0,IF(I233&gt;1500,2,1),0),0)</f>
        <v>0</v>
      </c>
      <c r="E242" s="214" t="s">
        <v>510</v>
      </c>
      <c r="F242" s="215">
        <f>IF(D242=0,H241,H241+1)+L199</f>
        <v>0</v>
      </c>
      <c r="G242" s="216">
        <f t="shared" si="47"/>
        <v>0</v>
      </c>
      <c r="I242" s="185"/>
    </row>
    <row r="243" spans="3:9" x14ac:dyDescent="0.2">
      <c r="C243" s="1079"/>
      <c r="D243" s="214">
        <f>IF((L234+L236)=0,IF(I233&gt;150,IF(I233&gt;1500,2,1),0),0)</f>
        <v>0</v>
      </c>
      <c r="E243" s="214" t="s">
        <v>509</v>
      </c>
      <c r="F243" s="215">
        <f>IF(D243=0,H242,H242+1)</f>
        <v>0</v>
      </c>
      <c r="G243" s="216">
        <f t="shared" si="47"/>
        <v>0</v>
      </c>
      <c r="I243" s="185"/>
    </row>
    <row r="244" spans="3:9" x14ac:dyDescent="0.2">
      <c r="C244" s="1080"/>
      <c r="D244" s="214"/>
      <c r="E244" s="214"/>
      <c r="F244" s="217"/>
      <c r="G244" s="216">
        <f t="shared" si="47"/>
        <v>0</v>
      </c>
    </row>
    <row r="245" spans="3:9" x14ac:dyDescent="0.2">
      <c r="D245" s="166">
        <f>SUM(D239:D243)</f>
        <v>0</v>
      </c>
    </row>
    <row r="246" spans="3:9" x14ac:dyDescent="0.2">
      <c r="E246" s="185" t="s">
        <v>607</v>
      </c>
    </row>
    <row r="247" spans="3:9" x14ac:dyDescent="0.2">
      <c r="E247" s="185" t="s">
        <v>390</v>
      </c>
    </row>
  </sheetData>
  <mergeCells count="18">
    <mergeCell ref="O203:O211"/>
    <mergeCell ref="O212:O226"/>
    <mergeCell ref="O194:O202"/>
    <mergeCell ref="O177:O193"/>
    <mergeCell ref="C242:C244"/>
    <mergeCell ref="C1:M1"/>
    <mergeCell ref="H234:K234"/>
    <mergeCell ref="H235:K235"/>
    <mergeCell ref="H236:K236"/>
    <mergeCell ref="H237:K237"/>
    <mergeCell ref="O4:O12"/>
    <mergeCell ref="O151:O154"/>
    <mergeCell ref="O155:O176"/>
    <mergeCell ref="O91:O103"/>
    <mergeCell ref="O70:O88"/>
    <mergeCell ref="O110:O150"/>
    <mergeCell ref="O28:O50"/>
    <mergeCell ref="O13:O27"/>
  </mergeCells>
  <phoneticPr fontId="12" type="noConversion"/>
  <conditionalFormatting sqref="A199 C227:C231 O229:O231 Q229:IU231 B194:B199 A205:A228 C229:M231 B180:B181 B202">
    <cfRule type="expression" dxfId="75" priority="112" stopIfTrue="1">
      <formula>$F180&gt;0</formula>
    </cfRule>
  </conditionalFormatting>
  <conditionalFormatting sqref="G229:G231 J132:J134 C228:C231 L195:L201 B205:B226 C200:M201 L114:L150 B48:N66 B46:D47 F46:N47 B70:N87 B67:D69 F67:N69 B91:N106 B88:D90 F88:N90 B107:D108 F107:N107 F108:M108 B109:M125 B126:D127 F126:H127 B128:H131 I126:J131 B173:D176 F173:G176 J137:J176 I173:I176 B132:I158 B160:I163 B159:D159 F159:J159 K126:M176 C203:M228 N203:N231 B195:M199 B177:M185 B186:D186 F186:M186 N108:N201 C189:D193 F189:M189 F190:K191 B194:K194 L190:M194 B167:I172 B164:G166 I164:J166 B4:N12 B28:N45 B24:G27 I24:M27 B13:M23 N13:N27 B187:G188 G194:G216 B202:N202 I187:M188 F192:G193 I192:K193">
    <cfRule type="expression" dxfId="74" priority="111" stopIfTrue="1">
      <formula>$C4&gt;0</formula>
    </cfRule>
  </conditionalFormatting>
  <conditionalFormatting sqref="C155:C156">
    <cfRule type="expression" dxfId="73" priority="110" stopIfTrue="1">
      <formula>$C155&gt;0</formula>
    </cfRule>
  </conditionalFormatting>
  <conditionalFormatting sqref="A204">
    <cfRule type="expression" dxfId="72" priority="83" stopIfTrue="1">
      <formula>$F204&gt;0</formula>
    </cfRule>
  </conditionalFormatting>
  <conditionalFormatting sqref="B204">
    <cfRule type="expression" dxfId="71" priority="75" stopIfTrue="1">
      <formula>$C204&gt;0</formula>
    </cfRule>
  </conditionalFormatting>
  <conditionalFormatting sqref="B204">
    <cfRule type="expression" dxfId="70" priority="74" stopIfTrue="1">
      <formula>$C204&gt;0</formula>
    </cfRule>
  </conditionalFormatting>
  <conditionalFormatting sqref="B203">
    <cfRule type="expression" dxfId="69" priority="73" stopIfTrue="1">
      <formula>$C203&gt;0</formula>
    </cfRule>
  </conditionalFormatting>
  <conditionalFormatting sqref="B203">
    <cfRule type="expression" dxfId="68" priority="72" stopIfTrue="1">
      <formula>$C203&gt;0</formula>
    </cfRule>
  </conditionalFormatting>
  <conditionalFormatting sqref="B201">
    <cfRule type="expression" dxfId="67" priority="67" stopIfTrue="1">
      <formula>$C201&gt;0</formula>
    </cfRule>
  </conditionalFormatting>
  <conditionalFormatting sqref="B201">
    <cfRule type="expression" dxfId="66" priority="66" stopIfTrue="1">
      <formula>$C201&gt;0</formula>
    </cfRule>
  </conditionalFormatting>
  <conditionalFormatting sqref="B200">
    <cfRule type="expression" dxfId="65" priority="65" stopIfTrue="1">
      <formula>$C200&gt;0</formula>
    </cfRule>
  </conditionalFormatting>
  <conditionalFormatting sqref="B200">
    <cfRule type="expression" dxfId="64" priority="64" stopIfTrue="1">
      <formula>$C200&gt;0</formula>
    </cfRule>
  </conditionalFormatting>
  <conditionalFormatting sqref="E70:E87">
    <cfRule type="expression" dxfId="63" priority="58" stopIfTrue="1">
      <formula>$C70&gt;0</formula>
    </cfRule>
  </conditionalFormatting>
  <conditionalFormatting sqref="E199">
    <cfRule type="expression" dxfId="62" priority="57" stopIfTrue="1">
      <formula>$C199&gt;0</formula>
    </cfRule>
  </conditionalFormatting>
  <conditionalFormatting sqref="B199">
    <cfRule type="expression" dxfId="61" priority="54" stopIfTrue="1">
      <formula>$F199&gt;0</formula>
    </cfRule>
  </conditionalFormatting>
  <conditionalFormatting sqref="B199">
    <cfRule type="expression" dxfId="60" priority="53" stopIfTrue="1">
      <formula>$C199&gt;0</formula>
    </cfRule>
  </conditionalFormatting>
  <conditionalFormatting sqref="B194">
    <cfRule type="expression" dxfId="59" priority="51" stopIfTrue="1">
      <formula>$F194&gt;0</formula>
    </cfRule>
  </conditionalFormatting>
  <conditionalFormatting sqref="B194">
    <cfRule type="expression" dxfId="58" priority="50" stopIfTrue="1">
      <formula>$C194&gt;0</formula>
    </cfRule>
  </conditionalFormatting>
  <conditionalFormatting sqref="B195">
    <cfRule type="expression" dxfId="57" priority="49" stopIfTrue="1">
      <formula>$F195&gt;0</formula>
    </cfRule>
  </conditionalFormatting>
  <conditionalFormatting sqref="B195">
    <cfRule type="expression" dxfId="56" priority="48" stopIfTrue="1">
      <formula>$C195&gt;0</formula>
    </cfRule>
  </conditionalFormatting>
  <conditionalFormatting sqref="B196">
    <cfRule type="expression" dxfId="55" priority="47" stopIfTrue="1">
      <formula>$F196&gt;0</formula>
    </cfRule>
  </conditionalFormatting>
  <conditionalFormatting sqref="B196">
    <cfRule type="expression" dxfId="54" priority="46" stopIfTrue="1">
      <formula>$C196&gt;0</formula>
    </cfRule>
  </conditionalFormatting>
  <conditionalFormatting sqref="B197">
    <cfRule type="expression" dxfId="53" priority="45" stopIfTrue="1">
      <formula>$F197&gt;0</formula>
    </cfRule>
  </conditionalFormatting>
  <conditionalFormatting sqref="B197">
    <cfRule type="expression" dxfId="52" priority="44" stopIfTrue="1">
      <formula>$C197&gt;0</formula>
    </cfRule>
  </conditionalFormatting>
  <conditionalFormatting sqref="B198">
    <cfRule type="expression" dxfId="51" priority="43" stopIfTrue="1">
      <formula>$F198&gt;0</formula>
    </cfRule>
  </conditionalFormatting>
  <conditionalFormatting sqref="B198">
    <cfRule type="expression" dxfId="50" priority="42" stopIfTrue="1">
      <formula>$C198&gt;0</formula>
    </cfRule>
  </conditionalFormatting>
  <conditionalFormatting sqref="J135:J136">
    <cfRule type="expression" dxfId="49" priority="114" stopIfTrue="1">
      <formula>$C133&gt;0</formula>
    </cfRule>
  </conditionalFormatting>
  <conditionalFormatting sqref="B212:B213">
    <cfRule type="expression" dxfId="48" priority="41" stopIfTrue="1">
      <formula>$C212&gt;0</formula>
    </cfRule>
  </conditionalFormatting>
  <conditionalFormatting sqref="B212:B213">
    <cfRule type="expression" dxfId="47" priority="40" stopIfTrue="1">
      <formula>$C212&gt;0</formula>
    </cfRule>
  </conditionalFormatting>
  <conditionalFormatting sqref="A217:A219">
    <cfRule type="expression" dxfId="46" priority="38" stopIfTrue="1">
      <formula>$F217&gt;0</formula>
    </cfRule>
  </conditionalFormatting>
  <conditionalFormatting sqref="B217:B219">
    <cfRule type="expression" dxfId="45" priority="37" stopIfTrue="1">
      <formula>$C217&gt;0</formula>
    </cfRule>
  </conditionalFormatting>
  <conditionalFormatting sqref="B217:B219">
    <cfRule type="expression" dxfId="44" priority="36" stopIfTrue="1">
      <formula>$C217&gt;0</formula>
    </cfRule>
  </conditionalFormatting>
  <conditionalFormatting sqref="A220:A221">
    <cfRule type="expression" dxfId="43" priority="34" stopIfTrue="1">
      <formula>$F220&gt;0</formula>
    </cfRule>
  </conditionalFormatting>
  <conditionalFormatting sqref="B220:B221">
    <cfRule type="expression" dxfId="42" priority="33" stopIfTrue="1">
      <formula>$C220&gt;0</formula>
    </cfRule>
  </conditionalFormatting>
  <conditionalFormatting sqref="B220:B221">
    <cfRule type="expression" dxfId="41" priority="32" stopIfTrue="1">
      <formula>$C220&gt;0</formula>
    </cfRule>
  </conditionalFormatting>
  <conditionalFormatting sqref="A222:A226">
    <cfRule type="expression" dxfId="40" priority="29" stopIfTrue="1">
      <formula>$F222&gt;0</formula>
    </cfRule>
  </conditionalFormatting>
  <conditionalFormatting sqref="B222:B226">
    <cfRule type="expression" dxfId="39" priority="28" stopIfTrue="1">
      <formula>$C222&gt;0</formula>
    </cfRule>
  </conditionalFormatting>
  <conditionalFormatting sqref="B222:B226">
    <cfRule type="expression" dxfId="38" priority="27" stopIfTrue="1">
      <formula>$C222&gt;0</formula>
    </cfRule>
  </conditionalFormatting>
  <conditionalFormatting sqref="E46:E47">
    <cfRule type="expression" dxfId="37" priority="24" stopIfTrue="1">
      <formula>$C46&gt;0</formula>
    </cfRule>
  </conditionalFormatting>
  <conditionalFormatting sqref="E67:E69">
    <cfRule type="expression" dxfId="36" priority="23" stopIfTrue="1">
      <formula>$C67&gt;0</formula>
    </cfRule>
  </conditionalFormatting>
  <conditionalFormatting sqref="E88:E90">
    <cfRule type="expression" dxfId="35" priority="22" stopIfTrue="1">
      <formula>$C88&gt;0</formula>
    </cfRule>
  </conditionalFormatting>
  <conditionalFormatting sqref="E88:E90">
    <cfRule type="expression" dxfId="34" priority="21" stopIfTrue="1">
      <formula>$C88&gt;0</formula>
    </cfRule>
  </conditionalFormatting>
  <conditionalFormatting sqref="E107:E108">
    <cfRule type="expression" dxfId="33" priority="20" stopIfTrue="1">
      <formula>$C107&gt;0</formula>
    </cfRule>
  </conditionalFormatting>
  <conditionalFormatting sqref="E126:E127">
    <cfRule type="expression" dxfId="32" priority="19" stopIfTrue="1">
      <formula>$C126&gt;0</formula>
    </cfRule>
  </conditionalFormatting>
  <conditionalFormatting sqref="E173:E176">
    <cfRule type="expression" dxfId="31" priority="18" stopIfTrue="1">
      <formula>$C173&gt;0</formula>
    </cfRule>
  </conditionalFormatting>
  <conditionalFormatting sqref="E159">
    <cfRule type="expression" dxfId="30" priority="16" stopIfTrue="1">
      <formula>$C159&gt;0</formula>
    </cfRule>
  </conditionalFormatting>
  <conditionalFormatting sqref="H173:H176">
    <cfRule type="expression" dxfId="29" priority="17" stopIfTrue="1">
      <formula>$C173&gt;0</formula>
    </cfRule>
  </conditionalFormatting>
  <conditionalFormatting sqref="B189:B190">
    <cfRule type="expression" dxfId="28" priority="10" stopIfTrue="1">
      <formula>$C189&gt;0</formula>
    </cfRule>
  </conditionalFormatting>
  <conditionalFormatting sqref="B191:B193">
    <cfRule type="expression" dxfId="27" priority="9" stopIfTrue="1">
      <formula>$C191&gt;0</formula>
    </cfRule>
  </conditionalFormatting>
  <conditionalFormatting sqref="E186">
    <cfRule type="expression" dxfId="26" priority="8" stopIfTrue="1">
      <formula>$C186&gt;0</formula>
    </cfRule>
  </conditionalFormatting>
  <conditionalFormatting sqref="E189:E193">
    <cfRule type="expression" dxfId="25" priority="7" stopIfTrue="1">
      <formula>$C189&gt;0</formula>
    </cfRule>
  </conditionalFormatting>
  <conditionalFormatting sqref="H164:H166">
    <cfRule type="expression" dxfId="24" priority="5" stopIfTrue="1">
      <formula>$C164&gt;0</formula>
    </cfRule>
  </conditionalFormatting>
  <conditionalFormatting sqref="H24:H27">
    <cfRule type="expression" dxfId="23" priority="3" stopIfTrue="1">
      <formula>$C24&gt;0</formula>
    </cfRule>
  </conditionalFormatting>
  <conditionalFormatting sqref="H24:H27">
    <cfRule type="expression" dxfId="22" priority="4" stopIfTrue="1">
      <formula>$C24&gt;0</formula>
    </cfRule>
  </conditionalFormatting>
  <conditionalFormatting sqref="H187:H188">
    <cfRule type="expression" dxfId="21" priority="2" stopIfTrue="1">
      <formula>$C187&gt;0</formula>
    </cfRule>
  </conditionalFormatting>
  <conditionalFormatting sqref="H192:H193">
    <cfRule type="expression" dxfId="20" priority="1" stopIfTrue="1">
      <formula>$C192&gt;0</formula>
    </cfRule>
  </conditionalFormatting>
  <pageMargins left="0.23622047244094491" right="0.23622047244094491" top="0.15748031496062992" bottom="0.15748031496062992" header="0.31496062992125984" footer="0.31496062992125984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stopIfTrue="1" id="{7CC92980-64C2-4949-8D67-291F56BCC362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B212:B213</xm:sqref>
        </x14:conditionalFormatting>
        <x14:conditionalFormatting xmlns:xm="http://schemas.microsoft.com/office/excel/2006/main">
          <x14:cfRule type="expression" priority="35" stopIfTrue="1" id="{427ACA55-2104-4859-AF58-285773527CE2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B217:B219</xm:sqref>
        </x14:conditionalFormatting>
        <x14:conditionalFormatting xmlns:xm="http://schemas.microsoft.com/office/excel/2006/main">
          <x14:cfRule type="expression" priority="31" stopIfTrue="1" id="{1399713D-5EDC-4C8E-8D3D-DA749C16A7C9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B220:B221</xm:sqref>
        </x14:conditionalFormatting>
        <x14:conditionalFormatting xmlns:xm="http://schemas.microsoft.com/office/excel/2006/main">
          <x14:cfRule type="expression" priority="30" stopIfTrue="1" id="{9C2D2296-F006-4E06-83A7-EBF76593D3FC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A220:A221</xm:sqref>
        </x14:conditionalFormatting>
        <x14:conditionalFormatting xmlns:xm="http://schemas.microsoft.com/office/excel/2006/main">
          <x14:cfRule type="expression" priority="26" stopIfTrue="1" id="{7E8A4EC8-8FE5-4522-9882-109B72E7CF26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B222:B226</xm:sqref>
        </x14:conditionalFormatting>
        <x14:conditionalFormatting xmlns:xm="http://schemas.microsoft.com/office/excel/2006/main">
          <x14:cfRule type="expression" priority="25" stopIfTrue="1" id="{17F16D2F-1FB8-420E-81E4-78279A9F434C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A222:A226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AB136"/>
  <sheetViews>
    <sheetView workbookViewId="0">
      <selection activeCell="N57" sqref="N57"/>
    </sheetView>
  </sheetViews>
  <sheetFormatPr baseColWidth="10" defaultColWidth="9.28515625" defaultRowHeight="11.25" x14ac:dyDescent="0.2"/>
  <cols>
    <col min="1" max="1" width="1.7109375" style="5" customWidth="1"/>
    <col min="2" max="2" width="3.42578125" style="5" customWidth="1"/>
    <col min="3" max="3" width="11.5703125" style="5" bestFit="1" customWidth="1"/>
    <col min="4" max="4" width="11.7109375" style="5" customWidth="1"/>
    <col min="5" max="5" width="8.7109375" style="5" customWidth="1"/>
    <col min="6" max="6" width="14" style="5" customWidth="1"/>
    <col min="7" max="7" width="25.28515625" style="5" customWidth="1"/>
    <col min="8" max="8" width="12.7109375" style="5" customWidth="1"/>
    <col min="9" max="9" width="10.7109375" style="5" customWidth="1"/>
    <col min="10" max="10" width="11.42578125" style="5" customWidth="1"/>
    <col min="11" max="11" width="9.28515625" style="5" customWidth="1"/>
    <col min="12" max="12" width="16.7109375" style="5" customWidth="1"/>
    <col min="13" max="13" width="19.5703125" style="5" customWidth="1"/>
    <col min="14" max="14" width="11.42578125" style="5" customWidth="1"/>
    <col min="15" max="15" width="22.5703125" style="5" customWidth="1"/>
    <col min="16" max="16" width="12.5703125" style="5" customWidth="1"/>
    <col min="17" max="17" width="10" style="5" customWidth="1"/>
    <col min="18" max="18" width="9.28515625" style="5" customWidth="1"/>
    <col min="19" max="19" width="7.7109375" style="5" customWidth="1"/>
    <col min="20" max="20" width="8.5703125" style="5" customWidth="1"/>
    <col min="21" max="21" width="20.5703125" style="5" customWidth="1"/>
    <col min="22" max="22" width="10.5703125" style="5" customWidth="1"/>
    <col min="23" max="23" width="8.5703125" style="5" customWidth="1"/>
    <col min="24" max="24" width="10" style="5" customWidth="1"/>
    <col min="25" max="25" width="13.42578125" style="5" customWidth="1"/>
    <col min="26" max="26" width="14" style="5" customWidth="1"/>
    <col min="27" max="27" width="6.5703125" style="5" customWidth="1"/>
    <col min="28" max="30" width="12.5703125" style="5" customWidth="1"/>
    <col min="31" max="31" width="71.5703125" style="5" customWidth="1"/>
    <col min="32" max="32" width="50.42578125" style="5" customWidth="1"/>
    <col min="33" max="56" width="9.28515625" style="5" customWidth="1"/>
    <col min="57" max="16384" width="9.28515625" style="5"/>
  </cols>
  <sheetData>
    <row r="1" spans="1:15" ht="17.649999999999999" customHeight="1" x14ac:dyDescent="0.2">
      <c r="A1" s="1"/>
      <c r="B1" s="1093" t="s">
        <v>468</v>
      </c>
      <c r="C1" s="1094"/>
      <c r="D1" s="1097"/>
      <c r="E1" s="1098"/>
      <c r="F1" s="1101"/>
      <c r="G1" s="1103" t="s">
        <v>115</v>
      </c>
      <c r="H1" s="1104"/>
      <c r="I1" s="1104"/>
      <c r="J1" s="1105"/>
    </row>
    <row r="2" spans="1:15" ht="4.3499999999999996" customHeight="1" thickBot="1" x14ac:dyDescent="0.25">
      <c r="A2" s="1"/>
      <c r="B2" s="1095"/>
      <c r="C2" s="1096"/>
      <c r="D2" s="1099"/>
      <c r="E2" s="1100"/>
      <c r="F2" s="1102"/>
      <c r="G2" s="1106"/>
      <c r="H2" s="1107"/>
      <c r="I2" s="1107"/>
      <c r="J2" s="1108"/>
      <c r="L2" s="11"/>
    </row>
    <row r="3" spans="1:15" ht="12.75" customHeight="1" x14ac:dyDescent="0.2">
      <c r="A3" s="1"/>
      <c r="B3" s="60" t="s">
        <v>116</v>
      </c>
      <c r="C3" s="61"/>
      <c r="D3" s="61"/>
      <c r="E3" s="62"/>
      <c r="F3" s="63" t="s">
        <v>117</v>
      </c>
      <c r="G3" s="64"/>
      <c r="H3" s="65"/>
      <c r="I3" s="66" t="s">
        <v>118</v>
      </c>
      <c r="J3" s="164"/>
    </row>
    <row r="4" spans="1:15" ht="12.75" customHeight="1" x14ac:dyDescent="0.2">
      <c r="A4" s="1"/>
      <c r="B4" s="67"/>
      <c r="C4" s="68"/>
      <c r="D4" s="68"/>
      <c r="E4" s="69"/>
      <c r="F4" s="70"/>
      <c r="G4" s="71"/>
      <c r="H4" s="70"/>
      <c r="I4" s="72"/>
      <c r="J4" s="73"/>
    </row>
    <row r="5" spans="1:15" ht="12.75" customHeight="1" x14ac:dyDescent="0.2">
      <c r="A5" s="1"/>
      <c r="B5" s="74" t="e">
        <f>VLOOKUP(B4,E92:H94,2,)</f>
        <v>#N/A</v>
      </c>
      <c r="C5" s="8"/>
      <c r="D5" s="8"/>
      <c r="E5" s="69"/>
      <c r="F5" s="74" t="s">
        <v>120</v>
      </c>
      <c r="G5" s="71"/>
      <c r="H5" s="70"/>
      <c r="I5" s="72"/>
      <c r="J5" s="73"/>
    </row>
    <row r="6" spans="1:15" ht="12.75" customHeight="1" x14ac:dyDescent="0.2">
      <c r="A6" s="1"/>
      <c r="B6" s="74" t="e">
        <f>VLOOKUP(B4,E92:H94,3,)</f>
        <v>#N/A</v>
      </c>
      <c r="C6" s="8"/>
      <c r="D6" s="8"/>
      <c r="E6" s="69"/>
      <c r="F6" s="70"/>
      <c r="G6" s="71"/>
      <c r="H6" s="70"/>
      <c r="I6" s="72"/>
      <c r="J6" s="73"/>
      <c r="L6" s="11"/>
    </row>
    <row r="7" spans="1:15" ht="12.75" customHeight="1" thickBot="1" x14ac:dyDescent="0.25">
      <c r="A7" s="1"/>
      <c r="B7" s="75" t="e">
        <f>VLOOKUP(B4,E92:H94,4,)</f>
        <v>#N/A</v>
      </c>
      <c r="C7" s="76"/>
      <c r="D7" s="76"/>
      <c r="E7" s="77"/>
      <c r="F7" s="78"/>
      <c r="G7" s="79"/>
      <c r="H7" s="78"/>
      <c r="I7" s="76"/>
      <c r="J7" s="79"/>
    </row>
    <row r="8" spans="1:15" ht="3.75" customHeight="1" thickBot="1" x14ac:dyDescent="0.25">
      <c r="A8" s="1"/>
      <c r="B8" s="8"/>
      <c r="C8" s="8"/>
      <c r="D8" s="8"/>
      <c r="E8" s="80"/>
      <c r="F8" s="81"/>
      <c r="G8" s="81"/>
      <c r="H8" s="82"/>
      <c r="I8" s="83"/>
      <c r="J8" s="8"/>
      <c r="L8" s="1"/>
      <c r="O8" s="6"/>
    </row>
    <row r="9" spans="1:15" ht="15" x14ac:dyDescent="0.3">
      <c r="A9" s="1"/>
      <c r="B9" s="60" t="s">
        <v>121</v>
      </c>
      <c r="C9" s="61"/>
      <c r="D9" s="61"/>
      <c r="E9" s="104"/>
      <c r="F9" s="107"/>
      <c r="G9" s="106" t="s">
        <v>318</v>
      </c>
      <c r="H9" s="99" t="s">
        <v>122</v>
      </c>
      <c r="I9" s="1109"/>
      <c r="J9" s="1110"/>
      <c r="L9" s="1"/>
      <c r="O9" s="6"/>
    </row>
    <row r="10" spans="1:15" ht="13.5" thickBot="1" x14ac:dyDescent="0.25">
      <c r="A10" s="1"/>
      <c r="B10" s="74">
        <f>'Order form'!H576</f>
        <v>0</v>
      </c>
      <c r="C10" s="8"/>
      <c r="D10" s="2"/>
      <c r="E10" s="105"/>
      <c r="F10" s="109"/>
      <c r="G10" s="69" t="s">
        <v>421</v>
      </c>
      <c r="H10" s="84"/>
      <c r="I10" s="76"/>
      <c r="J10" s="79"/>
      <c r="L10" s="1"/>
      <c r="O10" s="6"/>
    </row>
    <row r="11" spans="1:15" ht="12.75" x14ac:dyDescent="0.2">
      <c r="A11" s="1"/>
      <c r="B11" s="74"/>
      <c r="C11" s="8"/>
      <c r="D11" s="2"/>
      <c r="E11" s="105"/>
      <c r="F11" s="108"/>
      <c r="G11" s="69"/>
      <c r="H11" s="85" t="s">
        <v>123</v>
      </c>
      <c r="I11" s="2"/>
      <c r="J11" s="86"/>
      <c r="L11" s="1"/>
      <c r="O11" s="6"/>
    </row>
    <row r="12" spans="1:15" ht="12.75" x14ac:dyDescent="0.2">
      <c r="A12" s="1"/>
      <c r="B12" s="70"/>
      <c r="C12" s="8"/>
      <c r="D12" s="8"/>
      <c r="E12" s="8"/>
      <c r="F12" s="69"/>
      <c r="G12" s="69"/>
      <c r="H12" s="87"/>
      <c r="I12" s="8" t="s">
        <v>124</v>
      </c>
      <c r="J12" s="88"/>
      <c r="L12" s="1"/>
      <c r="O12" s="6"/>
    </row>
    <row r="13" spans="1:15" ht="13.5" thickBot="1" x14ac:dyDescent="0.25">
      <c r="A13" s="1"/>
      <c r="B13" s="1111" t="s">
        <v>125</v>
      </c>
      <c r="C13" s="1112"/>
      <c r="D13" s="1113"/>
      <c r="E13" s="1113"/>
      <c r="F13" s="79"/>
      <c r="G13" s="79"/>
      <c r="H13" s="84"/>
      <c r="I13" s="89"/>
      <c r="J13" s="90"/>
      <c r="L13" s="1"/>
      <c r="O13" s="6"/>
    </row>
    <row r="14" spans="1:15" ht="3.75" customHeight="1" thickBot="1" x14ac:dyDescent="0.25">
      <c r="A14" s="1"/>
      <c r="B14" s="8"/>
      <c r="C14" s="8"/>
      <c r="D14" s="8"/>
      <c r="E14" s="8"/>
      <c r="F14" s="8"/>
      <c r="G14" s="8"/>
      <c r="H14" s="82"/>
      <c r="I14" s="9"/>
      <c r="J14" s="91"/>
      <c r="L14" s="1"/>
      <c r="O14" s="6"/>
    </row>
    <row r="15" spans="1:15" ht="12.75" x14ac:dyDescent="0.2">
      <c r="A15" s="1"/>
      <c r="B15" s="60" t="s">
        <v>126</v>
      </c>
      <c r="C15" s="61"/>
      <c r="D15" s="61"/>
      <c r="E15" s="64"/>
      <c r="F15" s="8"/>
      <c r="G15" s="8"/>
      <c r="H15" s="82"/>
      <c r="I15" s="9"/>
      <c r="J15" s="91"/>
      <c r="L15" s="1"/>
      <c r="O15" s="6"/>
    </row>
    <row r="16" spans="1:15" ht="4.9000000000000004" customHeight="1" x14ac:dyDescent="0.2">
      <c r="A16" s="1"/>
      <c r="B16" s="70"/>
      <c r="C16" s="8"/>
      <c r="D16" s="8"/>
      <c r="E16" s="71"/>
      <c r="F16" s="8"/>
      <c r="G16" s="8"/>
      <c r="H16" s="82"/>
      <c r="I16" s="9"/>
      <c r="J16" s="91"/>
      <c r="L16" s="1"/>
      <c r="O16" s="6"/>
    </row>
    <row r="17" spans="1:15" ht="12.75" x14ac:dyDescent="0.2">
      <c r="A17" s="1"/>
      <c r="B17" s="92"/>
      <c r="C17" s="8" t="s">
        <v>127</v>
      </c>
      <c r="D17" s="8"/>
      <c r="E17" s="71"/>
      <c r="F17" s="8"/>
      <c r="G17" s="8"/>
      <c r="H17" s="82"/>
      <c r="I17" s="9"/>
      <c r="J17" s="91"/>
      <c r="L17" s="1"/>
      <c r="O17" s="6"/>
    </row>
    <row r="18" spans="1:15" ht="13.5" thickBot="1" x14ac:dyDescent="0.25">
      <c r="A18" s="1"/>
      <c r="B18" s="93" t="s">
        <v>128</v>
      </c>
      <c r="C18" s="76" t="s">
        <v>129</v>
      </c>
      <c r="D18" s="76"/>
      <c r="E18" s="79"/>
      <c r="F18" s="8"/>
      <c r="G18" s="8"/>
      <c r="H18" s="82"/>
      <c r="I18" s="9"/>
      <c r="J18" s="91"/>
      <c r="L18" s="1"/>
      <c r="O18" s="6"/>
    </row>
    <row r="19" spans="1:15" ht="3.75" customHeight="1" thickBot="1" x14ac:dyDescent="0.25">
      <c r="A19" s="1"/>
      <c r="B19" s="8"/>
      <c r="C19" s="8"/>
      <c r="D19" s="8"/>
      <c r="E19" s="8"/>
      <c r="F19" s="8"/>
      <c r="G19" s="8"/>
      <c r="H19" s="82"/>
      <c r="I19" s="9"/>
      <c r="J19" s="91"/>
      <c r="L19" s="1"/>
      <c r="O19" s="6"/>
    </row>
    <row r="20" spans="1:15" ht="12.75" x14ac:dyDescent="0.2">
      <c r="A20" s="1"/>
      <c r="B20" s="60" t="s">
        <v>130</v>
      </c>
      <c r="C20" s="61"/>
      <c r="D20" s="61"/>
      <c r="E20" s="64"/>
      <c r="F20" s="8"/>
      <c r="G20" s="94" t="str">
        <f>VLOOKUP(G1,E99:Z101,16)</f>
        <v>Carrier:</v>
      </c>
      <c r="H20" s="1117" t="str">
        <f>'Order form'!H579</f>
        <v>Please write you account number if collect</v>
      </c>
      <c r="I20" s="1117"/>
      <c r="J20" s="1118"/>
      <c r="L20" s="1"/>
      <c r="O20" s="6"/>
    </row>
    <row r="21" spans="1:15" ht="12.75" x14ac:dyDescent="0.2">
      <c r="A21" s="1"/>
      <c r="B21" s="70"/>
      <c r="C21" s="8"/>
      <c r="D21" s="8"/>
      <c r="E21" s="95"/>
      <c r="F21" s="8"/>
      <c r="G21" s="87" t="s">
        <v>160</v>
      </c>
      <c r="H21" s="1119" t="str">
        <f>Quotation!D61</f>
        <v/>
      </c>
      <c r="I21" s="1119"/>
      <c r="J21" s="1120"/>
      <c r="L21" s="1"/>
      <c r="M21" s="1"/>
      <c r="N21" s="1"/>
      <c r="O21" s="7"/>
    </row>
    <row r="22" spans="1:15" ht="12.75" customHeight="1" thickBot="1" x14ac:dyDescent="0.25">
      <c r="A22" s="1"/>
      <c r="B22" s="93" t="s">
        <v>128</v>
      </c>
      <c r="C22" s="70" t="str">
        <f>VLOOKUP(D1,E77:F81,2,)</f>
        <v>CONSIGNEE</v>
      </c>
      <c r="D22" s="8"/>
      <c r="E22" s="96"/>
      <c r="F22" s="97"/>
      <c r="G22" s="98" t="str">
        <f>VLOOKUP(G1,E99:Z101,19)</f>
        <v>Total weight in lbs:</v>
      </c>
      <c r="H22" s="1121" t="e">
        <f>Resume!#REF!</f>
        <v>#REF!</v>
      </c>
      <c r="I22" s="1121"/>
      <c r="J22" s="1122"/>
    </row>
    <row r="23" spans="1:15" ht="12.75" thickBot="1" x14ac:dyDescent="0.25">
      <c r="A23" s="1"/>
      <c r="B23" s="55"/>
      <c r="C23" s="54"/>
      <c r="D23" s="54"/>
      <c r="E23" s="57"/>
      <c r="F23" s="58"/>
      <c r="G23" s="58"/>
      <c r="H23" s="1114"/>
      <c r="I23" s="1114"/>
      <c r="J23" s="59"/>
      <c r="L23" s="11"/>
    </row>
    <row r="24" spans="1:15" ht="3.75" customHeight="1" x14ac:dyDescent="0.2">
      <c r="A24" s="1"/>
      <c r="B24" s="1"/>
      <c r="C24" s="1"/>
      <c r="D24" s="1"/>
      <c r="E24" s="16"/>
      <c r="F24" s="14"/>
      <c r="G24" s="14"/>
      <c r="H24" s="14"/>
      <c r="I24" s="14"/>
      <c r="J24" s="15"/>
      <c r="L24" s="11"/>
    </row>
    <row r="25" spans="1:15" s="56" customFormat="1" ht="12" x14ac:dyDescent="0.2">
      <c r="A25" s="4"/>
      <c r="B25" s="4"/>
      <c r="C25" s="161" t="str">
        <f>VLOOKUP(G1,E99:AB101,23)</f>
        <v>ORIGIN</v>
      </c>
      <c r="D25" s="161" t="str">
        <f>VLOOKUP(G1,E99:AB101,24)</f>
        <v>HTS CODE</v>
      </c>
      <c r="E25" s="161" t="str">
        <f>VLOOKUP(G1,E99:AB101,13)</f>
        <v>QUANTITY</v>
      </c>
      <c r="F25" s="162" t="str">
        <f>VLOOKUP(G1,E99:AB101,22)</f>
        <v>PART #</v>
      </c>
      <c r="G25" s="1115" t="str">
        <f>VLOOKUP(G1,E99:Z101,14)</f>
        <v>DESCRIPTION</v>
      </c>
      <c r="H25" s="1116"/>
      <c r="I25" s="161" t="str">
        <f>VLOOKUP(G1,E99:AB101,15)</f>
        <v>UNIT PRICE</v>
      </c>
      <c r="J25" s="161" t="s">
        <v>60</v>
      </c>
    </row>
    <row r="26" spans="1:15" ht="13.15" customHeight="1" x14ac:dyDescent="0.2">
      <c r="A26" s="1"/>
      <c r="B26" s="1"/>
      <c r="C26" s="163"/>
      <c r="D26" s="155"/>
      <c r="E26" s="156"/>
      <c r="F26" s="157"/>
      <c r="G26" s="1091"/>
      <c r="H26" s="1092"/>
      <c r="I26" s="156"/>
      <c r="J26" s="158"/>
    </row>
    <row r="27" spans="1:15" ht="13.15" customHeight="1" x14ac:dyDescent="0.2">
      <c r="A27" s="1"/>
      <c r="B27" s="1"/>
      <c r="C27" s="163"/>
      <c r="D27" s="155"/>
      <c r="E27" s="156"/>
      <c r="F27" s="157"/>
      <c r="G27" s="1091"/>
      <c r="H27" s="1092"/>
      <c r="I27" s="156"/>
      <c r="J27" s="158"/>
    </row>
    <row r="28" spans="1:15" s="18" customFormat="1" ht="13.15" customHeight="1" x14ac:dyDescent="0.2">
      <c r="A28" s="3"/>
      <c r="B28" s="17"/>
      <c r="C28" s="10" t="str">
        <f>IFERROR(INDEX(Resume!$A$3:$F$228,MATCH(ROW($B1),Resume!$N$3:$N$228,0),MATCH('Commercial Invoice'!C$25,Resume!$A$2:$F$2,0)),"")</f>
        <v/>
      </c>
      <c r="D28" s="159" t="str">
        <f>IFERROR(INDEX(Resume!$A$3:$F$228,MATCH(ROW($B1),Resume!$N$3:$N$228,0),MATCH('Commercial Invoice'!D$25,Resume!$A$2:$F$2,0)),"")</f>
        <v/>
      </c>
      <c r="E28" s="159" t="str">
        <f>IFERROR(INDEX(Resume!$A$3:$F$228,MATCH(ROW($B1),Resume!$N$3:$N$228,0),MATCH('Commercial Invoice'!E$25,Resume!$A$2:$F$2,0)),"")</f>
        <v/>
      </c>
      <c r="F28" s="159" t="str">
        <f>IFERROR(INDEX(Resume!$A$3:$F$228,MATCH(ROW($B1),Resume!$N$3:$N$228,0),MATCH('Commercial Invoice'!F$25,Resume!$A$2:$F$2,0)),"")</f>
        <v/>
      </c>
      <c r="G28" s="1081" t="str">
        <f>IFERROR(INDEX(Resume!$A$3:$F$228,MATCH(ROW($B1),Resume!$N$3:$N$228,0),MATCH('Commercial Invoice'!G$25,Resume!$A$2:$F$2,0)),"")</f>
        <v/>
      </c>
      <c r="H28" s="1082"/>
      <c r="I28" s="160" t="str">
        <f>IFERROR(INDEX(Resume!$A$3:$F$228,MATCH(ROW($B1),Resume!$N$3:$N$228,0),MATCH('Commercial Invoice'!I$25,Resume!$A$2:$F$2,0)),"")</f>
        <v/>
      </c>
      <c r="J28" s="158" t="str">
        <f t="shared" ref="J28:J60" si="0">IFERROR(I28*E28,"")</f>
        <v/>
      </c>
      <c r="L28" s="5"/>
      <c r="M28" s="5"/>
      <c r="N28" s="5"/>
      <c r="O28" s="5"/>
    </row>
    <row r="29" spans="1:15" ht="13.15" customHeight="1" x14ac:dyDescent="0.2">
      <c r="A29" s="1"/>
      <c r="B29" s="1"/>
      <c r="C29" s="10" t="str">
        <f>IFERROR(INDEX(Resume!$A$3:$F$228,MATCH(ROW($B2),Resume!$N$3:$N$228,0),MATCH('Commercial Invoice'!C$25,Resume!$A$2:$F$2,0)),"")</f>
        <v/>
      </c>
      <c r="D29" s="159" t="str">
        <f>IFERROR(INDEX(Resume!$A$3:$F$228,MATCH(ROW($B2),Resume!$N$3:$N$228,0),MATCH('Commercial Invoice'!D$25,Resume!$A$2:$F$2,0)),"")</f>
        <v/>
      </c>
      <c r="E29" s="159" t="str">
        <f>IFERROR(INDEX(Resume!$A$3:$F$228,MATCH(ROW($B2),Resume!$N$3:$N$228,0),MATCH('Commercial Invoice'!E$25,Resume!$A$2:$F$2,0)),"")</f>
        <v/>
      </c>
      <c r="F29" s="159" t="str">
        <f>IFERROR(INDEX(Resume!$A$3:$F$228,MATCH(ROW($B2),Resume!$N$3:$N$228,0),MATCH('Commercial Invoice'!F$25,Resume!$A$2:$F$2,0)),"")</f>
        <v/>
      </c>
      <c r="G29" s="1081" t="str">
        <f>IFERROR(INDEX(Resume!$A$3:$F$228,MATCH(ROW($B2),Resume!$N$3:$N$228,0),MATCH('Commercial Invoice'!G$25,Resume!$A$2:$F$2,0)),"")</f>
        <v/>
      </c>
      <c r="H29" s="1082"/>
      <c r="I29" s="160" t="str">
        <f>IFERROR(INDEX(Resume!$A$3:$F$228,MATCH(ROW($B2),Resume!$N$3:$N$228,0),MATCH('Commercial Invoice'!I$25,Resume!$A$2:$F$2,0)),"")</f>
        <v/>
      </c>
      <c r="J29" s="158" t="str">
        <f t="shared" si="0"/>
        <v/>
      </c>
    </row>
    <row r="30" spans="1:15" ht="13.15" customHeight="1" x14ac:dyDescent="0.2">
      <c r="A30" s="1"/>
      <c r="B30" s="1"/>
      <c r="C30" s="10" t="str">
        <f>IFERROR(INDEX(Resume!$A$3:$F$228,MATCH(ROW($B3),Resume!$N$3:$N$228,0),MATCH('Commercial Invoice'!C$25,Resume!$A$2:$F$2,0)),"")</f>
        <v/>
      </c>
      <c r="D30" s="159" t="str">
        <f>IFERROR(INDEX(Resume!$A$3:$F$228,MATCH(ROW($B3),Resume!$N$3:$N$228,0),MATCH('Commercial Invoice'!D$25,Resume!$A$2:$F$2,0)),"")</f>
        <v/>
      </c>
      <c r="E30" s="159" t="str">
        <f>IFERROR(INDEX(Resume!$A$3:$F$228,MATCH(ROW($B3),Resume!$N$3:$N$228,0),MATCH('Commercial Invoice'!E$25,Resume!$A$2:$F$2,0)),"")</f>
        <v/>
      </c>
      <c r="F30" s="159" t="str">
        <f>IFERROR(INDEX(Resume!$A$3:$F$228,MATCH(ROW($B3),Resume!$N$3:$N$228,0),MATCH('Commercial Invoice'!F$25,Resume!$A$2:$F$2,0)),"")</f>
        <v/>
      </c>
      <c r="G30" s="1081" t="str">
        <f>IFERROR(INDEX(Resume!$A$3:$F$228,MATCH(ROW($B3),Resume!$N$3:$N$228,0),MATCH('Commercial Invoice'!G$25,Resume!$A$2:$F$2,0)),"")</f>
        <v/>
      </c>
      <c r="H30" s="1082"/>
      <c r="I30" s="160" t="str">
        <f>IFERROR(INDEX(Resume!$A$3:$F$228,MATCH(ROW($B3),Resume!$N$3:$N$228,0),MATCH('Commercial Invoice'!I$25,Resume!$A$2:$F$2,0)),"")</f>
        <v/>
      </c>
      <c r="J30" s="158" t="str">
        <f t="shared" si="0"/>
        <v/>
      </c>
      <c r="L30" s="11"/>
    </row>
    <row r="31" spans="1:15" ht="13.15" customHeight="1" x14ac:dyDescent="0.2">
      <c r="A31" s="1"/>
      <c r="B31" s="1"/>
      <c r="C31" s="10" t="str">
        <f>IFERROR(INDEX(Resume!$A$3:$F$228,MATCH(ROW($B4),Resume!$N$3:$N$228,0),MATCH('Commercial Invoice'!C$25,Resume!$A$2:$F$2,0)),"")</f>
        <v/>
      </c>
      <c r="D31" s="159" t="str">
        <f>IFERROR(INDEX(Resume!$A$3:$F$228,MATCH(ROW($B4),Resume!$N$3:$N$228,0),MATCH('Commercial Invoice'!D$25,Resume!$A$2:$F$2,0)),"")</f>
        <v/>
      </c>
      <c r="E31" s="159" t="str">
        <f>IFERROR(INDEX(Resume!$A$3:$F$228,MATCH(ROW($B4),Resume!$N$3:$N$228,0),MATCH('Commercial Invoice'!E$25,Resume!$A$2:$F$2,0)),"")</f>
        <v/>
      </c>
      <c r="F31" s="159" t="str">
        <f>IFERROR(INDEX(Resume!$A$3:$F$228,MATCH(ROW($B4),Resume!$N$3:$N$228,0),MATCH('Commercial Invoice'!F$25,Resume!$A$2:$F$2,0)),"")</f>
        <v/>
      </c>
      <c r="G31" s="1081" t="str">
        <f>IFERROR(INDEX(Resume!$A$3:$F$228,MATCH(ROW($B4),Resume!$N$3:$N$228,0),MATCH('Commercial Invoice'!G$25,Resume!$A$2:$F$2,0)),"")</f>
        <v/>
      </c>
      <c r="H31" s="1082"/>
      <c r="I31" s="160" t="str">
        <f>IFERROR(INDEX(Resume!$A$3:$F$228,MATCH(ROW($B4),Resume!$N$3:$N$228,0),MATCH('Commercial Invoice'!I$25,Resume!$A$2:$F$2,0)),"")</f>
        <v/>
      </c>
      <c r="J31" s="158" t="str">
        <f t="shared" si="0"/>
        <v/>
      </c>
    </row>
    <row r="32" spans="1:15" ht="13.15" customHeight="1" x14ac:dyDescent="0.2">
      <c r="A32" s="1"/>
      <c r="B32" s="1"/>
      <c r="C32" s="10" t="str">
        <f>IFERROR(INDEX(Resume!$A$3:$F$228,MATCH(ROW($B5),Resume!$N$3:$N$228,0),MATCH('Commercial Invoice'!C$25,Resume!$A$2:$F$2,0)),"")</f>
        <v/>
      </c>
      <c r="D32" s="159" t="str">
        <f>IFERROR(INDEX(Resume!$A$3:$F$228,MATCH(ROW($B5),Resume!$N$3:$N$228,0),MATCH('Commercial Invoice'!D$25,Resume!$A$2:$F$2,0)),"")</f>
        <v/>
      </c>
      <c r="E32" s="159" t="str">
        <f>IFERROR(INDEX(Resume!$A$3:$F$228,MATCH(ROW($B5),Resume!$N$3:$N$228,0),MATCH('Commercial Invoice'!E$25,Resume!$A$2:$F$2,0)),"")</f>
        <v/>
      </c>
      <c r="F32" s="159" t="str">
        <f>IFERROR(INDEX(Resume!$A$3:$F$228,MATCH(ROW($B5),Resume!$N$3:$N$228,0),MATCH('Commercial Invoice'!F$25,Resume!$A$2:$F$2,0)),"")</f>
        <v/>
      </c>
      <c r="G32" s="1081" t="str">
        <f>IFERROR(INDEX(Resume!$A$3:$F$228,MATCH(ROW($B5),Resume!$N$3:$N$228,0),MATCH('Commercial Invoice'!G$25,Resume!$A$2:$F$2,0)),"")</f>
        <v/>
      </c>
      <c r="H32" s="1082"/>
      <c r="I32" s="160" t="str">
        <f>IFERROR(INDEX(Resume!$A$3:$F$228,MATCH(ROW($B5),Resume!$N$3:$N$228,0),MATCH('Commercial Invoice'!I$25,Resume!$A$2:$F$2,0)),"")</f>
        <v/>
      </c>
      <c r="J32" s="158" t="str">
        <f t="shared" si="0"/>
        <v/>
      </c>
    </row>
    <row r="33" spans="1:12" ht="13.15" customHeight="1" x14ac:dyDescent="0.2">
      <c r="A33" s="1"/>
      <c r="B33" s="1"/>
      <c r="C33" s="10" t="str">
        <f>IFERROR(INDEX(Resume!$A$3:$F$228,MATCH(ROW($B6),Resume!$N$3:$N$228,0),MATCH('Commercial Invoice'!C$25,Resume!$A$2:$F$2,0)),"")</f>
        <v/>
      </c>
      <c r="D33" s="159" t="str">
        <f>IFERROR(INDEX(Resume!$A$3:$F$228,MATCH(ROW($B6),Resume!$N$3:$N$228,0),MATCH('Commercial Invoice'!D$25,Resume!$A$2:$F$2,0)),"")</f>
        <v/>
      </c>
      <c r="E33" s="159" t="str">
        <f>IFERROR(INDEX(Resume!$A$3:$F$228,MATCH(ROW($B6),Resume!$N$3:$N$228,0),MATCH('Commercial Invoice'!E$25,Resume!$A$2:$F$2,0)),"")</f>
        <v/>
      </c>
      <c r="F33" s="159" t="str">
        <f>IFERROR(INDEX(Resume!$A$3:$F$228,MATCH(ROW($B6),Resume!$N$3:$N$228,0),MATCH('Commercial Invoice'!F$25,Resume!$A$2:$F$2,0)),"")</f>
        <v/>
      </c>
      <c r="G33" s="1081" t="str">
        <f>IFERROR(INDEX(Resume!$A$3:$F$228,MATCH(ROW($B6),Resume!$N$3:$N$228,0),MATCH('Commercial Invoice'!G$25,Resume!$A$2:$F$2,0)),"")</f>
        <v/>
      </c>
      <c r="H33" s="1082"/>
      <c r="I33" s="160" t="str">
        <f>IFERROR(INDEX(Resume!$A$3:$F$228,MATCH(ROW($B6),Resume!$N$3:$N$228,0),MATCH('Commercial Invoice'!I$25,Resume!$A$2:$F$2,0)),"")</f>
        <v/>
      </c>
      <c r="J33" s="158" t="str">
        <f t="shared" si="0"/>
        <v/>
      </c>
    </row>
    <row r="34" spans="1:12" ht="13.15" customHeight="1" x14ac:dyDescent="0.2">
      <c r="A34" s="1"/>
      <c r="B34" s="1"/>
      <c r="C34" s="10" t="str">
        <f>IFERROR(INDEX(Resume!$A$3:$F$228,MATCH(ROW($B7),Resume!$N$3:$N$228,0),MATCH('Commercial Invoice'!C$25,Resume!$A$2:$F$2,0)),"")</f>
        <v/>
      </c>
      <c r="D34" s="159" t="str">
        <f>IFERROR(INDEX(Resume!$A$3:$F$228,MATCH(ROW($B7),Resume!$N$3:$N$228,0),MATCH('Commercial Invoice'!D$25,Resume!$A$2:$F$2,0)),"")</f>
        <v/>
      </c>
      <c r="E34" s="159" t="str">
        <f>IFERROR(INDEX(Resume!$A$3:$F$228,MATCH(ROW($B7),Resume!$N$3:$N$228,0),MATCH('Commercial Invoice'!E$25,Resume!$A$2:$F$2,0)),"")</f>
        <v/>
      </c>
      <c r="F34" s="159" t="str">
        <f>IFERROR(INDEX(Resume!$A$3:$F$228,MATCH(ROW($B7),Resume!$N$3:$N$228,0),MATCH('Commercial Invoice'!F$25,Resume!$A$2:$F$2,0)),"")</f>
        <v/>
      </c>
      <c r="G34" s="1081" t="str">
        <f>IFERROR(INDEX(Resume!$A$3:$F$228,MATCH(ROW($B7),Resume!$N$3:$N$228,0),MATCH('Commercial Invoice'!G$25,Resume!$A$2:$F$2,0)),"")</f>
        <v/>
      </c>
      <c r="H34" s="1082"/>
      <c r="I34" s="160" t="str">
        <f>IFERROR(INDEX(Resume!$A$3:$F$228,MATCH(ROW($B7),Resume!$N$3:$N$228,0),MATCH('Commercial Invoice'!I$25,Resume!$A$2:$F$2,0)),"")</f>
        <v/>
      </c>
      <c r="J34" s="158" t="str">
        <f t="shared" si="0"/>
        <v/>
      </c>
      <c r="L34" s="11"/>
    </row>
    <row r="35" spans="1:12" s="18" customFormat="1" ht="13.15" customHeight="1" x14ac:dyDescent="0.2">
      <c r="A35" s="3"/>
      <c r="B35" s="3"/>
      <c r="C35" s="10" t="str">
        <f>IFERROR(INDEX(Resume!$A$3:$F$228,MATCH(ROW($B8),Resume!$N$3:$N$228,0),MATCH('Commercial Invoice'!C$25,Resume!$A$2:$F$2,0)),"")</f>
        <v/>
      </c>
      <c r="D35" s="159" t="str">
        <f>IFERROR(INDEX(Resume!$A$3:$F$228,MATCH(ROW($B8),Resume!$N$3:$N$228,0),MATCH('Commercial Invoice'!D$25,Resume!$A$2:$F$2,0)),"")</f>
        <v/>
      </c>
      <c r="E35" s="159" t="str">
        <f>IFERROR(INDEX(Resume!$A$3:$F$228,MATCH(ROW($B8),Resume!$N$3:$N$228,0),MATCH('Commercial Invoice'!E$25,Resume!$A$2:$F$2,0)),"")</f>
        <v/>
      </c>
      <c r="F35" s="159" t="str">
        <f>IFERROR(INDEX(Resume!$A$3:$F$228,MATCH(ROW($B8),Resume!$N$3:$N$228,0),MATCH('Commercial Invoice'!F$25,Resume!$A$2:$F$2,0)),"")</f>
        <v/>
      </c>
      <c r="G35" s="1081" t="str">
        <f>IFERROR(INDEX(Resume!$A$3:$F$228,MATCH(ROW($B8),Resume!$N$3:$N$228,0),MATCH('Commercial Invoice'!G$25,Resume!$A$2:$F$2,0)),"")</f>
        <v/>
      </c>
      <c r="H35" s="1082"/>
      <c r="I35" s="160" t="str">
        <f>IFERROR(INDEX(Resume!$A$3:$F$228,MATCH(ROW($B8),Resume!$N$3:$N$228,0),MATCH('Commercial Invoice'!I$25,Resume!$A$2:$F$2,0)),"")</f>
        <v/>
      </c>
      <c r="J35" s="158" t="str">
        <f t="shared" si="0"/>
        <v/>
      </c>
      <c r="L35" s="5"/>
    </row>
    <row r="36" spans="1:12" ht="13.15" customHeight="1" x14ac:dyDescent="0.2">
      <c r="A36" s="1"/>
      <c r="B36" s="1"/>
      <c r="C36" s="10" t="str">
        <f>IFERROR(INDEX(Resume!$A$3:$F$228,MATCH(ROW($B9),Resume!$N$3:$N$228,0),MATCH('Commercial Invoice'!C$25,Resume!$A$2:$F$2,0)),"")</f>
        <v/>
      </c>
      <c r="D36" s="159" t="str">
        <f>IFERROR(INDEX(Resume!$A$3:$F$228,MATCH(ROW($B9),Resume!$N$3:$N$228,0),MATCH('Commercial Invoice'!D$25,Resume!$A$2:$F$2,0)),"")</f>
        <v/>
      </c>
      <c r="E36" s="159" t="str">
        <f>IFERROR(INDEX(Resume!$A$3:$F$228,MATCH(ROW($B9),Resume!$N$3:$N$228,0),MATCH('Commercial Invoice'!E$25,Resume!$A$2:$F$2,0)),"")</f>
        <v/>
      </c>
      <c r="F36" s="159" t="str">
        <f>IFERROR(INDEX(Resume!$A$3:$F$228,MATCH(ROW($B9),Resume!$N$3:$N$228,0),MATCH('Commercial Invoice'!F$25,Resume!$A$2:$F$2,0)),"")</f>
        <v/>
      </c>
      <c r="G36" s="1081" t="str">
        <f>IFERROR(INDEX(Resume!$A$3:$F$228,MATCH(ROW($B9),Resume!$N$3:$N$228,0),MATCH('Commercial Invoice'!G$25,Resume!$A$2:$F$2,0)),"")</f>
        <v/>
      </c>
      <c r="H36" s="1082"/>
      <c r="I36" s="160" t="str">
        <f>IFERROR(INDEX(Resume!$A$3:$F$228,MATCH(ROW($B9),Resume!$N$3:$N$228,0),MATCH('Commercial Invoice'!I$25,Resume!$A$2:$F$2,0)),"")</f>
        <v/>
      </c>
      <c r="J36" s="158" t="str">
        <f t="shared" si="0"/>
        <v/>
      </c>
    </row>
    <row r="37" spans="1:12" ht="13.15" customHeight="1" x14ac:dyDescent="0.2">
      <c r="A37" s="1"/>
      <c r="B37" s="1"/>
      <c r="C37" s="10" t="str">
        <f>IFERROR(INDEX(Resume!$A$3:$F$228,MATCH(ROW($B10),Resume!$N$3:$N$228,0),MATCH('Commercial Invoice'!C$25,Resume!$A$2:$F$2,0)),"")</f>
        <v/>
      </c>
      <c r="D37" s="159" t="str">
        <f>IFERROR(INDEX(Resume!$A$3:$F$228,MATCH(ROW($B10),Resume!$N$3:$N$228,0),MATCH('Commercial Invoice'!D$25,Resume!$A$2:$F$2,0)),"")</f>
        <v/>
      </c>
      <c r="E37" s="159" t="str">
        <f>IFERROR(INDEX(Resume!$A$3:$F$228,MATCH(ROW($B10),Resume!$N$3:$N$228,0),MATCH('Commercial Invoice'!E$25,Resume!$A$2:$F$2,0)),"")</f>
        <v/>
      </c>
      <c r="F37" s="159" t="str">
        <f>IFERROR(INDEX(Resume!$A$3:$F$228,MATCH(ROW($B10),Resume!$N$3:$N$228,0),MATCH('Commercial Invoice'!F$25,Resume!$A$2:$F$2,0)),"")</f>
        <v/>
      </c>
      <c r="G37" s="1081" t="str">
        <f>IFERROR(INDEX(Resume!$A$3:$F$228,MATCH(ROW($B10),Resume!$N$3:$N$228,0),MATCH('Commercial Invoice'!G$25,Resume!$A$2:$F$2,0)),"")</f>
        <v/>
      </c>
      <c r="H37" s="1082"/>
      <c r="I37" s="160" t="str">
        <f>IFERROR(INDEX(Resume!$A$3:$F$228,MATCH(ROW($B10),Resume!$N$3:$N$228,0),MATCH('Commercial Invoice'!I$25,Resume!$A$2:$F$2,0)),"")</f>
        <v/>
      </c>
      <c r="J37" s="158" t="str">
        <f t="shared" si="0"/>
        <v/>
      </c>
    </row>
    <row r="38" spans="1:12" ht="13.15" customHeight="1" x14ac:dyDescent="0.2">
      <c r="A38" s="1"/>
      <c r="B38" s="1"/>
      <c r="C38" s="10" t="str">
        <f>IFERROR(INDEX(Resume!$A$3:$F$228,MATCH(ROW($B11),Resume!$N$3:$N$228,0),MATCH('Commercial Invoice'!C$25,Resume!$A$2:$F$2,0)),"")</f>
        <v/>
      </c>
      <c r="D38" s="159" t="str">
        <f>IFERROR(INDEX(Resume!$A$3:$F$228,MATCH(ROW($B11),Resume!$N$3:$N$228,0),MATCH('Commercial Invoice'!D$25,Resume!$A$2:$F$2,0)),"")</f>
        <v/>
      </c>
      <c r="E38" s="159" t="str">
        <f>IFERROR(INDEX(Resume!$A$3:$F$228,MATCH(ROW($B11),Resume!$N$3:$N$228,0),MATCH('Commercial Invoice'!E$25,Resume!$A$2:$F$2,0)),"")</f>
        <v/>
      </c>
      <c r="F38" s="159" t="str">
        <f>IFERROR(INDEX(Resume!$A$3:$F$228,MATCH(ROW($B11),Resume!$N$3:$N$228,0),MATCH('Commercial Invoice'!F$25,Resume!$A$2:$F$2,0)),"")</f>
        <v/>
      </c>
      <c r="G38" s="1081" t="str">
        <f>IFERROR(INDEX(Resume!$A$3:$F$228,MATCH(ROW($B11),Resume!$N$3:$N$228,0),MATCH('Commercial Invoice'!G$25,Resume!$A$2:$F$2,0)),"")</f>
        <v/>
      </c>
      <c r="H38" s="1082"/>
      <c r="I38" s="160" t="str">
        <f>IFERROR(INDEX(Resume!$A$3:$F$228,MATCH(ROW($B11),Resume!$N$3:$N$228,0),MATCH('Commercial Invoice'!I$25,Resume!$A$2:$F$2,0)),"")</f>
        <v/>
      </c>
      <c r="J38" s="158" t="str">
        <f t="shared" si="0"/>
        <v/>
      </c>
    </row>
    <row r="39" spans="1:12" ht="13.15" customHeight="1" x14ac:dyDescent="0.2">
      <c r="A39" s="1"/>
      <c r="B39" s="1"/>
      <c r="C39" s="10" t="str">
        <f>IFERROR(INDEX(Resume!$A$3:$F$228,MATCH(ROW($B12),Resume!$N$3:$N$228,0),MATCH('Commercial Invoice'!C$25,Resume!$A$2:$F$2,0)),"")</f>
        <v/>
      </c>
      <c r="D39" s="159" t="str">
        <f>IFERROR(INDEX(Resume!$A$3:$F$228,MATCH(ROW($B12),Resume!$N$3:$N$228,0),MATCH('Commercial Invoice'!D$25,Resume!$A$2:$F$2,0)),"")</f>
        <v/>
      </c>
      <c r="E39" s="159" t="str">
        <f>IFERROR(INDEX(Resume!$A$3:$F$228,MATCH(ROW($B12),Resume!$N$3:$N$228,0),MATCH('Commercial Invoice'!E$25,Resume!$A$2:$F$2,0)),"")</f>
        <v/>
      </c>
      <c r="F39" s="159" t="str">
        <f>IFERROR(INDEX(Resume!$A$3:$F$228,MATCH(ROW($B12),Resume!$N$3:$N$228,0),MATCH('Commercial Invoice'!F$25,Resume!$A$2:$F$2,0)),"")</f>
        <v/>
      </c>
      <c r="G39" s="1081" t="str">
        <f>IFERROR(INDEX(Resume!$A$3:$F$228,MATCH(ROW($B12),Resume!$N$3:$N$228,0),MATCH('Commercial Invoice'!G$25,Resume!$A$2:$F$2,0)),"")</f>
        <v/>
      </c>
      <c r="H39" s="1082"/>
      <c r="I39" s="160" t="str">
        <f>IFERROR(INDEX(Resume!$A$3:$F$228,MATCH(ROW($B12),Resume!$N$3:$N$228,0),MATCH('Commercial Invoice'!I$25,Resume!$A$2:$F$2,0)),"")</f>
        <v/>
      </c>
      <c r="J39" s="158" t="str">
        <f t="shared" si="0"/>
        <v/>
      </c>
    </row>
    <row r="40" spans="1:12" ht="13.15" customHeight="1" x14ac:dyDescent="0.2">
      <c r="A40" s="1"/>
      <c r="B40" s="1"/>
      <c r="C40" s="10" t="str">
        <f>IFERROR(INDEX(Resume!$A$3:$F$228,MATCH(ROW($B13),Resume!$N$3:$N$228,0),MATCH('Commercial Invoice'!C$25,Resume!$A$2:$F$2,0)),"")</f>
        <v/>
      </c>
      <c r="D40" s="159" t="str">
        <f>IFERROR(INDEX(Resume!$A$3:$F$228,MATCH(ROW($B13),Resume!$N$3:$N$228,0),MATCH('Commercial Invoice'!D$25,Resume!$A$2:$F$2,0)),"")</f>
        <v/>
      </c>
      <c r="E40" s="159" t="str">
        <f>IFERROR(INDEX(Resume!$A$3:$F$228,MATCH(ROW($B13),Resume!$N$3:$N$228,0),MATCH('Commercial Invoice'!E$25,Resume!$A$2:$F$2,0)),"")</f>
        <v/>
      </c>
      <c r="F40" s="159" t="str">
        <f>IFERROR(INDEX(Resume!$A$3:$F$228,MATCH(ROW($B13),Resume!$N$3:$N$228,0),MATCH('Commercial Invoice'!F$25,Resume!$A$2:$F$2,0)),"")</f>
        <v/>
      </c>
      <c r="G40" s="1081" t="str">
        <f>IFERROR(INDEX(Resume!$A$3:$F$228,MATCH(ROW($B13),Resume!$N$3:$N$228,0),MATCH('Commercial Invoice'!G$25,Resume!$A$2:$F$2,0)),"")</f>
        <v/>
      </c>
      <c r="H40" s="1082"/>
      <c r="I40" s="160" t="str">
        <f>IFERROR(INDEX(Resume!$A$3:$F$228,MATCH(ROW($B13),Resume!$N$3:$N$228,0),MATCH('Commercial Invoice'!I$25,Resume!$A$2:$F$2,0)),"")</f>
        <v/>
      </c>
      <c r="J40" s="158" t="str">
        <f t="shared" si="0"/>
        <v/>
      </c>
    </row>
    <row r="41" spans="1:12" ht="13.15" customHeight="1" x14ac:dyDescent="0.2">
      <c r="A41" s="1"/>
      <c r="B41" s="1"/>
      <c r="C41" s="10" t="str">
        <f>IFERROR(INDEX(Resume!$A$3:$F$228,MATCH(ROW($B14),Resume!$N$3:$N$228,0),MATCH('Commercial Invoice'!C$25,Resume!$A$2:$F$2,0)),"")</f>
        <v/>
      </c>
      <c r="D41" s="159" t="str">
        <f>IFERROR(INDEX(Resume!$A$3:$F$228,MATCH(ROW($B14),Resume!$N$3:$N$228,0),MATCH('Commercial Invoice'!D$25,Resume!$A$2:$F$2,0)),"")</f>
        <v/>
      </c>
      <c r="E41" s="159" t="str">
        <f>IFERROR(INDEX(Resume!$A$3:$F$228,MATCH(ROW($B14),Resume!$N$3:$N$228,0),MATCH('Commercial Invoice'!E$25,Resume!$A$2:$F$2,0)),"")</f>
        <v/>
      </c>
      <c r="F41" s="159" t="str">
        <f>IFERROR(INDEX(Resume!$A$3:$F$228,MATCH(ROW($B14),Resume!$N$3:$N$228,0),MATCH('Commercial Invoice'!F$25,Resume!$A$2:$F$2,0)),"")</f>
        <v/>
      </c>
      <c r="G41" s="1081" t="str">
        <f>IFERROR(INDEX(Resume!$A$3:$F$228,MATCH(ROW($B14),Resume!$N$3:$N$228,0),MATCH('Commercial Invoice'!G$25,Resume!$A$2:$F$2,0)),"")</f>
        <v/>
      </c>
      <c r="H41" s="1082"/>
      <c r="I41" s="160" t="str">
        <f>IFERROR(INDEX(Resume!$A$3:$F$228,MATCH(ROW($B14),Resume!$N$3:$N$228,0),MATCH('Commercial Invoice'!I$25,Resume!$A$2:$F$2,0)),"")</f>
        <v/>
      </c>
      <c r="J41" s="158" t="str">
        <f t="shared" si="0"/>
        <v/>
      </c>
    </row>
    <row r="42" spans="1:12" ht="13.15" customHeight="1" x14ac:dyDescent="0.2">
      <c r="A42" s="1"/>
      <c r="B42" s="1"/>
      <c r="C42" s="10" t="str">
        <f>IFERROR(INDEX(Resume!$A$3:$F$228,MATCH(ROW($B15),Resume!$N$3:$N$228,0),MATCH('Commercial Invoice'!C$25,Resume!$A$2:$F$2,0)),"")</f>
        <v/>
      </c>
      <c r="D42" s="159" t="str">
        <f>IFERROR(INDEX(Resume!$A$3:$F$228,MATCH(ROW($B15),Resume!$N$3:$N$228,0),MATCH('Commercial Invoice'!D$25,Resume!$A$2:$F$2,0)),"")</f>
        <v/>
      </c>
      <c r="E42" s="159" t="str">
        <f>IFERROR(INDEX(Resume!$A$3:$F$228,MATCH(ROW($B15),Resume!$N$3:$N$228,0),MATCH('Commercial Invoice'!E$25,Resume!$A$2:$F$2,0)),"")</f>
        <v/>
      </c>
      <c r="F42" s="159" t="str">
        <f>IFERROR(INDEX(Resume!$A$3:$F$228,MATCH(ROW($B15),Resume!$N$3:$N$228,0),MATCH('Commercial Invoice'!F$25,Resume!$A$2:$F$2,0)),"")</f>
        <v/>
      </c>
      <c r="G42" s="1081" t="str">
        <f>IFERROR(INDEX(Resume!$A$3:$F$228,MATCH(ROW($B15),Resume!$N$3:$N$228,0),MATCH('Commercial Invoice'!G$25,Resume!$A$2:$F$2,0)),"")</f>
        <v/>
      </c>
      <c r="H42" s="1082"/>
      <c r="I42" s="160" t="str">
        <f>IFERROR(INDEX(Resume!$A$3:$F$228,MATCH(ROW($B15),Resume!$N$3:$N$228,0),MATCH('Commercial Invoice'!I$25,Resume!$A$2:$F$2,0)),"")</f>
        <v/>
      </c>
      <c r="J42" s="158" t="str">
        <f t="shared" si="0"/>
        <v/>
      </c>
      <c r="L42" s="11"/>
    </row>
    <row r="43" spans="1:12" ht="13.15" customHeight="1" x14ac:dyDescent="0.2">
      <c r="A43" s="1"/>
      <c r="B43" s="1"/>
      <c r="C43" s="10" t="str">
        <f>IFERROR(INDEX(Resume!$A$3:$F$228,MATCH(ROW($B16),Resume!$N$3:$N$228,0),MATCH('Commercial Invoice'!C$25,Resume!$A$2:$F$2,0)),"")</f>
        <v/>
      </c>
      <c r="D43" s="159" t="str">
        <f>IFERROR(INDEX(Resume!$A$3:$F$228,MATCH(ROW($B16),Resume!$N$3:$N$228,0),MATCH('Commercial Invoice'!D$25,Resume!$A$2:$F$2,0)),"")</f>
        <v/>
      </c>
      <c r="E43" s="159" t="str">
        <f>IFERROR(INDEX(Resume!$A$3:$F$228,MATCH(ROW($B16),Resume!$N$3:$N$228,0),MATCH('Commercial Invoice'!E$25,Resume!$A$2:$F$2,0)),"")</f>
        <v/>
      </c>
      <c r="F43" s="159" t="str">
        <f>IFERROR(INDEX(Resume!$A$3:$F$228,MATCH(ROW($B16),Resume!$N$3:$N$228,0),MATCH('Commercial Invoice'!F$25,Resume!$A$2:$F$2,0)),"")</f>
        <v/>
      </c>
      <c r="G43" s="1081" t="str">
        <f>IFERROR(INDEX(Resume!$A$3:$F$228,MATCH(ROW($B16),Resume!$N$3:$N$228,0),MATCH('Commercial Invoice'!G$25,Resume!$A$2:$F$2,0)),"")</f>
        <v/>
      </c>
      <c r="H43" s="1082"/>
      <c r="I43" s="160" t="str">
        <f>IFERROR(INDEX(Resume!$A$3:$F$228,MATCH(ROW($B16),Resume!$N$3:$N$228,0),MATCH('Commercial Invoice'!I$25,Resume!$A$2:$F$2,0)),"")</f>
        <v/>
      </c>
      <c r="J43" s="158" t="str">
        <f t="shared" si="0"/>
        <v/>
      </c>
    </row>
    <row r="44" spans="1:12" ht="13.15" customHeight="1" x14ac:dyDescent="0.2">
      <c r="A44" s="1"/>
      <c r="B44" s="1"/>
      <c r="C44" s="10" t="str">
        <f>IFERROR(INDEX(Resume!$A$3:$F$228,MATCH(ROW($B17),Resume!$N$3:$N$228,0),MATCH('Commercial Invoice'!C$25,Resume!$A$2:$F$2,0)),"")</f>
        <v/>
      </c>
      <c r="D44" s="159" t="str">
        <f>IFERROR(INDEX(Resume!$A$3:$F$228,MATCH(ROW($B17),Resume!$N$3:$N$228,0),MATCH('Commercial Invoice'!D$25,Resume!$A$2:$F$2,0)),"")</f>
        <v/>
      </c>
      <c r="E44" s="159" t="str">
        <f>IFERROR(INDEX(Resume!$A$3:$F$228,MATCH(ROW($B17),Resume!$N$3:$N$228,0),MATCH('Commercial Invoice'!E$25,Resume!$A$2:$F$2,0)),"")</f>
        <v/>
      </c>
      <c r="F44" s="159" t="str">
        <f>IFERROR(INDEX(Resume!$A$3:$F$228,MATCH(ROW($B17),Resume!$N$3:$N$228,0),MATCH('Commercial Invoice'!F$25,Resume!$A$2:$F$2,0)),"")</f>
        <v/>
      </c>
      <c r="G44" s="1081" t="str">
        <f>IFERROR(INDEX(Resume!$A$3:$F$228,MATCH(ROW($B17),Resume!$N$3:$N$228,0),MATCH('Commercial Invoice'!G$25,Resume!$A$2:$F$2,0)),"")</f>
        <v/>
      </c>
      <c r="H44" s="1082"/>
      <c r="I44" s="160" t="str">
        <f>IFERROR(INDEX(Resume!$A$3:$F$228,MATCH(ROW($B17),Resume!$N$3:$N$228,0),MATCH('Commercial Invoice'!I$25,Resume!$A$2:$F$2,0)),"")</f>
        <v/>
      </c>
      <c r="J44" s="158" t="str">
        <f t="shared" si="0"/>
        <v/>
      </c>
    </row>
    <row r="45" spans="1:12" ht="13.15" customHeight="1" x14ac:dyDescent="0.2">
      <c r="A45" s="1"/>
      <c r="B45" s="1"/>
      <c r="C45" s="10" t="str">
        <f>IFERROR(INDEX(Resume!$A$3:$F$228,MATCH(ROW($B18),Resume!$N$3:$N$228,0),MATCH('Commercial Invoice'!C$25,Resume!$A$2:$F$2,0)),"")</f>
        <v/>
      </c>
      <c r="D45" s="159" t="str">
        <f>IFERROR(INDEX(Resume!$A$3:$F$228,MATCH(ROW($B18),Resume!$N$3:$N$228,0),MATCH('Commercial Invoice'!D$25,Resume!$A$2:$F$2,0)),"")</f>
        <v/>
      </c>
      <c r="E45" s="159" t="str">
        <f>IFERROR(INDEX(Resume!$A$3:$F$228,MATCH(ROW($B18),Resume!$N$3:$N$228,0),MATCH('Commercial Invoice'!E$25,Resume!$A$2:$F$2,0)),"")</f>
        <v/>
      </c>
      <c r="F45" s="159" t="str">
        <f>IFERROR(INDEX(Resume!$A$3:$F$228,MATCH(ROW($B18),Resume!$N$3:$N$228,0),MATCH('Commercial Invoice'!F$25,Resume!$A$2:$F$2,0)),"")</f>
        <v/>
      </c>
      <c r="G45" s="1081" t="str">
        <f>IFERROR(INDEX(Resume!$A$3:$F$228,MATCH(ROW($B18),Resume!$N$3:$N$228,0),MATCH('Commercial Invoice'!G$25,Resume!$A$2:$F$2,0)),"")</f>
        <v/>
      </c>
      <c r="H45" s="1082"/>
      <c r="I45" s="160" t="str">
        <f>IFERROR(INDEX(Resume!$A$3:$F$228,MATCH(ROW($B18),Resume!$N$3:$N$228,0),MATCH('Commercial Invoice'!I$25,Resume!$A$2:$F$2,0)),"")</f>
        <v/>
      </c>
      <c r="J45" s="158" t="str">
        <f t="shared" si="0"/>
        <v/>
      </c>
    </row>
    <row r="46" spans="1:12" ht="13.15" customHeight="1" x14ac:dyDescent="0.2">
      <c r="A46" s="1"/>
      <c r="B46" s="1"/>
      <c r="C46" s="10" t="str">
        <f>IFERROR(INDEX(Resume!$A$3:$F$228,MATCH(ROW($B19),Resume!$N$3:$N$228,0),MATCH('Commercial Invoice'!C$25,Resume!$A$2:$F$2,0)),"")</f>
        <v/>
      </c>
      <c r="D46" s="159" t="str">
        <f>IFERROR(INDEX(Resume!$A$3:$F$228,MATCH(ROW($B19),Resume!$N$3:$N$228,0),MATCH('Commercial Invoice'!D$25,Resume!$A$2:$F$2,0)),"")</f>
        <v/>
      </c>
      <c r="E46" s="159" t="str">
        <f>IFERROR(INDEX(Resume!$A$3:$F$228,MATCH(ROW($B19),Resume!$N$3:$N$228,0),MATCH('Commercial Invoice'!E$25,Resume!$A$2:$F$2,0)),"")</f>
        <v/>
      </c>
      <c r="F46" s="159" t="str">
        <f>IFERROR(INDEX(Resume!$A$3:$F$228,MATCH(ROW($B19),Resume!$N$3:$N$228,0),MATCH('Commercial Invoice'!F$25,Resume!$A$2:$F$2,0)),"")</f>
        <v/>
      </c>
      <c r="G46" s="1081" t="str">
        <f>IFERROR(INDEX(Resume!$A$3:$F$228,MATCH(ROW($B19),Resume!$N$3:$N$228,0),MATCH('Commercial Invoice'!G$25,Resume!$A$2:$F$2,0)),"")</f>
        <v/>
      </c>
      <c r="H46" s="1082"/>
      <c r="I46" s="160" t="str">
        <f>IFERROR(INDEX(Resume!$A$3:$F$228,MATCH(ROW($B19),Resume!$N$3:$N$228,0),MATCH('Commercial Invoice'!I$25,Resume!$A$2:$F$2,0)),"")</f>
        <v/>
      </c>
      <c r="J46" s="158" t="str">
        <f t="shared" si="0"/>
        <v/>
      </c>
    </row>
    <row r="47" spans="1:12" ht="13.15" customHeight="1" x14ac:dyDescent="0.2">
      <c r="A47" s="1"/>
      <c r="B47" s="1"/>
      <c r="C47" s="10" t="str">
        <f>IFERROR(INDEX(Resume!$A$3:$F$228,MATCH(ROW($B20),Resume!$N$3:$N$228,0),MATCH('Commercial Invoice'!C$25,Resume!$A$2:$F$2,0)),"")</f>
        <v/>
      </c>
      <c r="D47" s="159" t="str">
        <f>IFERROR(INDEX(Resume!$A$3:$F$228,MATCH(ROW($B20),Resume!$N$3:$N$228,0),MATCH('Commercial Invoice'!D$25,Resume!$A$2:$F$2,0)),"")</f>
        <v/>
      </c>
      <c r="E47" s="159" t="str">
        <f>IFERROR(INDEX(Resume!$A$3:$F$228,MATCH(ROW($B20),Resume!$N$3:$N$228,0),MATCH('Commercial Invoice'!E$25,Resume!$A$2:$F$2,0)),"")</f>
        <v/>
      </c>
      <c r="F47" s="159" t="str">
        <f>IFERROR(INDEX(Resume!$A$3:$F$228,MATCH(ROW($B20),Resume!$N$3:$N$228,0),MATCH('Commercial Invoice'!F$25,Resume!$A$2:$F$2,0)),"")</f>
        <v/>
      </c>
      <c r="G47" s="1081" t="str">
        <f>IFERROR(INDEX(Resume!$A$3:$F$228,MATCH(ROW($B20),Resume!$N$3:$N$228,0),MATCH('Commercial Invoice'!G$25,Resume!$A$2:$F$2,0)),"")</f>
        <v/>
      </c>
      <c r="H47" s="1082"/>
      <c r="I47" s="160" t="str">
        <f>IFERROR(INDEX(Resume!$A$3:$F$228,MATCH(ROW($B20),Resume!$N$3:$N$228,0),MATCH('Commercial Invoice'!I$25,Resume!$A$2:$F$2,0)),"")</f>
        <v/>
      </c>
      <c r="J47" s="158" t="str">
        <f t="shared" si="0"/>
        <v/>
      </c>
    </row>
    <row r="48" spans="1:12" ht="13.15" customHeight="1" x14ac:dyDescent="0.2">
      <c r="A48" s="1"/>
      <c r="B48" s="1"/>
      <c r="C48" s="10" t="str">
        <f>IFERROR(INDEX(Resume!$A$3:$F$228,MATCH(ROW($B21),Resume!$N$3:$N$228,0),MATCH('Commercial Invoice'!C$25,Resume!$A$2:$F$2,0)),"")</f>
        <v/>
      </c>
      <c r="D48" s="159" t="str">
        <f>IFERROR(INDEX(Resume!$A$3:$F$228,MATCH(ROW($B21),Resume!$N$3:$N$228,0),MATCH('Commercial Invoice'!D$25,Resume!$A$2:$F$2,0)),"")</f>
        <v/>
      </c>
      <c r="E48" s="159" t="str">
        <f>IFERROR(INDEX(Resume!$A$3:$F$228,MATCH(ROW($B21),Resume!$N$3:$N$228,0),MATCH('Commercial Invoice'!E$25,Resume!$A$2:$F$2,0)),"")</f>
        <v/>
      </c>
      <c r="F48" s="159" t="str">
        <f>IFERROR(INDEX(Resume!$A$3:$F$228,MATCH(ROW($B21),Resume!$N$3:$N$228,0),MATCH('Commercial Invoice'!F$25,Resume!$A$2:$F$2,0)),"")</f>
        <v/>
      </c>
      <c r="G48" s="1081" t="str">
        <f>IFERROR(INDEX(Resume!$A$3:$F$228,MATCH(ROW($B21),Resume!$N$3:$N$228,0),MATCH('Commercial Invoice'!G$25,Resume!$A$2:$F$2,0)),"")</f>
        <v/>
      </c>
      <c r="H48" s="1082"/>
      <c r="I48" s="160" t="str">
        <f>IFERROR(INDEX(Resume!$A$3:$F$228,MATCH(ROW($B21),Resume!$N$3:$N$228,0),MATCH('Commercial Invoice'!I$25,Resume!$A$2:$F$2,0)),"")</f>
        <v/>
      </c>
      <c r="J48" s="158" t="str">
        <f t="shared" si="0"/>
        <v/>
      </c>
    </row>
    <row r="49" spans="1:13" ht="13.15" customHeight="1" x14ac:dyDescent="0.2">
      <c r="A49" s="1"/>
      <c r="B49" s="1"/>
      <c r="C49" s="10" t="str">
        <f>IFERROR(INDEX(Resume!$A$3:$F$228,MATCH(ROW($B22),Resume!$N$3:$N$228,0),MATCH('Commercial Invoice'!C$25,Resume!$A$2:$F$2,0)),"")</f>
        <v/>
      </c>
      <c r="D49" s="159" t="str">
        <f>IFERROR(INDEX(Resume!$A$3:$F$228,MATCH(ROW($B22),Resume!$N$3:$N$228,0),MATCH('Commercial Invoice'!D$25,Resume!$A$2:$F$2,0)),"")</f>
        <v/>
      </c>
      <c r="E49" s="159" t="str">
        <f>IFERROR(INDEX(Resume!$A$3:$F$228,MATCH(ROW($B22),Resume!$N$3:$N$228,0),MATCH('Commercial Invoice'!E$25,Resume!$A$2:$F$2,0)),"")</f>
        <v/>
      </c>
      <c r="F49" s="159" t="str">
        <f>IFERROR(INDEX(Resume!$A$3:$F$228,MATCH(ROW($B22),Resume!$N$3:$N$228,0),MATCH('Commercial Invoice'!F$25,Resume!$A$2:$F$2,0)),"")</f>
        <v/>
      </c>
      <c r="G49" s="1081" t="str">
        <f>IFERROR(INDEX(Resume!$A$3:$F$228,MATCH(ROW($B22),Resume!$N$3:$N$228,0),MATCH('Commercial Invoice'!G$25,Resume!$A$2:$F$2,0)),"")</f>
        <v/>
      </c>
      <c r="H49" s="1082"/>
      <c r="I49" s="160" t="str">
        <f>IFERROR(INDEX(Resume!$A$3:$F$228,MATCH(ROW($B22),Resume!$N$3:$N$228,0),MATCH('Commercial Invoice'!I$25,Resume!$A$2:$F$2,0)),"")</f>
        <v/>
      </c>
      <c r="J49" s="158" t="str">
        <f t="shared" si="0"/>
        <v/>
      </c>
      <c r="L49" s="11"/>
    </row>
    <row r="50" spans="1:13" ht="13.15" customHeight="1" x14ac:dyDescent="0.2">
      <c r="A50" s="1"/>
      <c r="B50" s="1"/>
      <c r="C50" s="10" t="str">
        <f>IFERROR(INDEX(Resume!$A$3:$F$228,MATCH(ROW($B23),Resume!$N$3:$N$228,0),MATCH('Commercial Invoice'!C$25,Resume!$A$2:$F$2,0)),"")</f>
        <v/>
      </c>
      <c r="D50" s="159" t="str">
        <f>IFERROR(INDEX(Resume!$A$3:$F$228,MATCH(ROW($B23),Resume!$N$3:$N$228,0),MATCH('Commercial Invoice'!D$25,Resume!$A$2:$F$2,0)),"")</f>
        <v/>
      </c>
      <c r="E50" s="159" t="str">
        <f>IFERROR(INDEX(Resume!$A$3:$F$228,MATCH(ROW($B23),Resume!$N$3:$N$228,0),MATCH('Commercial Invoice'!E$25,Resume!$A$2:$F$2,0)),"")</f>
        <v/>
      </c>
      <c r="F50" s="159" t="str">
        <f>IFERROR(INDEX(Resume!$A$3:$F$228,MATCH(ROW($B23),Resume!$N$3:$N$228,0),MATCH('Commercial Invoice'!F$25,Resume!$A$2:$F$2,0)),"")</f>
        <v/>
      </c>
      <c r="G50" s="1081" t="str">
        <f>IFERROR(INDEX(Resume!$A$3:$F$228,MATCH(ROW($B23),Resume!$N$3:$N$228,0),MATCH('Commercial Invoice'!G$25,Resume!$A$2:$F$2,0)),"")</f>
        <v/>
      </c>
      <c r="H50" s="1082"/>
      <c r="I50" s="160" t="str">
        <f>IFERROR(INDEX(Resume!$A$3:$F$228,MATCH(ROW($B23),Resume!$N$3:$N$228,0),MATCH('Commercial Invoice'!I$25,Resume!$A$2:$F$2,0)),"")</f>
        <v/>
      </c>
      <c r="J50" s="158" t="str">
        <f t="shared" si="0"/>
        <v/>
      </c>
      <c r="L50" s="11"/>
    </row>
    <row r="51" spans="1:13" ht="13.15" customHeight="1" x14ac:dyDescent="0.2">
      <c r="A51" s="1"/>
      <c r="B51" s="1"/>
      <c r="C51" s="10" t="str">
        <f>IFERROR(INDEX(Resume!$A$3:$F$228,MATCH(ROW($B24),Resume!$N$3:$N$228,0),MATCH('Commercial Invoice'!C$25,Resume!$A$2:$F$2,0)),"")</f>
        <v/>
      </c>
      <c r="D51" s="159" t="str">
        <f>IFERROR(INDEX(Resume!$A$3:$F$228,MATCH(ROW($B24),Resume!$N$3:$N$228,0),MATCH('Commercial Invoice'!D$25,Resume!$A$2:$F$2,0)),"")</f>
        <v/>
      </c>
      <c r="E51" s="159" t="str">
        <f>IFERROR(INDEX(Resume!$A$3:$F$228,MATCH(ROW($B24),Resume!$N$3:$N$228,0),MATCH('Commercial Invoice'!E$25,Resume!$A$2:$F$2,0)),"")</f>
        <v/>
      </c>
      <c r="F51" s="159" t="str">
        <f>IFERROR(INDEX(Resume!$A$3:$F$228,MATCH(ROW($B24),Resume!$N$3:$N$228,0),MATCH('Commercial Invoice'!F$25,Resume!$A$2:$F$2,0)),"")</f>
        <v/>
      </c>
      <c r="G51" s="1081" t="str">
        <f>IFERROR(INDEX(Resume!$A$3:$F$228,MATCH(ROW($B24),Resume!$N$3:$N$228,0),MATCH('Commercial Invoice'!G$25,Resume!$A$2:$F$2,0)),"")</f>
        <v/>
      </c>
      <c r="H51" s="1082"/>
      <c r="I51" s="160" t="str">
        <f>IFERROR(INDEX(Resume!$A$3:$F$228,MATCH(ROW($B24),Resume!$N$3:$N$228,0),MATCH('Commercial Invoice'!I$25,Resume!$A$2:$F$2,0)),"")</f>
        <v/>
      </c>
      <c r="J51" s="158" t="str">
        <f t="shared" si="0"/>
        <v/>
      </c>
      <c r="L51" s="11"/>
    </row>
    <row r="52" spans="1:13" ht="13.15" customHeight="1" x14ac:dyDescent="0.2">
      <c r="A52" s="1"/>
      <c r="B52" s="1"/>
      <c r="C52" s="10" t="str">
        <f>IFERROR(INDEX(Resume!$A$3:$F$228,MATCH(ROW($B25),Resume!$N$3:$N$228,0),MATCH('Commercial Invoice'!C$25,Resume!$A$2:$F$2,0)),"")</f>
        <v/>
      </c>
      <c r="D52" s="159" t="str">
        <f>IFERROR(INDEX(Resume!$A$3:$F$228,MATCH(ROW($B25),Resume!$N$3:$N$228,0),MATCH('Commercial Invoice'!D$25,Resume!$A$2:$F$2,0)),"")</f>
        <v/>
      </c>
      <c r="E52" s="159" t="str">
        <f>IFERROR(INDEX(Resume!$A$3:$F$228,MATCH(ROW($B25),Resume!$N$3:$N$228,0),MATCH('Commercial Invoice'!E$25,Resume!$A$2:$F$2,0)),"")</f>
        <v/>
      </c>
      <c r="F52" s="159" t="str">
        <f>IFERROR(INDEX(Resume!$A$3:$F$228,MATCH(ROW($B25),Resume!$N$3:$N$228,0),MATCH('Commercial Invoice'!F$25,Resume!$A$2:$F$2,0)),"")</f>
        <v/>
      </c>
      <c r="G52" s="1081" t="str">
        <f>IFERROR(INDEX(Resume!$A$3:$F$228,MATCH(ROW($B25),Resume!$N$3:$N$228,0),MATCH('Commercial Invoice'!G$25,Resume!$A$2:$F$2,0)),"")</f>
        <v/>
      </c>
      <c r="H52" s="1082"/>
      <c r="I52" s="160" t="str">
        <f>IFERROR(INDEX(Resume!$A$3:$F$228,MATCH(ROW($B25),Resume!$N$3:$N$228,0),MATCH('Commercial Invoice'!I$25,Resume!$A$2:$F$2,0)),"")</f>
        <v/>
      </c>
      <c r="J52" s="158" t="str">
        <f t="shared" si="0"/>
        <v/>
      </c>
      <c r="L52" s="11"/>
    </row>
    <row r="53" spans="1:13" ht="13.15" customHeight="1" x14ac:dyDescent="0.2">
      <c r="A53" s="1"/>
      <c r="B53" s="1"/>
      <c r="C53" s="10" t="str">
        <f>IFERROR(INDEX(Resume!$A$3:$F$228,MATCH(ROW($B26),Resume!$N$3:$N$228,0),MATCH('Commercial Invoice'!C$25,Resume!$A$2:$F$2,0)),"")</f>
        <v/>
      </c>
      <c r="D53" s="159" t="str">
        <f>IFERROR(INDEX(Resume!$A$3:$F$228,MATCH(ROW($B26),Resume!$N$3:$N$228,0),MATCH('Commercial Invoice'!D$25,Resume!$A$2:$F$2,0)),"")</f>
        <v/>
      </c>
      <c r="E53" s="159" t="str">
        <f>IFERROR(INDEX(Resume!$A$3:$F$228,MATCH(ROW($B26),Resume!$N$3:$N$228,0),MATCH('Commercial Invoice'!E$25,Resume!$A$2:$F$2,0)),"")</f>
        <v/>
      </c>
      <c r="F53" s="159" t="str">
        <f>IFERROR(INDEX(Resume!$A$3:$F$228,MATCH(ROW($B26),Resume!$N$3:$N$228,0),MATCH('Commercial Invoice'!F$25,Resume!$A$2:$F$2,0)),"")</f>
        <v/>
      </c>
      <c r="G53" s="1081" t="str">
        <f>IFERROR(INDEX(Resume!$A$3:$F$228,MATCH(ROW($B26),Resume!$N$3:$N$228,0),MATCH('Commercial Invoice'!G$25,Resume!$A$2:$F$2,0)),"")</f>
        <v/>
      </c>
      <c r="H53" s="1082"/>
      <c r="I53" s="160" t="str">
        <f>IFERROR(INDEX(Resume!$A$3:$F$228,MATCH(ROW($B26),Resume!$N$3:$N$228,0),MATCH('Commercial Invoice'!I$25,Resume!$A$2:$F$2,0)),"")</f>
        <v/>
      </c>
      <c r="J53" s="158" t="str">
        <f t="shared" si="0"/>
        <v/>
      </c>
    </row>
    <row r="54" spans="1:13" ht="13.15" customHeight="1" x14ac:dyDescent="0.2">
      <c r="A54" s="1"/>
      <c r="B54" s="1"/>
      <c r="C54" s="10" t="str">
        <f>IFERROR(INDEX(Resume!$A$3:$F$228,MATCH(ROW($B27),Resume!$N$3:$N$228,0),MATCH('Commercial Invoice'!C$25,Resume!$A$2:$F$2,0)),"")</f>
        <v/>
      </c>
      <c r="D54" s="159" t="str">
        <f>IFERROR(INDEX(Resume!$A$3:$F$228,MATCH(ROW($B27),Resume!$N$3:$N$228,0),MATCH('Commercial Invoice'!D$25,Resume!$A$2:$F$2,0)),"")</f>
        <v/>
      </c>
      <c r="E54" s="159" t="str">
        <f>IFERROR(INDEX(Resume!$A$3:$F$228,MATCH(ROW($B27),Resume!$N$3:$N$228,0),MATCH('Commercial Invoice'!E$25,Resume!$A$2:$F$2,0)),"")</f>
        <v/>
      </c>
      <c r="F54" s="159" t="str">
        <f>IFERROR(INDEX(Resume!$A$3:$F$228,MATCH(ROW($B27),Resume!$N$3:$N$228,0),MATCH('Commercial Invoice'!F$25,Resume!$A$2:$F$2,0)),"")</f>
        <v/>
      </c>
      <c r="G54" s="1081" t="str">
        <f>IFERROR(INDEX(Resume!$A$3:$F$228,MATCH(ROW($B27),Resume!$N$3:$N$228,0),MATCH('Commercial Invoice'!G$25,Resume!$A$2:$F$2,0)),"")</f>
        <v/>
      </c>
      <c r="H54" s="1082"/>
      <c r="I54" s="160" t="str">
        <f>IFERROR(INDEX(Resume!$A$3:$F$228,MATCH(ROW($B27),Resume!$N$3:$N$228,0),MATCH('Commercial Invoice'!I$25,Resume!$A$2:$F$2,0)),"")</f>
        <v/>
      </c>
      <c r="J54" s="158" t="str">
        <f t="shared" si="0"/>
        <v/>
      </c>
      <c r="L54" s="19"/>
      <c r="M54" s="19"/>
    </row>
    <row r="55" spans="1:13" ht="13.15" customHeight="1" x14ac:dyDescent="0.2">
      <c r="A55" s="1"/>
      <c r="B55" s="1"/>
      <c r="C55" s="10" t="str">
        <f>IFERROR(INDEX(Resume!$A$3:$F$228,MATCH(ROW($B28),Resume!$N$3:$N$228,0),MATCH('Commercial Invoice'!C$25,Resume!$A$2:$F$2,0)),"")</f>
        <v/>
      </c>
      <c r="D55" s="159" t="str">
        <f>IFERROR(INDEX(Resume!$A$3:$F$228,MATCH(ROW($B28),Resume!$N$3:$N$228,0),MATCH('Commercial Invoice'!D$25,Resume!$A$2:$F$2,0)),"")</f>
        <v/>
      </c>
      <c r="E55" s="159" t="str">
        <f>IFERROR(INDEX(Resume!$A$3:$F$228,MATCH(ROW($B28),Resume!$N$3:$N$228,0),MATCH('Commercial Invoice'!E$25,Resume!$A$2:$F$2,0)),"")</f>
        <v/>
      </c>
      <c r="F55" s="159" t="str">
        <f>IFERROR(INDEX(Resume!$A$3:$F$228,MATCH(ROW($B28),Resume!$N$3:$N$228,0),MATCH('Commercial Invoice'!F$25,Resume!$A$2:$F$2,0)),"")</f>
        <v/>
      </c>
      <c r="G55" s="1081" t="str">
        <f>IFERROR(INDEX(Resume!$A$3:$F$228,MATCH(ROW($B28),Resume!$N$3:$N$228,0),MATCH('Commercial Invoice'!G$25,Resume!$A$2:$F$2,0)),"")</f>
        <v/>
      </c>
      <c r="H55" s="1082"/>
      <c r="I55" s="160" t="str">
        <f>IFERROR(INDEX(Resume!$A$3:$F$228,MATCH(ROW($B28),Resume!$N$3:$N$228,0),MATCH('Commercial Invoice'!I$25,Resume!$A$2:$F$2,0)),"")</f>
        <v/>
      </c>
      <c r="J55" s="158" t="str">
        <f t="shared" si="0"/>
        <v/>
      </c>
      <c r="L55" s="19"/>
      <c r="M55" s="19"/>
    </row>
    <row r="56" spans="1:13" ht="13.15" customHeight="1" x14ac:dyDescent="0.2">
      <c r="A56" s="1"/>
      <c r="B56" s="1"/>
      <c r="C56" s="10" t="str">
        <f>IFERROR(INDEX(Resume!$A$3:$F$228,MATCH(ROW($B29),Resume!$N$3:$N$228,0),MATCH('Commercial Invoice'!C$25,Resume!$A$2:$F$2,0)),"")</f>
        <v/>
      </c>
      <c r="D56" s="159" t="str">
        <f>IFERROR(INDEX(Resume!$A$3:$F$228,MATCH(ROW($B29),Resume!$N$3:$N$228,0),MATCH('Commercial Invoice'!D$25,Resume!$A$2:$F$2,0)),"")</f>
        <v/>
      </c>
      <c r="E56" s="159" t="str">
        <f>IFERROR(INDEX(Resume!$A$3:$F$228,MATCH(ROW($B29),Resume!$N$3:$N$228,0),MATCH('Commercial Invoice'!E$25,Resume!$A$2:$F$2,0)),"")</f>
        <v/>
      </c>
      <c r="F56" s="159" t="str">
        <f>IFERROR(INDEX(Resume!$A$3:$F$228,MATCH(ROW($B29),Resume!$N$3:$N$228,0),MATCH('Commercial Invoice'!F$25,Resume!$A$2:$F$2,0)),"")</f>
        <v/>
      </c>
      <c r="G56" s="1081" t="str">
        <f>IFERROR(INDEX(Resume!$A$3:$F$228,MATCH(ROW($B29),Resume!$N$3:$N$228,0),MATCH('Commercial Invoice'!G$25,Resume!$A$2:$F$2,0)),"")</f>
        <v/>
      </c>
      <c r="H56" s="1082"/>
      <c r="I56" s="160" t="str">
        <f>IFERROR(INDEX(Resume!$A$3:$F$228,MATCH(ROW($B29),Resume!$N$3:$N$228,0),MATCH('Commercial Invoice'!I$25,Resume!$A$2:$F$2,0)),"")</f>
        <v/>
      </c>
      <c r="J56" s="158" t="str">
        <f t="shared" ref="J56" si="1">IFERROR(I56*E56,"")</f>
        <v/>
      </c>
      <c r="L56" s="19"/>
      <c r="M56" s="19"/>
    </row>
    <row r="57" spans="1:13" ht="13.15" customHeight="1" x14ac:dyDescent="0.2">
      <c r="A57" s="1"/>
      <c r="B57" s="1"/>
      <c r="C57" s="10" t="str">
        <f>IFERROR(INDEX(Resume!$A$3:$F$228,MATCH(ROW($B29),Resume!$N$3:$N$228,0),MATCH('Commercial Invoice'!C$25,Resume!$A$2:$F$2,0)),"")</f>
        <v/>
      </c>
      <c r="D57" s="159" t="str">
        <f>IFERROR(INDEX(Resume!$A$3:$F$228,MATCH(ROW($B29),Resume!$N$3:$N$228,0),MATCH('Commercial Invoice'!D$25,Resume!$A$2:$F$2,0)),"")</f>
        <v/>
      </c>
      <c r="E57" s="159" t="str">
        <f>IFERROR(INDEX(Resume!$A$3:$F$228,MATCH(ROW($B29),Resume!$N$3:$N$228,0),MATCH('Commercial Invoice'!E$25,Resume!$A$2:$F$2,0)),"")</f>
        <v/>
      </c>
      <c r="F57" s="159" t="str">
        <f>IFERROR(INDEX(Resume!$A$3:$F$228,MATCH(ROW($B29),Resume!$N$3:$N$228,0),MATCH('Commercial Invoice'!F$25,Resume!$A$2:$F$2,0)),"")</f>
        <v/>
      </c>
      <c r="G57" s="1081" t="str">
        <f>IFERROR(INDEX(Resume!$A$3:$F$228,MATCH(ROW($B29),Resume!$N$3:$N$228,0),MATCH('Commercial Invoice'!G$25,Resume!$A$2:$F$2,0)),"")</f>
        <v/>
      </c>
      <c r="H57" s="1082"/>
      <c r="I57" s="160" t="str">
        <f>IFERROR(INDEX(Resume!$A$3:$F$228,MATCH(ROW($B29),Resume!$N$3:$N$228,0),MATCH('Commercial Invoice'!I$25,Resume!$A$2:$F$2,0)),"")</f>
        <v/>
      </c>
      <c r="J57" s="158" t="str">
        <f t="shared" si="0"/>
        <v/>
      </c>
      <c r="L57" s="19"/>
      <c r="M57" s="19"/>
    </row>
    <row r="58" spans="1:13" ht="13.15" customHeight="1" x14ac:dyDescent="0.2">
      <c r="A58" s="1"/>
      <c r="B58" s="1"/>
      <c r="C58" s="10" t="str">
        <f>IFERROR(INDEX(Resume!$A$3:$F$228,MATCH(ROW($B30),Resume!$N$3:$N$228,0),MATCH('Commercial Invoice'!C$25,Resume!$A$2:$F$2,0)),"")</f>
        <v/>
      </c>
      <c r="D58" s="159" t="str">
        <f>IFERROR(INDEX(Resume!$A$3:$F$228,MATCH(ROW($B30),Resume!$N$3:$N$228,0),MATCH('Commercial Invoice'!D$25,Resume!$A$2:$F$2,0)),"")</f>
        <v/>
      </c>
      <c r="E58" s="159" t="str">
        <f>IFERROR(INDEX(Resume!$A$3:$F$228,MATCH(ROW($B30),Resume!$N$3:$N$228,0),MATCH('Commercial Invoice'!E$25,Resume!$A$2:$F$2,0)),"")</f>
        <v/>
      </c>
      <c r="F58" s="159" t="str">
        <f>IFERROR(INDEX(Resume!$A$3:$F$228,MATCH(ROW($B30),Resume!$N$3:$N$228,0),MATCH('Commercial Invoice'!F$25,Resume!$A$2:$F$2,0)),"")</f>
        <v/>
      </c>
      <c r="G58" s="1081" t="str">
        <f>IFERROR(INDEX(Resume!$A$3:$F$228,MATCH(ROW($B30),Resume!$N$3:$N$228,0),MATCH('Commercial Invoice'!G$25,Resume!$A$2:$F$2,0)),"")</f>
        <v/>
      </c>
      <c r="H58" s="1082"/>
      <c r="I58" s="160" t="str">
        <f>IFERROR(INDEX(Resume!$A$3:$F$228,MATCH(ROW($B30),Resume!$N$3:$N$228,0),MATCH('Commercial Invoice'!I$25,Resume!$A$2:$F$2,0)),"")</f>
        <v/>
      </c>
      <c r="J58" s="158" t="str">
        <f t="shared" si="0"/>
        <v/>
      </c>
      <c r="L58" s="19"/>
      <c r="M58" s="19"/>
    </row>
    <row r="59" spans="1:13" ht="13.15" customHeight="1" x14ac:dyDescent="0.2">
      <c r="A59" s="1"/>
      <c r="B59" s="1"/>
      <c r="C59" s="10" t="str">
        <f>IFERROR(INDEX(Resume!$A$3:$F$228,MATCH(ROW($B29),Resume!$N$3:$N$228,0),MATCH('Commercial Invoice'!C$25,Resume!$A$2:$F$2,0)),"")</f>
        <v/>
      </c>
      <c r="D59" s="159" t="str">
        <f>IFERROR(INDEX(Resume!$A$3:$F$228,MATCH(ROW($B29),Resume!$N$3:$N$228,0),MATCH('Commercial Invoice'!D$25,Resume!$A$2:$F$2,0)),"")</f>
        <v/>
      </c>
      <c r="E59" s="159" t="str">
        <f>IFERROR(INDEX(Resume!$A$3:$F$228,MATCH(ROW($B29),Resume!$N$3:$N$228,0),MATCH('Commercial Invoice'!E$25,Resume!$A$2:$F$2,0)),"")</f>
        <v/>
      </c>
      <c r="F59" s="159" t="str">
        <f>IFERROR(INDEX(Resume!$A$3:$F$228,MATCH(ROW($B29),Resume!$N$3:$N$228,0),MATCH('Commercial Invoice'!F$25,Resume!$A$2:$F$2,0)),"")</f>
        <v/>
      </c>
      <c r="G59" s="1081" t="str">
        <f>IFERROR(INDEX(Resume!$A$3:$F$228,MATCH(ROW($B29),Resume!$N$3:$N$228,0),MATCH('Commercial Invoice'!G$25,Resume!$A$2:$F$2,0)),"")</f>
        <v/>
      </c>
      <c r="H59" s="1082"/>
      <c r="I59" s="160" t="str">
        <f>IFERROR(INDEX(Resume!$A$3:$F$228,MATCH(ROW($B29),Resume!$N$3:$N$228,0),MATCH('Commercial Invoice'!I$25,Resume!$A$2:$F$2,0)),"")</f>
        <v/>
      </c>
      <c r="J59" s="158" t="str">
        <f t="shared" si="0"/>
        <v/>
      </c>
      <c r="L59" s="19"/>
      <c r="M59" s="19"/>
    </row>
    <row r="60" spans="1:13" ht="13.15" customHeight="1" x14ac:dyDescent="0.2">
      <c r="A60" s="1"/>
      <c r="B60" s="1"/>
      <c r="C60" s="10" t="str">
        <f>IFERROR(INDEX(Resume!$A$3:$F$228,MATCH(ROW($B30),Resume!$N$3:$N$228,0),MATCH('Commercial Invoice'!C$25,Resume!$A$2:$F$2,0)),"")</f>
        <v/>
      </c>
      <c r="D60" s="159" t="str">
        <f>IFERROR(INDEX(Resume!$A$3:$F$228,MATCH(ROW($B30),Resume!$N$3:$N$228,0),MATCH('Commercial Invoice'!D$25,Resume!$A$2:$F$2,0)),"")</f>
        <v/>
      </c>
      <c r="E60" s="159" t="str">
        <f>IFERROR(INDEX(Resume!$A$3:$F$228,MATCH(ROW($B30),Resume!$N$3:$N$228,0),MATCH('Commercial Invoice'!E$25,Resume!$A$2:$F$2,0)),"")</f>
        <v/>
      </c>
      <c r="F60" s="159" t="str">
        <f>IFERROR(INDEX(Resume!$A$3:$F$228,MATCH(ROW($B30),Resume!$N$3:$N$228,0),MATCH('Commercial Invoice'!F$25,Resume!$A$2:$F$2,0)),"")</f>
        <v/>
      </c>
      <c r="G60" s="1081" t="str">
        <f>IFERROR(INDEX(Resume!$A$3:$F$228,MATCH(ROW($B30),Resume!$N$3:$N$228,0),MATCH('Commercial Invoice'!G$25,Resume!$A$2:$F$2,0)),"")</f>
        <v/>
      </c>
      <c r="H60" s="1082"/>
      <c r="I60" s="160" t="str">
        <f>IFERROR(INDEX(Resume!$A$3:$F$228,MATCH(ROW($B30),Resume!$N$3:$N$228,0),MATCH('Commercial Invoice'!I$25,Resume!$A$2:$F$2,0)),"")</f>
        <v/>
      </c>
      <c r="J60" s="158" t="str">
        <f t="shared" si="0"/>
        <v/>
      </c>
      <c r="L60" s="19"/>
      <c r="M60" s="19"/>
    </row>
    <row r="61" spans="1:13" ht="12.75" x14ac:dyDescent="0.2">
      <c r="A61" s="1"/>
      <c r="B61" s="1"/>
      <c r="C61" s="1"/>
      <c r="D61" s="1"/>
      <c r="E61" s="20"/>
      <c r="F61" s="21" t="s">
        <v>31</v>
      </c>
      <c r="G61" s="20"/>
      <c r="H61" s="22"/>
      <c r="I61" s="100" t="str">
        <f>VLOOKUP(G1,E99:Z101,17)</f>
        <v>SUB-TOTAL</v>
      </c>
      <c r="J61" s="101">
        <f>SUM(J26:J60)</f>
        <v>0</v>
      </c>
      <c r="L61" s="19"/>
      <c r="M61" s="19"/>
    </row>
    <row r="62" spans="1:13" ht="12.75" x14ac:dyDescent="0.2">
      <c r="A62" s="1"/>
      <c r="B62" s="1"/>
      <c r="C62" s="1"/>
      <c r="D62" s="1"/>
      <c r="E62" s="48"/>
      <c r="F62" s="52"/>
      <c r="G62" s="53"/>
      <c r="H62" s="22"/>
      <c r="I62" s="23" t="s">
        <v>97</v>
      </c>
      <c r="J62" s="102">
        <f>IF(I62= "NO TAXES",0,VLOOKUP(I62,E127:F136,2))*J61</f>
        <v>0</v>
      </c>
      <c r="L62" s="19"/>
      <c r="M62" s="19"/>
    </row>
    <row r="63" spans="1:13" ht="12.75" x14ac:dyDescent="0.2">
      <c r="A63" s="1"/>
      <c r="B63" s="1"/>
      <c r="C63" s="1"/>
      <c r="D63" s="1"/>
      <c r="E63" s="20"/>
      <c r="F63" s="23"/>
      <c r="G63" s="20"/>
      <c r="H63" s="22"/>
      <c r="I63" s="103" t="s">
        <v>60</v>
      </c>
      <c r="J63" s="101">
        <f>J61+J62</f>
        <v>0</v>
      </c>
      <c r="L63" s="19"/>
      <c r="M63" s="19"/>
    </row>
    <row r="64" spans="1:13" ht="5.25" customHeight="1" x14ac:dyDescent="0.2">
      <c r="A64" s="1"/>
      <c r="B64" s="1"/>
      <c r="C64" s="1"/>
      <c r="D64" s="1"/>
      <c r="E64" s="24"/>
      <c r="F64" s="22"/>
      <c r="G64" s="20"/>
      <c r="H64" s="22"/>
      <c r="I64" s="1"/>
      <c r="J64" s="1"/>
      <c r="L64" s="19"/>
      <c r="M64" s="19"/>
    </row>
    <row r="65" spans="3:10" ht="5.25" customHeight="1" thickBot="1" x14ac:dyDescent="0.25"/>
    <row r="66" spans="3:10" x14ac:dyDescent="0.2">
      <c r="C66" s="25" t="s">
        <v>131</v>
      </c>
      <c r="D66" s="26"/>
      <c r="E66" s="26"/>
      <c r="F66" s="26"/>
      <c r="G66" s="26"/>
      <c r="H66" s="26"/>
      <c r="I66" s="26"/>
      <c r="J66" s="12"/>
    </row>
    <row r="67" spans="3:10" x14ac:dyDescent="0.2">
      <c r="C67" s="27" t="s">
        <v>132</v>
      </c>
      <c r="J67" s="28"/>
    </row>
    <row r="68" spans="3:10" x14ac:dyDescent="0.2">
      <c r="C68" s="27" t="s">
        <v>133</v>
      </c>
      <c r="J68" s="28"/>
    </row>
    <row r="69" spans="3:10" x14ac:dyDescent="0.2">
      <c r="C69" s="27" t="s">
        <v>134</v>
      </c>
      <c r="J69" s="28"/>
    </row>
    <row r="70" spans="3:10" ht="12" thickBot="1" x14ac:dyDescent="0.25">
      <c r="C70" s="29" t="s">
        <v>135</v>
      </c>
      <c r="D70" s="30"/>
      <c r="E70" s="30"/>
      <c r="F70" s="30" t="s">
        <v>136</v>
      </c>
      <c r="G70" s="30"/>
      <c r="H70" s="31" t="s">
        <v>137</v>
      </c>
      <c r="I70" s="32">
        <f>I9</f>
        <v>0</v>
      </c>
      <c r="J70" s="33"/>
    </row>
    <row r="71" spans="3:10" ht="12" thickBot="1" x14ac:dyDescent="0.25">
      <c r="C71" s="34" t="s">
        <v>138</v>
      </c>
      <c r="D71" s="35"/>
      <c r="E71" s="35"/>
      <c r="F71" s="36"/>
      <c r="G71" s="37" t="s">
        <v>139</v>
      </c>
      <c r="H71" s="38" t="s">
        <v>140</v>
      </c>
      <c r="I71" s="39"/>
      <c r="J71" s="39"/>
    </row>
    <row r="72" spans="3:10" x14ac:dyDescent="0.2">
      <c r="C72" s="40" t="s">
        <v>141</v>
      </c>
      <c r="D72" s="41"/>
      <c r="E72" s="41"/>
      <c r="F72" s="42"/>
      <c r="G72" s="1083"/>
      <c r="H72" s="1085" t="s">
        <v>37</v>
      </c>
      <c r="I72" s="1086"/>
      <c r="J72" s="1087"/>
    </row>
    <row r="73" spans="3:10" ht="12" thickBot="1" x14ac:dyDescent="0.25">
      <c r="C73" s="43" t="s">
        <v>142</v>
      </c>
      <c r="D73" s="44"/>
      <c r="E73" s="45"/>
      <c r="F73" s="46"/>
      <c r="G73" s="1084"/>
      <c r="H73" s="1088"/>
      <c r="I73" s="1089"/>
      <c r="J73" s="1090"/>
    </row>
    <row r="74" spans="3:10" x14ac:dyDescent="0.2">
      <c r="C74" s="47"/>
      <c r="E74" s="11"/>
    </row>
    <row r="75" spans="3:10" x14ac:dyDescent="0.2">
      <c r="C75" s="47"/>
      <c r="E75" s="11"/>
    </row>
    <row r="76" spans="3:10" x14ac:dyDescent="0.2">
      <c r="C76" s="47"/>
      <c r="E76" s="11"/>
    </row>
    <row r="77" spans="3:10" hidden="1" x14ac:dyDescent="0.2">
      <c r="F77" s="5" t="s">
        <v>143</v>
      </c>
    </row>
    <row r="78" spans="3:10" hidden="1" x14ac:dyDescent="0.2">
      <c r="E78" s="48" t="s">
        <v>114</v>
      </c>
      <c r="F78" s="5" t="s">
        <v>152</v>
      </c>
      <c r="H78" s="6"/>
    </row>
    <row r="79" spans="3:10" hidden="1" x14ac:dyDescent="0.2">
      <c r="E79" s="48" t="s">
        <v>144</v>
      </c>
      <c r="F79" s="5" t="s">
        <v>152</v>
      </c>
      <c r="H79" s="6" t="s">
        <v>36</v>
      </c>
    </row>
    <row r="80" spans="3:10" hidden="1" x14ac:dyDescent="0.2">
      <c r="E80" s="5" t="s">
        <v>162</v>
      </c>
      <c r="F80" s="5" t="s">
        <v>152</v>
      </c>
      <c r="H80" s="6" t="s">
        <v>38</v>
      </c>
    </row>
    <row r="81" spans="5:8" hidden="1" x14ac:dyDescent="0.2">
      <c r="E81" s="48">
        <f>'Order form'!H580</f>
        <v>0</v>
      </c>
      <c r="F81" s="5" t="s">
        <v>143</v>
      </c>
      <c r="H81" s="6" t="s">
        <v>39</v>
      </c>
    </row>
    <row r="82" spans="5:8" hidden="1" x14ac:dyDescent="0.2">
      <c r="E82" s="48"/>
      <c r="H82" s="6" t="s">
        <v>43</v>
      </c>
    </row>
    <row r="83" spans="5:8" hidden="1" x14ac:dyDescent="0.2">
      <c r="E83" s="48"/>
      <c r="F83" s="48"/>
      <c r="G83" s="48"/>
      <c r="H83" s="7" t="s">
        <v>45</v>
      </c>
    </row>
    <row r="84" spans="5:8" hidden="1" x14ac:dyDescent="0.2"/>
    <row r="85" spans="5:8" hidden="1" x14ac:dyDescent="0.2"/>
    <row r="86" spans="5:8" hidden="1" x14ac:dyDescent="0.2"/>
    <row r="87" spans="5:8" hidden="1" x14ac:dyDescent="0.2"/>
    <row r="88" spans="5:8" hidden="1" x14ac:dyDescent="0.2"/>
    <row r="89" spans="5:8" hidden="1" x14ac:dyDescent="0.2"/>
    <row r="90" spans="5:8" hidden="1" x14ac:dyDescent="0.2"/>
    <row r="91" spans="5:8" hidden="1" x14ac:dyDescent="0.2">
      <c r="E91" s="11" t="s">
        <v>46</v>
      </c>
    </row>
    <row r="92" spans="5:8" hidden="1" x14ac:dyDescent="0.2">
      <c r="E92" s="49"/>
      <c r="F92" s="13"/>
      <c r="G92" s="13"/>
      <c r="H92" s="13"/>
    </row>
    <row r="93" spans="5:8" hidden="1" x14ac:dyDescent="0.2">
      <c r="E93" s="13" t="s">
        <v>119</v>
      </c>
      <c r="F93" s="13" t="s">
        <v>47</v>
      </c>
      <c r="G93" s="13" t="s">
        <v>145</v>
      </c>
      <c r="H93" s="13" t="s">
        <v>146</v>
      </c>
    </row>
    <row r="94" spans="5:8" hidden="1" x14ac:dyDescent="0.2">
      <c r="E94" s="13" t="s">
        <v>556</v>
      </c>
      <c r="F94" s="13" t="s">
        <v>554</v>
      </c>
      <c r="G94" s="13" t="s">
        <v>555</v>
      </c>
      <c r="H94" s="13" t="s">
        <v>557</v>
      </c>
    </row>
    <row r="95" spans="5:8" hidden="1" x14ac:dyDescent="0.2"/>
    <row r="96" spans="5:8" hidden="1" x14ac:dyDescent="0.2"/>
    <row r="97" spans="5:28" hidden="1" x14ac:dyDescent="0.2"/>
    <row r="98" spans="5:28" hidden="1" x14ac:dyDescent="0.2">
      <c r="E98" s="11" t="s">
        <v>100</v>
      </c>
    </row>
    <row r="99" spans="5:28" hidden="1" x14ac:dyDescent="0.2"/>
    <row r="100" spans="5:28" hidden="1" x14ac:dyDescent="0.2">
      <c r="E100" s="5" t="s">
        <v>115</v>
      </c>
      <c r="F100" s="5" t="s">
        <v>48</v>
      </c>
      <c r="G100" s="5" t="s">
        <v>49</v>
      </c>
      <c r="H100" s="5" t="s">
        <v>50</v>
      </c>
      <c r="I100" s="5" t="s">
        <v>51</v>
      </c>
      <c r="J100" s="5" t="s">
        <v>12</v>
      </c>
      <c r="K100" s="5" t="s">
        <v>52</v>
      </c>
      <c r="L100" s="5" t="s">
        <v>53</v>
      </c>
      <c r="M100" s="5" t="s">
        <v>54</v>
      </c>
      <c r="N100" s="5" t="s">
        <v>161</v>
      </c>
      <c r="O100" s="5" t="s">
        <v>55</v>
      </c>
      <c r="P100" s="5" t="s">
        <v>56</v>
      </c>
      <c r="Q100" s="5" t="s">
        <v>57</v>
      </c>
      <c r="R100" s="5" t="s">
        <v>58</v>
      </c>
      <c r="S100" s="5" t="s">
        <v>59</v>
      </c>
      <c r="T100" s="5" t="s">
        <v>161</v>
      </c>
      <c r="U100" s="5" t="s">
        <v>15</v>
      </c>
      <c r="V100" s="5" t="s">
        <v>61</v>
      </c>
      <c r="W100" s="5" t="s">
        <v>107</v>
      </c>
      <c r="X100" s="5" t="s">
        <v>62</v>
      </c>
      <c r="Y100" s="5" t="s">
        <v>63</v>
      </c>
      <c r="Z100" s="5" t="s">
        <v>64</v>
      </c>
      <c r="AA100" s="5" t="s">
        <v>147</v>
      </c>
      <c r="AB100" s="5" t="s">
        <v>148</v>
      </c>
    </row>
    <row r="101" spans="5:28" hidden="1" x14ac:dyDescent="0.2">
      <c r="E101" s="5" t="s">
        <v>149</v>
      </c>
      <c r="F101" s="5" t="s">
        <v>66</v>
      </c>
      <c r="G101" s="5" t="s">
        <v>67</v>
      </c>
      <c r="H101" s="5" t="s">
        <v>68</v>
      </c>
      <c r="I101" s="5" t="s">
        <v>69</v>
      </c>
      <c r="J101" s="5" t="s">
        <v>70</v>
      </c>
      <c r="K101" s="5" t="s">
        <v>52</v>
      </c>
      <c r="L101" s="5" t="s">
        <v>71</v>
      </c>
      <c r="M101" s="5" t="s">
        <v>72</v>
      </c>
      <c r="N101" s="5" t="s">
        <v>150</v>
      </c>
      <c r="O101" s="5" t="s">
        <v>74</v>
      </c>
      <c r="P101" s="5" t="s">
        <v>75</v>
      </c>
      <c r="Q101" s="5" t="s">
        <v>76</v>
      </c>
      <c r="R101" s="5" t="s">
        <v>58</v>
      </c>
      <c r="S101" s="5" t="s">
        <v>77</v>
      </c>
      <c r="T101" s="5" t="s">
        <v>151</v>
      </c>
      <c r="U101" s="5" t="s">
        <v>78</v>
      </c>
      <c r="V101" s="5" t="s">
        <v>61</v>
      </c>
      <c r="W101" s="5" t="s">
        <v>108</v>
      </c>
      <c r="X101" s="5" t="s">
        <v>79</v>
      </c>
      <c r="Y101" s="5" t="s">
        <v>80</v>
      </c>
      <c r="Z101" s="5" t="s">
        <v>81</v>
      </c>
      <c r="AA101" s="5" t="s">
        <v>147</v>
      </c>
      <c r="AB101" s="5" t="s">
        <v>148</v>
      </c>
    </row>
    <row r="102" spans="5:28" hidden="1" x14ac:dyDescent="0.2"/>
    <row r="103" spans="5:28" hidden="1" x14ac:dyDescent="0.2"/>
    <row r="104" spans="5:28" hidden="1" x14ac:dyDescent="0.2"/>
    <row r="105" spans="5:28" hidden="1" x14ac:dyDescent="0.2">
      <c r="E105" s="11" t="s">
        <v>82</v>
      </c>
    </row>
    <row r="106" spans="5:28" hidden="1" x14ac:dyDescent="0.2"/>
    <row r="107" spans="5:28" hidden="1" x14ac:dyDescent="0.2">
      <c r="E107" s="5" t="s">
        <v>83</v>
      </c>
    </row>
    <row r="108" spans="5:28" hidden="1" x14ac:dyDescent="0.2">
      <c r="E108" s="5" t="s">
        <v>84</v>
      </c>
    </row>
    <row r="109" spans="5:28" hidden="1" x14ac:dyDescent="0.2">
      <c r="E109" s="5" t="s">
        <v>99</v>
      </c>
    </row>
    <row r="110" spans="5:28" hidden="1" x14ac:dyDescent="0.2">
      <c r="E110" s="5" t="s">
        <v>85</v>
      </c>
    </row>
    <row r="111" spans="5:28" hidden="1" x14ac:dyDescent="0.2">
      <c r="E111" s="5" t="s">
        <v>86</v>
      </c>
    </row>
    <row r="112" spans="5:28" hidden="1" x14ac:dyDescent="0.2">
      <c r="E112" s="5" t="s">
        <v>87</v>
      </c>
    </row>
    <row r="113" spans="5:6" hidden="1" x14ac:dyDescent="0.2"/>
    <row r="114" spans="5:6" hidden="1" x14ac:dyDescent="0.2"/>
    <row r="115" spans="5:6" hidden="1" x14ac:dyDescent="0.2"/>
    <row r="116" spans="5:6" hidden="1" x14ac:dyDescent="0.2"/>
    <row r="117" spans="5:6" hidden="1" x14ac:dyDescent="0.2"/>
    <row r="118" spans="5:6" hidden="1" x14ac:dyDescent="0.2"/>
    <row r="119" spans="5:6" hidden="1" x14ac:dyDescent="0.2">
      <c r="E119" s="11" t="s">
        <v>56</v>
      </c>
    </row>
    <row r="120" spans="5:6" hidden="1" x14ac:dyDescent="0.2"/>
    <row r="121" spans="5:6" hidden="1" x14ac:dyDescent="0.2">
      <c r="E121" s="5" t="s">
        <v>88</v>
      </c>
    </row>
    <row r="122" spans="5:6" hidden="1" x14ac:dyDescent="0.2">
      <c r="E122" s="5" t="s">
        <v>89</v>
      </c>
    </row>
    <row r="123" spans="5:6" hidden="1" x14ac:dyDescent="0.2">
      <c r="E123" s="5" t="s">
        <v>90</v>
      </c>
    </row>
    <row r="124" spans="5:6" hidden="1" x14ac:dyDescent="0.2"/>
    <row r="125" spans="5:6" hidden="1" x14ac:dyDescent="0.2"/>
    <row r="126" spans="5:6" hidden="1" x14ac:dyDescent="0.2">
      <c r="E126" s="11" t="s">
        <v>61</v>
      </c>
    </row>
    <row r="127" spans="5:6" hidden="1" x14ac:dyDescent="0.2">
      <c r="F127" s="50">
        <v>0</v>
      </c>
    </row>
    <row r="128" spans="5:6" hidden="1" x14ac:dyDescent="0.2">
      <c r="E128" s="19" t="s">
        <v>4</v>
      </c>
      <c r="F128" s="51">
        <v>0.05</v>
      </c>
    </row>
    <row r="129" spans="5:6" hidden="1" x14ac:dyDescent="0.2">
      <c r="E129" s="19" t="s">
        <v>5</v>
      </c>
      <c r="F129" s="51">
        <v>0.05</v>
      </c>
    </row>
    <row r="130" spans="5:6" hidden="1" x14ac:dyDescent="0.2">
      <c r="E130" s="19" t="s">
        <v>91</v>
      </c>
      <c r="F130" s="51">
        <v>0.05</v>
      </c>
    </row>
    <row r="131" spans="5:6" hidden="1" x14ac:dyDescent="0.2">
      <c r="E131" s="19" t="s">
        <v>92</v>
      </c>
      <c r="F131" s="51">
        <v>0.05</v>
      </c>
    </row>
    <row r="132" spans="5:6" hidden="1" x14ac:dyDescent="0.2">
      <c r="E132" s="19" t="s">
        <v>93</v>
      </c>
      <c r="F132" s="51">
        <v>0.13</v>
      </c>
    </row>
    <row r="133" spans="5:6" hidden="1" x14ac:dyDescent="0.2">
      <c r="E133" s="19" t="s">
        <v>94</v>
      </c>
      <c r="F133" s="51">
        <v>0.05</v>
      </c>
    </row>
    <row r="134" spans="5:6" hidden="1" x14ac:dyDescent="0.2">
      <c r="E134" s="19" t="s">
        <v>95</v>
      </c>
      <c r="F134" s="51">
        <v>0.14974999999999999</v>
      </c>
    </row>
    <row r="135" spans="5:6" hidden="1" x14ac:dyDescent="0.2">
      <c r="E135" s="19" t="s">
        <v>96</v>
      </c>
      <c r="F135" s="51">
        <v>0.05</v>
      </c>
    </row>
    <row r="136" spans="5:6" hidden="1" x14ac:dyDescent="0.2">
      <c r="E136" s="5" t="s">
        <v>97</v>
      </c>
      <c r="F136" s="50">
        <v>0</v>
      </c>
    </row>
  </sheetData>
  <mergeCells count="49">
    <mergeCell ref="G26:H26"/>
    <mergeCell ref="G27:H27"/>
    <mergeCell ref="B1:C2"/>
    <mergeCell ref="D1:E2"/>
    <mergeCell ref="F1:F2"/>
    <mergeCell ref="G1:J2"/>
    <mergeCell ref="I9:J9"/>
    <mergeCell ref="B13:C13"/>
    <mergeCell ref="D13:E13"/>
    <mergeCell ref="H23:I23"/>
    <mergeCell ref="G25:H25"/>
    <mergeCell ref="H20:J20"/>
    <mergeCell ref="H21:J21"/>
    <mergeCell ref="H22:J22"/>
    <mergeCell ref="G28:H28"/>
    <mergeCell ref="G29:H29"/>
    <mergeCell ref="G30:H30"/>
    <mergeCell ref="G37:H37"/>
    <mergeCell ref="G38:H38"/>
    <mergeCell ref="G31:H31"/>
    <mergeCell ref="G32:H32"/>
    <mergeCell ref="G33:H33"/>
    <mergeCell ref="G34:H34"/>
    <mergeCell ref="G35:H35"/>
    <mergeCell ref="G36:H36"/>
    <mergeCell ref="G72:G73"/>
    <mergeCell ref="H72:J73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7:H57"/>
    <mergeCell ref="G58:H58"/>
    <mergeCell ref="G56:H56"/>
    <mergeCell ref="G59:H59"/>
    <mergeCell ref="G60:H60"/>
    <mergeCell ref="G46:H46"/>
    <mergeCell ref="G39:H39"/>
    <mergeCell ref="G40:H40"/>
    <mergeCell ref="G43:H43"/>
    <mergeCell ref="G44:H44"/>
    <mergeCell ref="G45:H45"/>
    <mergeCell ref="G41:H41"/>
    <mergeCell ref="G42:H42"/>
  </mergeCells>
  <conditionalFormatting sqref="B4">
    <cfRule type="expression" dxfId="13" priority="22" stopIfTrue="1">
      <formula>$B$4=0</formula>
    </cfRule>
  </conditionalFormatting>
  <conditionalFormatting sqref="J3">
    <cfRule type="containsBlanks" dxfId="12" priority="3">
      <formula>LEN(TRIM(J3))=0</formula>
    </cfRule>
    <cfRule type="expression" dxfId="11" priority="21" stopIfTrue="1">
      <formula>$J$3=0</formula>
    </cfRule>
  </conditionalFormatting>
  <conditionalFormatting sqref="I62">
    <cfRule type="expression" dxfId="10" priority="20" stopIfTrue="1">
      <formula>$I$62=0</formula>
    </cfRule>
  </conditionalFormatting>
  <conditionalFormatting sqref="E10 B10">
    <cfRule type="expression" dxfId="9" priority="17" stopIfTrue="1">
      <formula>$B$10=0</formula>
    </cfRule>
  </conditionalFormatting>
  <conditionalFormatting sqref="E11 B11">
    <cfRule type="expression" dxfId="8" priority="16" stopIfTrue="1">
      <formula>$B$11=0</formula>
    </cfRule>
  </conditionalFormatting>
  <conditionalFormatting sqref="I9:J9">
    <cfRule type="expression" dxfId="7" priority="15" stopIfTrue="1">
      <formula>$I$9=0</formula>
    </cfRule>
  </conditionalFormatting>
  <conditionalFormatting sqref="D13:E13">
    <cfRule type="cellIs" priority="1" operator="equal">
      <formula>0</formula>
    </cfRule>
    <cfRule type="expression" dxfId="6" priority="14" stopIfTrue="1">
      <formula>$D$13=0</formula>
    </cfRule>
  </conditionalFormatting>
  <conditionalFormatting sqref="G10">
    <cfRule type="cellIs" dxfId="5" priority="13" stopIfTrue="1" operator="equal">
      <formula>0</formula>
    </cfRule>
  </conditionalFormatting>
  <conditionalFormatting sqref="O4">
    <cfRule type="cellIs" dxfId="4" priority="10" stopIfTrue="1" operator="notEqual">
      <formula>0</formula>
    </cfRule>
  </conditionalFormatting>
  <conditionalFormatting sqref="H20:J20">
    <cfRule type="cellIs" dxfId="3" priority="6" operator="equal">
      <formula>0</formula>
    </cfRule>
  </conditionalFormatting>
  <conditionalFormatting sqref="H21:J21">
    <cfRule type="containsBlanks" dxfId="2" priority="5">
      <formula>LEN(TRIM(H21))=0</formula>
    </cfRule>
  </conditionalFormatting>
  <conditionalFormatting sqref="H22:J22">
    <cfRule type="cellIs" dxfId="1" priority="4" operator="equal">
      <formula>0</formula>
    </cfRule>
  </conditionalFormatting>
  <conditionalFormatting sqref="D1:E2">
    <cfRule type="containsBlanks" dxfId="0" priority="2">
      <formula>LEN(TRIM(D1))=0</formula>
    </cfRule>
  </conditionalFormatting>
  <dataValidations count="5">
    <dataValidation type="list" allowBlank="1" showInputMessage="1" showErrorMessage="1" sqref="D1:E2">
      <formula1>$E$77:$E$81</formula1>
    </dataValidation>
    <dataValidation type="list" allowBlank="1" showInputMessage="1" showErrorMessage="1" sqref="I62">
      <formula1>$E$127:$E$136</formula1>
    </dataValidation>
    <dataValidation type="list" allowBlank="1" showInputMessage="1" showErrorMessage="1" sqref="G1:J2">
      <formula1>$E$99:$E$101</formula1>
    </dataValidation>
    <dataValidation type="list" allowBlank="1" showInputMessage="1" showErrorMessage="1" sqref="I8">
      <formula1>$E$77:$E$83</formula1>
    </dataValidation>
    <dataValidation type="list" allowBlank="1" showInputMessage="1" showErrorMessage="1" sqref="B4">
      <formula1>$E$92:$E$94</formula1>
    </dataValidation>
  </dataValidations>
  <hyperlinks>
    <hyperlink ref="H79" r:id="rId1"/>
    <hyperlink ref="H80" r:id="rId2"/>
    <hyperlink ref="H83" r:id="rId3"/>
    <hyperlink ref="H82" r:id="rId4"/>
    <hyperlink ref="H81" r:id="rId5"/>
  </hyperlinks>
  <pageMargins left="0.51181102362204722" right="0.51181102362204722" top="0.55118110236220474" bottom="0.55118110236220474" header="0.31496062992125984" footer="0.31496062992125984"/>
  <pageSetup scale="84" orientation="portrait" r:id="rId6"/>
  <rowBreaks count="1" manualBreakCount="1">
    <brk id="74" max="16383" man="1"/>
  </rowBreaks>
  <colBreaks count="1" manualBreakCount="1">
    <brk id="10" max="1048575" man="1"/>
  </colBreaks>
  <drawing r:id="rId7"/>
  <legacyDrawing r:id="rId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N65"/>
  <sheetViews>
    <sheetView workbookViewId="0">
      <selection activeCell="Q15" sqref="Q15"/>
    </sheetView>
  </sheetViews>
  <sheetFormatPr baseColWidth="10" defaultColWidth="9.28515625" defaultRowHeight="12.75" x14ac:dyDescent="0.2"/>
  <cols>
    <col min="1" max="1" width="4.42578125" customWidth="1"/>
    <col min="2" max="2" width="10.7109375" customWidth="1"/>
    <col min="3" max="3" width="16.28515625" customWidth="1"/>
    <col min="4" max="4" width="10.7109375" customWidth="1"/>
    <col min="5" max="5" width="13" customWidth="1"/>
    <col min="6" max="6" width="7.5703125" customWidth="1"/>
    <col min="7" max="7" width="3.42578125" customWidth="1"/>
    <col min="8" max="8" width="7.5703125" customWidth="1"/>
    <col min="9" max="9" width="8.5703125" customWidth="1"/>
    <col min="10" max="11" width="6.7109375" customWidth="1"/>
    <col min="12" max="12" width="11.28515625" customWidth="1"/>
    <col min="13" max="14" width="10.7109375" customWidth="1"/>
  </cols>
  <sheetData>
    <row r="1" spans="1:14" x14ac:dyDescent="0.2">
      <c r="A1" s="1134" t="s">
        <v>362</v>
      </c>
      <c r="B1" s="1134"/>
      <c r="C1" s="1134"/>
      <c r="D1" s="1134"/>
      <c r="E1" s="1134"/>
      <c r="F1" s="1134"/>
      <c r="G1" s="1134"/>
      <c r="H1" s="1134"/>
      <c r="I1" s="1134"/>
      <c r="J1" s="1134"/>
      <c r="K1" s="1134"/>
      <c r="L1" s="1134"/>
      <c r="M1" s="1134"/>
      <c r="N1" s="1135"/>
    </row>
    <row r="2" spans="1:14" x14ac:dyDescent="0.2">
      <c r="A2" s="1134" t="s">
        <v>361</v>
      </c>
      <c r="B2" s="1134"/>
      <c r="C2" s="1136"/>
      <c r="D2" s="1136"/>
      <c r="E2" s="1136"/>
      <c r="F2" s="1136"/>
      <c r="G2" s="1136"/>
      <c r="H2" s="1136"/>
      <c r="I2" s="1136"/>
      <c r="J2" s="1136"/>
      <c r="K2" s="1136"/>
      <c r="L2" s="1136"/>
      <c r="M2" s="1136"/>
      <c r="N2" s="1137"/>
    </row>
    <row r="4" spans="1:14" x14ac:dyDescent="0.2">
      <c r="A4" s="1142" t="s">
        <v>338</v>
      </c>
      <c r="B4" s="1142"/>
      <c r="C4" s="1142"/>
      <c r="D4" s="1142"/>
      <c r="E4" s="1142"/>
      <c r="F4" s="1142"/>
      <c r="G4" s="1142"/>
      <c r="H4" s="1142"/>
      <c r="I4" s="1142"/>
      <c r="J4" s="1142"/>
      <c r="K4" s="1142"/>
      <c r="L4" s="1142"/>
      <c r="M4" s="1142"/>
      <c r="N4" s="1142"/>
    </row>
    <row r="5" spans="1:14" x14ac:dyDescent="0.2">
      <c r="A5" s="1142" t="s">
        <v>339</v>
      </c>
      <c r="B5" s="1142"/>
      <c r="C5" s="1142"/>
      <c r="D5" s="1142"/>
      <c r="E5" s="1142"/>
      <c r="F5" s="1142"/>
      <c r="G5" s="1142"/>
      <c r="H5" s="1142"/>
      <c r="I5" s="1142"/>
      <c r="J5" s="1142"/>
      <c r="K5" s="1142"/>
      <c r="L5" s="1142"/>
      <c r="M5" s="1142"/>
      <c r="N5" s="1142"/>
    </row>
    <row r="6" spans="1:14" x14ac:dyDescent="0.2">
      <c r="A6" s="1143" t="s">
        <v>337</v>
      </c>
      <c r="B6" s="1143"/>
      <c r="C6" s="1143"/>
      <c r="D6" s="1143"/>
      <c r="E6" s="1143"/>
      <c r="F6" s="1143"/>
      <c r="G6" s="1143"/>
      <c r="H6" s="1143"/>
      <c r="I6" s="1143"/>
      <c r="J6" s="1143"/>
      <c r="K6" s="1143"/>
      <c r="L6" s="1143"/>
      <c r="M6" s="1143"/>
      <c r="N6" s="1143"/>
    </row>
    <row r="7" spans="1:14" x14ac:dyDescent="0.2">
      <c r="A7" s="111" t="s">
        <v>324</v>
      </c>
      <c r="B7" s="111"/>
      <c r="C7" s="111"/>
      <c r="D7" s="111"/>
      <c r="E7" s="111"/>
      <c r="F7" s="138"/>
      <c r="G7" s="112" t="s">
        <v>322</v>
      </c>
      <c r="H7" s="112"/>
      <c r="I7" s="112"/>
      <c r="J7" s="112"/>
      <c r="K7" s="111"/>
      <c r="L7" s="111"/>
      <c r="M7" s="111"/>
      <c r="N7" s="111"/>
    </row>
    <row r="8" spans="1:14" x14ac:dyDescent="0.2">
      <c r="B8" s="145">
        <f>'Commercial Invoice'!B4</f>
        <v>0</v>
      </c>
      <c r="F8" s="115"/>
    </row>
    <row r="9" spans="1:14" x14ac:dyDescent="0.2">
      <c r="B9" t="e">
        <f>'Commercial Invoice'!B5</f>
        <v>#N/A</v>
      </c>
      <c r="F9" s="140"/>
      <c r="G9" s="113" t="s">
        <v>325</v>
      </c>
      <c r="H9" s="113"/>
      <c r="I9" s="113"/>
      <c r="J9" s="113"/>
      <c r="K9" s="111"/>
      <c r="L9" s="111"/>
      <c r="M9" s="111"/>
      <c r="N9" s="111"/>
    </row>
    <row r="10" spans="1:14" x14ac:dyDescent="0.2">
      <c r="B10" t="e">
        <f>'Commercial Invoice'!B6</f>
        <v>#N/A</v>
      </c>
      <c r="F10" s="115"/>
      <c r="H10" s="146" t="s">
        <v>368</v>
      </c>
      <c r="I10" s="145"/>
      <c r="J10" s="144"/>
    </row>
    <row r="11" spans="1:14" x14ac:dyDescent="0.2">
      <c r="F11" s="140"/>
      <c r="G11" s="113" t="s">
        <v>326</v>
      </c>
      <c r="H11" s="113"/>
      <c r="I11" s="113"/>
      <c r="J11" s="113"/>
      <c r="K11" s="111"/>
      <c r="L11" s="111"/>
      <c r="M11" s="111"/>
      <c r="N11" s="111"/>
    </row>
    <row r="12" spans="1:14" x14ac:dyDescent="0.2">
      <c r="A12" t="s">
        <v>320</v>
      </c>
      <c r="F12" s="115"/>
      <c r="H12" s="147" t="s">
        <v>369</v>
      </c>
      <c r="I12" s="145"/>
      <c r="J12" s="144"/>
    </row>
    <row r="13" spans="1:14" x14ac:dyDescent="0.2">
      <c r="A13" s="111" t="s">
        <v>323</v>
      </c>
      <c r="B13" s="111"/>
      <c r="C13" s="111"/>
      <c r="D13" s="111"/>
      <c r="E13" s="111"/>
      <c r="F13" s="114"/>
      <c r="G13" s="112" t="s">
        <v>321</v>
      </c>
      <c r="H13" s="111"/>
      <c r="I13" s="111"/>
      <c r="J13" s="111"/>
      <c r="K13" s="111"/>
      <c r="L13" s="111"/>
      <c r="M13" s="111"/>
      <c r="N13" s="111"/>
    </row>
    <row r="14" spans="1:14" x14ac:dyDescent="0.2">
      <c r="F14" s="115"/>
      <c r="H14" s="145">
        <f>'Commercial Invoice'!B10</f>
        <v>0</v>
      </c>
    </row>
    <row r="15" spans="1:14" ht="15" x14ac:dyDescent="0.3">
      <c r="B15" s="148" t="s">
        <v>370</v>
      </c>
      <c r="F15" s="115"/>
      <c r="H15">
        <f>'Commercial Invoice'!B11</f>
        <v>0</v>
      </c>
    </row>
    <row r="16" spans="1:14" x14ac:dyDescent="0.2">
      <c r="F16" s="115"/>
    </row>
    <row r="17" spans="1:14" x14ac:dyDescent="0.2">
      <c r="F17" s="115"/>
    </row>
    <row r="18" spans="1:14" x14ac:dyDescent="0.2">
      <c r="A18" s="116" t="s">
        <v>320</v>
      </c>
      <c r="B18" s="116"/>
      <c r="C18" s="116"/>
      <c r="D18" s="116"/>
      <c r="E18" s="116"/>
      <c r="F18" s="139"/>
      <c r="G18" s="118" t="s">
        <v>320</v>
      </c>
      <c r="H18" s="118"/>
      <c r="I18" s="118"/>
      <c r="J18" s="118"/>
      <c r="K18" s="116"/>
      <c r="L18" s="154">
        <f>'Commercial Invoice'!D13</f>
        <v>0</v>
      </c>
      <c r="M18" s="116"/>
      <c r="N18" s="116"/>
    </row>
    <row r="19" spans="1:14" x14ac:dyDescent="0.2">
      <c r="A19" s="1138"/>
      <c r="B19" s="1138"/>
      <c r="C19" s="1138"/>
      <c r="D19" s="1138"/>
      <c r="E19" s="1138"/>
      <c r="F19" s="1138"/>
      <c r="G19" s="111"/>
      <c r="H19" s="1128" t="s">
        <v>356</v>
      </c>
      <c r="I19" s="1129"/>
      <c r="J19" s="1128" t="s">
        <v>357</v>
      </c>
      <c r="K19" s="1129"/>
      <c r="L19" s="1139" t="s">
        <v>358</v>
      </c>
      <c r="M19" s="1139" t="s">
        <v>359</v>
      </c>
      <c r="N19" s="1128" t="s">
        <v>360</v>
      </c>
    </row>
    <row r="20" spans="1:14" x14ac:dyDescent="0.2">
      <c r="A20" s="1125" t="s">
        <v>341</v>
      </c>
      <c r="B20" s="1125"/>
      <c r="C20" s="1126"/>
      <c r="D20" s="1126"/>
      <c r="E20" s="1126"/>
      <c r="F20" s="1126"/>
      <c r="G20" s="119"/>
      <c r="H20" s="1130"/>
      <c r="I20" s="1131"/>
      <c r="J20" s="1130"/>
      <c r="K20" s="1131"/>
      <c r="L20" s="1140"/>
      <c r="M20" s="1140"/>
      <c r="N20" s="1130"/>
    </row>
    <row r="21" spans="1:14" x14ac:dyDescent="0.2">
      <c r="A21" s="1125" t="s">
        <v>340</v>
      </c>
      <c r="B21" s="1125"/>
      <c r="C21" s="1126"/>
      <c r="D21" s="1126"/>
      <c r="E21" s="1126"/>
      <c r="F21" s="1126"/>
      <c r="G21" s="119"/>
      <c r="H21" s="1130"/>
      <c r="I21" s="1131"/>
      <c r="J21" s="1130"/>
      <c r="K21" s="1131"/>
      <c r="L21" s="1140"/>
      <c r="M21" s="1140"/>
      <c r="N21" s="1130"/>
    </row>
    <row r="22" spans="1:14" x14ac:dyDescent="0.2">
      <c r="A22" s="1127"/>
      <c r="B22" s="1127"/>
      <c r="C22" s="1127"/>
      <c r="D22" s="1127"/>
      <c r="E22" s="1127"/>
      <c r="F22" s="1127"/>
      <c r="G22" s="116"/>
      <c r="H22" s="1132"/>
      <c r="I22" s="1133"/>
      <c r="J22" s="1132"/>
      <c r="K22" s="1133"/>
      <c r="L22" s="1141"/>
      <c r="M22" s="1141"/>
      <c r="N22" s="1132"/>
    </row>
    <row r="23" spans="1:14" x14ac:dyDescent="0.2">
      <c r="H23" s="135"/>
      <c r="I23" s="114"/>
      <c r="K23" s="114"/>
      <c r="L23" s="124"/>
      <c r="M23" s="124"/>
    </row>
    <row r="24" spans="1:14" x14ac:dyDescent="0.2">
      <c r="A24" s="144"/>
      <c r="B24" s="144"/>
      <c r="C24" s="144"/>
      <c r="D24" s="144"/>
      <c r="E24" s="144"/>
      <c r="F24" s="144"/>
      <c r="G24" s="144"/>
      <c r="H24" s="150"/>
      <c r="I24" s="151"/>
      <c r="J24" s="110" t="s">
        <v>371</v>
      </c>
      <c r="K24" s="115"/>
      <c r="L24" s="130" t="s">
        <v>372</v>
      </c>
      <c r="M24" s="130" t="s">
        <v>373</v>
      </c>
      <c r="N24" s="149" t="s">
        <v>374</v>
      </c>
    </row>
    <row r="25" spans="1:14" x14ac:dyDescent="0.2">
      <c r="H25" s="136"/>
      <c r="I25" s="115"/>
      <c r="K25" s="115"/>
      <c r="L25" s="127"/>
      <c r="M25" s="127"/>
    </row>
    <row r="26" spans="1:14" x14ac:dyDescent="0.2">
      <c r="H26" s="136"/>
      <c r="I26" s="115"/>
      <c r="K26" s="115"/>
      <c r="L26" s="127"/>
      <c r="M26" s="127"/>
    </row>
    <row r="27" spans="1:14" x14ac:dyDescent="0.2">
      <c r="H27" s="136"/>
      <c r="I27" s="115"/>
      <c r="K27" s="115"/>
      <c r="L27" s="127"/>
      <c r="M27" s="127"/>
    </row>
    <row r="28" spans="1:14" x14ac:dyDescent="0.2">
      <c r="H28" s="136"/>
      <c r="I28" s="115"/>
      <c r="K28" s="115"/>
      <c r="L28" s="127"/>
      <c r="M28" s="127"/>
    </row>
    <row r="29" spans="1:14" x14ac:dyDescent="0.2">
      <c r="H29" s="136"/>
      <c r="I29" s="115"/>
      <c r="K29" s="115"/>
      <c r="L29" s="127"/>
      <c r="M29" s="127"/>
    </row>
    <row r="30" spans="1:14" x14ac:dyDescent="0.2">
      <c r="H30" s="136"/>
      <c r="I30" s="115"/>
      <c r="K30" s="115"/>
      <c r="L30" s="127"/>
      <c r="M30" s="127"/>
    </row>
    <row r="31" spans="1:14" x14ac:dyDescent="0.2">
      <c r="H31" s="136"/>
      <c r="I31" s="115"/>
      <c r="K31" s="115"/>
      <c r="L31" s="127"/>
      <c r="M31" s="127"/>
    </row>
    <row r="32" spans="1:14" x14ac:dyDescent="0.2">
      <c r="H32" s="136"/>
      <c r="I32" s="115"/>
      <c r="K32" s="115"/>
      <c r="L32" s="127"/>
      <c r="M32" s="127"/>
    </row>
    <row r="33" spans="1:14" x14ac:dyDescent="0.2">
      <c r="H33" s="136"/>
      <c r="I33" s="115"/>
      <c r="K33" s="115"/>
      <c r="L33" s="127"/>
      <c r="M33" s="127"/>
    </row>
    <row r="34" spans="1:14" x14ac:dyDescent="0.2">
      <c r="H34" s="136"/>
      <c r="I34" s="115"/>
      <c r="K34" s="115"/>
      <c r="L34" s="127"/>
      <c r="M34" s="127"/>
    </row>
    <row r="35" spans="1:14" x14ac:dyDescent="0.2">
      <c r="H35" s="136"/>
      <c r="I35" s="115"/>
      <c r="K35" s="115"/>
      <c r="L35" s="127"/>
      <c r="M35" s="127"/>
    </row>
    <row r="36" spans="1:14" x14ac:dyDescent="0.2">
      <c r="H36" s="136"/>
      <c r="I36" s="115"/>
      <c r="K36" s="115"/>
      <c r="L36" s="127"/>
      <c r="M36" s="127"/>
    </row>
    <row r="37" spans="1:14" x14ac:dyDescent="0.2">
      <c r="H37" s="136"/>
      <c r="I37" s="115"/>
      <c r="K37" s="115"/>
      <c r="L37" s="127"/>
      <c r="M37" s="127"/>
    </row>
    <row r="38" spans="1:14" x14ac:dyDescent="0.2">
      <c r="H38" s="136"/>
      <c r="I38" s="115"/>
      <c r="K38" s="115"/>
      <c r="L38" s="127"/>
      <c r="M38" s="127"/>
    </row>
    <row r="39" spans="1:14" x14ac:dyDescent="0.2">
      <c r="H39" s="136"/>
      <c r="I39" s="115"/>
      <c r="K39" s="115"/>
      <c r="L39" s="127"/>
      <c r="M39" s="127"/>
    </row>
    <row r="40" spans="1:14" x14ac:dyDescent="0.2">
      <c r="H40" s="136"/>
      <c r="I40" s="115"/>
      <c r="K40" s="115"/>
      <c r="L40" s="127"/>
      <c r="M40" s="127"/>
    </row>
    <row r="41" spans="1:14" x14ac:dyDescent="0.2">
      <c r="H41" s="136"/>
      <c r="I41" s="115"/>
      <c r="K41" s="115"/>
      <c r="L41" s="127"/>
      <c r="M41" s="127"/>
    </row>
    <row r="42" spans="1:14" x14ac:dyDescent="0.2">
      <c r="H42" s="136"/>
      <c r="I42" s="115"/>
      <c r="K42" s="115"/>
      <c r="L42" s="127"/>
      <c r="M42" s="127"/>
    </row>
    <row r="43" spans="1:14" x14ac:dyDescent="0.2">
      <c r="H43" s="136"/>
      <c r="I43" s="115"/>
      <c r="K43" s="115"/>
      <c r="L43" s="127"/>
      <c r="M43" s="127"/>
    </row>
    <row r="44" spans="1:14" x14ac:dyDescent="0.2">
      <c r="A44" s="116"/>
      <c r="B44" s="116"/>
      <c r="C44" s="116"/>
      <c r="D44" s="116"/>
      <c r="E44" s="116"/>
      <c r="F44" s="116"/>
      <c r="G44" s="116"/>
      <c r="H44" s="123"/>
      <c r="I44" s="117"/>
      <c r="J44" s="116"/>
      <c r="K44" s="117"/>
      <c r="L44" s="128"/>
      <c r="M44" s="128"/>
      <c r="N44" s="116"/>
    </row>
    <row r="45" spans="1:14" x14ac:dyDescent="0.2">
      <c r="A45" t="s">
        <v>342</v>
      </c>
    </row>
    <row r="46" spans="1:14" x14ac:dyDescent="0.2">
      <c r="A46" t="s">
        <v>343</v>
      </c>
    </row>
    <row r="47" spans="1:14" x14ac:dyDescent="0.2">
      <c r="A47" t="s">
        <v>344</v>
      </c>
    </row>
    <row r="48" spans="1:14" x14ac:dyDescent="0.2">
      <c r="A48" t="s">
        <v>345</v>
      </c>
    </row>
    <row r="49" spans="1:14" x14ac:dyDescent="0.2">
      <c r="A49" t="s">
        <v>346</v>
      </c>
    </row>
    <row r="50" spans="1:14" x14ac:dyDescent="0.2">
      <c r="A50" t="s">
        <v>347</v>
      </c>
    </row>
    <row r="51" spans="1:14" x14ac:dyDescent="0.2">
      <c r="A51" t="s">
        <v>348</v>
      </c>
    </row>
    <row r="52" spans="1:14" x14ac:dyDescent="0.2">
      <c r="A52" t="s">
        <v>349</v>
      </c>
    </row>
    <row r="53" spans="1:14" x14ac:dyDescent="0.2">
      <c r="A53" t="s">
        <v>350</v>
      </c>
    </row>
    <row r="54" spans="1:14" x14ac:dyDescent="0.2">
      <c r="A54" t="s">
        <v>351</v>
      </c>
    </row>
    <row r="55" spans="1:14" x14ac:dyDescent="0.2">
      <c r="A55" t="s">
        <v>352</v>
      </c>
    </row>
    <row r="56" spans="1:14" x14ac:dyDescent="0.2">
      <c r="A56" t="s">
        <v>335</v>
      </c>
      <c r="D56" s="142">
        <v>1</v>
      </c>
      <c r="E56" t="s">
        <v>334</v>
      </c>
    </row>
    <row r="57" spans="1:14" ht="4.9000000000000004" customHeight="1" x14ac:dyDescent="0.2">
      <c r="D57" s="111"/>
    </row>
    <row r="58" spans="1:14" x14ac:dyDescent="0.2">
      <c r="A58" s="114"/>
      <c r="B58" s="125" t="s">
        <v>329</v>
      </c>
      <c r="C58" s="111"/>
      <c r="D58" s="111"/>
      <c r="E58" s="111"/>
      <c r="F58" s="114"/>
      <c r="G58" s="112" t="s">
        <v>328</v>
      </c>
      <c r="H58" s="112"/>
      <c r="I58" s="111"/>
      <c r="J58" s="111"/>
      <c r="K58" s="111"/>
      <c r="L58" s="111"/>
      <c r="M58" s="111"/>
      <c r="N58" s="111"/>
    </row>
    <row r="59" spans="1:14" x14ac:dyDescent="0.2">
      <c r="A59" s="115"/>
      <c r="B59" s="123"/>
      <c r="C59" s="116"/>
      <c r="D59" s="116"/>
      <c r="E59" s="116"/>
      <c r="F59" s="117"/>
      <c r="G59" s="141" t="s">
        <v>365</v>
      </c>
      <c r="H59" s="116"/>
      <c r="I59" s="116"/>
      <c r="J59" s="116"/>
      <c r="K59" s="116"/>
      <c r="L59" s="116"/>
      <c r="M59" s="116"/>
      <c r="N59" s="116"/>
    </row>
    <row r="60" spans="1:14" x14ac:dyDescent="0.2">
      <c r="A60" s="115"/>
      <c r="B60" s="126" t="s">
        <v>330</v>
      </c>
      <c r="F60" s="115"/>
      <c r="G60" s="120" t="s">
        <v>327</v>
      </c>
      <c r="H60" s="120"/>
    </row>
    <row r="61" spans="1:14" x14ac:dyDescent="0.2">
      <c r="A61" s="122" t="s">
        <v>319</v>
      </c>
      <c r="B61" s="143" t="s">
        <v>366</v>
      </c>
      <c r="C61" s="116"/>
      <c r="D61" s="116"/>
      <c r="E61" s="116"/>
      <c r="F61" s="117"/>
      <c r="G61" s="141" t="s">
        <v>367</v>
      </c>
      <c r="H61" s="116"/>
      <c r="I61" s="116"/>
      <c r="J61" s="116"/>
      <c r="K61" s="116"/>
      <c r="L61" s="116"/>
      <c r="M61" s="116"/>
      <c r="N61" s="116"/>
    </row>
    <row r="62" spans="1:14" x14ac:dyDescent="0.2">
      <c r="A62" s="115"/>
      <c r="B62" s="126" t="s">
        <v>336</v>
      </c>
      <c r="E62" s="131" t="s">
        <v>355</v>
      </c>
      <c r="F62" s="121"/>
      <c r="G62" s="137" t="s">
        <v>331</v>
      </c>
      <c r="H62" s="137"/>
      <c r="K62" s="114"/>
      <c r="L62" s="137" t="s">
        <v>332</v>
      </c>
    </row>
    <row r="63" spans="1:14" ht="12.6" customHeight="1" x14ac:dyDescent="0.2">
      <c r="A63" s="115"/>
      <c r="B63" s="153"/>
      <c r="E63" s="132" t="s">
        <v>353</v>
      </c>
      <c r="F63" s="1123" t="s">
        <v>3</v>
      </c>
      <c r="G63" s="129"/>
      <c r="K63" s="115"/>
    </row>
    <row r="64" spans="1:14" x14ac:dyDescent="0.2">
      <c r="A64" s="117"/>
      <c r="B64" s="152"/>
      <c r="C64" s="116"/>
      <c r="D64" s="116"/>
      <c r="E64" s="133" t="s">
        <v>354</v>
      </c>
      <c r="F64" s="1124"/>
      <c r="G64" s="141" t="s">
        <v>363</v>
      </c>
      <c r="H64" s="116"/>
      <c r="I64" s="116"/>
      <c r="J64" s="116"/>
      <c r="K64" s="117"/>
      <c r="L64" s="141" t="s">
        <v>364</v>
      </c>
      <c r="M64" s="116"/>
      <c r="N64" s="116"/>
    </row>
    <row r="65" spans="14:14" x14ac:dyDescent="0.2">
      <c r="N65" s="134" t="s">
        <v>333</v>
      </c>
    </row>
  </sheetData>
  <mergeCells count="15">
    <mergeCell ref="A1:N1"/>
    <mergeCell ref="A2:N2"/>
    <mergeCell ref="A19:F19"/>
    <mergeCell ref="M19:M22"/>
    <mergeCell ref="N19:N22"/>
    <mergeCell ref="J19:K22"/>
    <mergeCell ref="L19:L22"/>
    <mergeCell ref="A4:N4"/>
    <mergeCell ref="A5:N5"/>
    <mergeCell ref="A6:N6"/>
    <mergeCell ref="F63:F64"/>
    <mergeCell ref="A20:F20"/>
    <mergeCell ref="A21:F21"/>
    <mergeCell ref="A22:F22"/>
    <mergeCell ref="H19:I22"/>
  </mergeCells>
  <printOptions horizontalCentered="1" verticalCentered="1"/>
  <pageMargins left="0" right="0" top="0" bottom="0" header="0" footer="0"/>
  <pageSetup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3</vt:i4>
      </vt:variant>
    </vt:vector>
  </HeadingPairs>
  <TitlesOfParts>
    <vt:vector size="8" baseType="lpstr">
      <vt:lpstr>Order form</vt:lpstr>
      <vt:lpstr>Quotation</vt:lpstr>
      <vt:lpstr>Resume</vt:lpstr>
      <vt:lpstr>Commercial Invoice</vt:lpstr>
      <vt:lpstr>Nafta</vt:lpstr>
      <vt:lpstr>'Commercial Invoice'!Zone_d_impression</vt:lpstr>
      <vt:lpstr>'Order form'!Zone_d_impression</vt:lpstr>
      <vt:lpstr>Resume!Zone_d_impression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Julien</dc:creator>
  <cp:lastModifiedBy>Marie-Soleil Milton</cp:lastModifiedBy>
  <cp:lastPrinted>2020-02-06T15:46:39Z</cp:lastPrinted>
  <dcterms:created xsi:type="dcterms:W3CDTF">2009-08-12T21:40:25Z</dcterms:created>
  <dcterms:modified xsi:type="dcterms:W3CDTF">2020-02-17T21:18:39Z</dcterms:modified>
</cp:coreProperties>
</file>