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codeName="ThisWorkbook"/>
  <mc:AlternateContent xmlns:mc="http://schemas.openxmlformats.org/markup-compatibility/2006">
    <mc:Choice Requires="x15">
      <x15ac:absPath xmlns:x15ac="http://schemas.microsoft.com/office/spreadsheetml/2010/11/ac" url="/Users/ptownsend/Downloads/"/>
    </mc:Choice>
  </mc:AlternateContent>
  <xr:revisionPtr revIDLastSave="0" documentId="8_{7A92C95B-5317-9542-8935-55D4A0B343D8}" xr6:coauthVersionLast="36" xr6:coauthVersionMax="36" xr10:uidLastSave="{00000000-0000-0000-0000-000000000000}"/>
  <workbookProtection workbookAlgorithmName="SHA-512" workbookHashValue="i09YlqzAiePbp1xOur7iP+mTfHv9o6ml5Kr5x8v8QOM9rbg5zL2vzDQmbjFdmkFOm9hWuBoMuq9y6V9Ne9YxjQ==" workbookSaltValue="NDl98EXAt6YrAf9BnnXfJw==" workbookSpinCount="100000" lockStructure="1"/>
  <bookViews>
    <workbookView xWindow="0" yWindow="460" windowWidth="15600" windowHeight="11240" tabRatio="729" activeTab="1" xr2:uid="{00000000-000D-0000-FFFF-FFFF00000000}"/>
  </bookViews>
  <sheets>
    <sheet name="Cover" sheetId="4" r:id="rId1"/>
    <sheet name="Primary Input" sheetId="5" r:id="rId2"/>
    <sheet name="Eligibility" sheetId="26" r:id="rId3"/>
    <sheet name="Types of Housing" sheetId="21" r:id="rId4"/>
    <sheet name="Development Team" sheetId="23" r:id="rId5"/>
    <sheet name="Financial Considerations" sheetId="24" r:id="rId6"/>
    <sheet name="Rental Income" sheetId="7" r:id="rId7"/>
    <sheet name="Utility Allowance" sheetId="46" r:id="rId8"/>
    <sheet name="Match Leverage" sheetId="37" r:id="rId9"/>
    <sheet name="Rehab or New Construction" sheetId="41" r:id="rId10"/>
    <sheet name="Loan Information" sheetId="11" r:id="rId11"/>
    <sheet name="Amortization" sheetId="48" state="hidden" r:id="rId12"/>
    <sheet name="Sources and Uses" sheetId="10" r:id="rId13"/>
    <sheet name="Pro Forma Calculation" sheetId="13" r:id="rId14"/>
    <sheet name="Pro Forma" sheetId="45" r:id="rId15"/>
    <sheet name="Properties" sheetId="47" r:id="rId16"/>
    <sheet name="Project Schedule" sheetId="40" r:id="rId17"/>
    <sheet name="Competitive Scorig" sheetId="36" state="hidden" r:id="rId18"/>
    <sheet name="Completed Projects" sheetId="35" r:id="rId19"/>
    <sheet name="Certification" sheetId="42" r:id="rId20"/>
    <sheet name="Checklist &amp; Application Order" sheetId="30" r:id="rId21"/>
    <sheet name="Lists" sheetId="49" state="hidden" r:id="rId22"/>
    <sheet name="SLR" sheetId="38" state="hidden" r:id="rId23"/>
    <sheet name="2018 Rents" sheetId="43" state="hidden" r:id="rId24"/>
  </sheets>
  <externalReferences>
    <externalReference r:id="rId25"/>
    <externalReference r:id="rId26"/>
    <externalReference r:id="rId27"/>
    <externalReference r:id="rId28"/>
    <externalReference r:id="rId29"/>
    <externalReference r:id="rId30"/>
    <externalReference r:id="rId31"/>
  </externalReferences>
  <definedNames>
    <definedName name="_total">[1]Subsidy!$AK$48</definedName>
    <definedName name="acq_cost_other_1">'[1]Sources &amp; Uses'!$F$89</definedName>
    <definedName name="acq_cost_other_2">'[1]Sources &amp; Uses'!$F$90</definedName>
    <definedName name="acq_inbasis">'[1]Sources &amp; Uses'!$H$93</definedName>
    <definedName name="acq_total">'[1]Sources &amp; Uses'!$F$93</definedName>
    <definedName name="Application_and_Tax_Credit_Fees">'[1]Sources &amp; Uses'!$F$112</definedName>
    <definedName name="Architects_Fee_Design">'[1]Sources &amp; Uses'!$F$99</definedName>
    <definedName name="Architects_Fee_Supervisory">'[1]Sources &amp; Uses'!$F$100</definedName>
    <definedName name="bld_type_3">[1]General!$I$131</definedName>
    <definedName name="Bldg">[2]StartInput!$AC$126:$AC$128</definedName>
    <definedName name="Bond_Premium">'[1]Sources &amp; Uses'!$F$71</definedName>
    <definedName name="builder_profit_limit">'[1]Sources &amp; Uses'!$H$69</definedName>
    <definedName name="Builders_Profit">'[1]Sources &amp; Uses'!$F$69</definedName>
    <definedName name="building_acces_area">[3]General!$I$214</definedName>
    <definedName name="building_resid_area">[3]General!$I$212</definedName>
    <definedName name="capyrs">'[4]DS&amp;LoanSizing'!$AF$81:$AF$120</definedName>
    <definedName name="CDBG_grant_total">[1]Subsidy!$C$48</definedName>
    <definedName name="CDBG_hard_total">[1]Subsidy!$W$48</definedName>
    <definedName name="CDBG_soft_total">[1]Subsidy!$L$48</definedName>
    <definedName name="Consultant_Fees">'[1]Sources &amp; Uses'!$F$116</definedName>
    <definedName name="Contingency_Fee">'[1]Sources &amp; Uses'!$F$114</definedName>
    <definedName name="Contrib_Total">'[1]Sources &amp; Uses'!$F$228</definedName>
    <definedName name="Cost_Certification_Audit_Fee">'[1]Sources &amp; Uses'!$F$111</definedName>
    <definedName name="cost_land">'[1]Sources &amp; Uses'!$F$87</definedName>
    <definedName name="Cr_Enh_Other_total">[1]Subsidy!$AN$48</definedName>
    <definedName name="credit_enhancement_subtotal">[1]Subsidy!$AN$49</definedName>
    <definedName name="Deferred_Dev_Fee_Total">'[1]Sources &amp; Uses'!$F$234</definedName>
    <definedName name="dev_fee_limit">'[1]Sources &amp; Uses'!$H$115</definedName>
    <definedName name="dev_syndcost_total">'[1]Sources &amp; Uses'!$F$139</definedName>
    <definedName name="dev_syndcost1_val">'[1]Sources &amp; Uses'!$F$135</definedName>
    <definedName name="Developer_Fee">'[1]Sources &amp; Uses'!$F$115</definedName>
    <definedName name="Econ">[2]StartInput!$X$31:$X$33</definedName>
    <definedName name="Examination_Fee">'[1]Sources &amp; Uses'!$F$105</definedName>
    <definedName name="Extraordinary_Reserve">'[1]Sources &amp; Uses'!$F$144</definedName>
    <definedName name="Fees_Other_total">'[1]Sources &amp; Uses'!$F$117</definedName>
    <definedName name="FHAtype">[2]StartInput!$X$12:$X$20</definedName>
    <definedName name="Financing_Fee">'[1]Sources &amp; Uses'!$F$107</definedName>
    <definedName name="FinMthd">'[4]DS&amp;LoanSizing'!$AE$81:$AE$84</definedName>
    <definedName name="footer">'[1]Print Out'!$AA$255</definedName>
    <definedName name="General_Overhead">'[1]Sources &amp; Uses'!$F$68</definedName>
    <definedName name="general_overhead_limit">'[1]Sources &amp; Uses'!$H$68</definedName>
    <definedName name="General_Requirements">'[1]Sources &amp; Uses'!$F$53</definedName>
    <definedName name="genreq_limit">'[1]Sources &amp; Uses'!$H$53</definedName>
    <definedName name="govt_grant_subtotal">[1]Subsidy!$I$49</definedName>
    <definedName name="govt_hard_subtotal">[1]Subsidy!$AE$49</definedName>
    <definedName name="govt_soft_subtotal">[1]Subsidy!$T$49</definedName>
    <definedName name="Gross_Equity">'[1]Sources &amp; Uses'!$F$237</definedName>
    <definedName name="hard_total">'[1]Sources &amp; Uses'!$F$81</definedName>
    <definedName name="historic_tax_credits_total">[1]Subsidy!$AH$48</definedName>
    <definedName name="historic_tot">'[1]Sources &amp; Uses'!$F$218</definedName>
    <definedName name="HOME_grant_total">[1]Subsidy!$E$48</definedName>
    <definedName name="HOME_hard_total">[1]Subsidy!$Y$48</definedName>
    <definedName name="HOME_soft_total">[1]Subsidy!$N$48</definedName>
    <definedName name="HOPEVI_grant_total">[1]Subsidy!$H$48</definedName>
    <definedName name="HOPEVI_hard_total">[1]Subsidy!$AC$48</definedName>
    <definedName name="HOPEVI_soft_total">[1]Subsidy!$R$48</definedName>
    <definedName name="hud_other_total">[1]Subsidy!$AT$48</definedName>
    <definedName name="Initial_Operating_Deficit_Reserve">'[1]Sources &amp; Uses'!$F$142</definedName>
    <definedName name="Inspection_Fee">'[1]Sources &amp; Uses'!$F$106</definedName>
    <definedName name="Insurance">'[1]Sources &amp; Uses'!$F$103</definedName>
    <definedName name="Interest_on_Construction_Loan">'[1]Sources &amp; Uses'!$F$101</definedName>
    <definedName name="intermediary_cost">'[1]TDC Limits'!$C$68</definedName>
    <definedName name="IOI">[2]StartInput!$X$21:$X$22</definedName>
    <definedName name="land_donation_total">[1]Subsidy!$AI$48</definedName>
    <definedName name="Legal">'[1]Sources &amp; Uses'!$F$109</definedName>
    <definedName name="Letter_of_Credit_total">[1]Subsidy!$AM$48</definedName>
    <definedName name="LIHTC_Total">'[1]Sources &amp; Uses'!$F$239</definedName>
    <definedName name="list_parishes">[5]Lists!$B$19:$B$83</definedName>
    <definedName name="Local_grant_total">[1]Subsidy!$G$48</definedName>
    <definedName name="Local_hard_total">[1]Subsidy!$AA$48</definedName>
    <definedName name="Local_soft_total">[1]Subsidy!$P$48</definedName>
    <definedName name="max_request">[1]General!$H$27</definedName>
    <definedName name="Miscellaneous">'[1]Sources &amp; Uses'!$F$70</definedName>
    <definedName name="mod_rehab_total">[1]Subsidy!$AS$48</definedName>
    <definedName name="Mortgage_Insurance_Premium">'[1]Sources &amp; Uses'!$F$104</definedName>
    <definedName name="Mtg1_Ann_DS">'[1]Sources &amp; Uses'!$F$181</definedName>
    <definedName name="Mtg1_Curr_Prin">'[1]Sources &amp; Uses'!$F$178</definedName>
    <definedName name="Mtg1_Int_Rate">'[1]Sources &amp; Uses'!$F$180</definedName>
    <definedName name="Mtg1_Lender_Name">'[1]Sources &amp; Uses'!$F$176</definedName>
    <definedName name="Mtg1_Term">'[1]Sources &amp; Uses'!$F$179</definedName>
    <definedName name="Mtg2_Ann_DS">'[1]Sources &amp; Uses'!$F$189</definedName>
    <definedName name="Mtg2_Curr_Prin">'[1]Sources &amp; Uses'!$F$186</definedName>
    <definedName name="Mtg2_Int_Rate">'[1]Sources &amp; Uses'!$F$188</definedName>
    <definedName name="Mtg2_Lender_Name">'[1]Sources &amp; Uses'!$F$184</definedName>
    <definedName name="Mtg2_Term">'[1]Sources &amp; Uses'!$F$187</definedName>
    <definedName name="Note1_Ann_DS">'[1]Sources &amp; Uses'!$F$200</definedName>
    <definedName name="Note1_Curr_Prin">'[1]Sources &amp; Uses'!$F$197</definedName>
    <definedName name="Note1_Int_Rate">'[1]Sources &amp; Uses'!$F$199</definedName>
    <definedName name="Note1_Lender_Name">'[1]Sources &amp; Uses'!$F$195</definedName>
    <definedName name="Note1_Term">'[1]Sources &amp; Uses'!$F$198</definedName>
    <definedName name="Note2_Ann_DS">'[1]Sources &amp; Uses'!$F$208</definedName>
    <definedName name="Note2_Curr_Prin">'[1]Sources &amp; Uses'!$F$205</definedName>
    <definedName name="Note2_Int_Rate">'[1]Sources &amp; Uses'!$F$207</definedName>
    <definedName name="Note2_Lender_Name">'[1]Sources &amp; Uses'!$F$203</definedName>
    <definedName name="Note2_Term">'[1]Sources &amp; Uses'!$F$206</definedName>
    <definedName name="OLE_LINK1" localSheetId="17">'Competitive Scorig'!$B$6</definedName>
    <definedName name="operating_assistance_subtotal">[1]Subsidy!$AW$49</definedName>
    <definedName name="Ordinary_Reserve">'[1]Sources &amp; Uses'!$F$143</definedName>
    <definedName name="Organization">'[1]Sources &amp; Uses'!$F$110</definedName>
    <definedName name="Other_Fees_Paid_by_Contractor">'[1]Sources &amp; Uses'!$F$72</definedName>
    <definedName name="Other_grant_total">[1]Subsidy!$I$48</definedName>
    <definedName name="Other_hard_total">[1]Subsidy!$AD$48</definedName>
    <definedName name="other_project_total">[1]Subsidy!$AW$48</definedName>
    <definedName name="Other_soft_total">[1]Subsidy!$S$48</definedName>
    <definedName name="other_tenant_total">[1]Subsidy!$AR$48</definedName>
    <definedName name="parish">'Primary Input'!#REF!</definedName>
    <definedName name="pool_CHDO">[1]Criteria!$I$34</definedName>
    <definedName name="pool_Homeownership">[1]Criteria!$I$37</definedName>
    <definedName name="pool_PHA">[1]Criteria!$I$39</definedName>
    <definedName name="pool_Rural_Areas">[1]Criteria!$I$35</definedName>
    <definedName name="PrimType">[4]LoanInput!$AD$14:$AD$18</definedName>
    <definedName name="_xlnm.Print_Area" localSheetId="20">'Checklist &amp; Application Order'!$A$1:$N$55</definedName>
    <definedName name="_xlnm.Print_Area" localSheetId="17">'Competitive Scorig'!$A$1:$J$113</definedName>
    <definedName name="_xlnm.Print_Area" localSheetId="0">Cover!$A$1:$I$44</definedName>
    <definedName name="_xlnm.Print_Area" localSheetId="4">'Development Team'!$A$1:$T$55</definedName>
    <definedName name="_xlnm.Print_Area" localSheetId="2">Eligibility!$A$1:$K$49</definedName>
    <definedName name="_xlnm.Print_Area" localSheetId="10">'Loan Information'!$A$1:$F$55</definedName>
    <definedName name="_xlnm.Print_Area" localSheetId="8">'Match Leverage'!$A$1:$H$40</definedName>
    <definedName name="_xlnm.Print_Area" localSheetId="1">'Primary Input'!$A$1:$H$70</definedName>
    <definedName name="_xlnm.Print_Area" localSheetId="13">'Pro Forma Calculation'!$A$1:$K$107</definedName>
    <definedName name="_xlnm.Print_Area" localSheetId="6">'Rental Income'!$A$1:$M$67</definedName>
    <definedName name="_xlnm.Print_Area" localSheetId="12">'Sources and Uses'!$A$1:$J$50</definedName>
    <definedName name="Private_Mortg_Insurance_total">[1]Subsidy!$AL$48</definedName>
    <definedName name="ra_total">[1]Subsidy!$AU$48</definedName>
    <definedName name="RD_Loan_hard_total">[1]Subsidy!$AB$48</definedName>
    <definedName name="RD_Loan_soft_total">[1]Subsidy!$Q$48</definedName>
    <definedName name="Relocation_Expenses">'[1]Sources &amp; Uses'!$F$113</definedName>
    <definedName name="Replacement_Reserve">'[1]Sources &amp; Uses'!$F$145</definedName>
    <definedName name="Residential_Occupancy_Rate">[1]Income!$H$6</definedName>
    <definedName name="Sec8_tenant_total">[1]Subsidy!$AP$48</definedName>
    <definedName name="sources_of_funds_total">'[1]Sources &amp; Uses'!$F$241</definedName>
    <definedName name="State_grant_total">[1]Subsidy!$F$48</definedName>
    <definedName name="State_hard_total">[1]Subsidy!$Z$48</definedName>
    <definedName name="State_soft_total">[1]Subsidy!$O$48</definedName>
    <definedName name="structur_gp">[1]General!$D$41</definedName>
    <definedName name="structur_llp">[1]General!$D$48</definedName>
    <definedName name="structur_lp">[1]General!$D$42</definedName>
    <definedName name="sub_other_total">[1]Subsidy!$AJ$48</definedName>
    <definedName name="syn_Ia_address">[1]Syndication!$D$19</definedName>
    <definedName name="syn_Ia_name">[1]Syndication!$D$18</definedName>
    <definedName name="syn_Ia_tel">[1]Syndication!$E$21</definedName>
    <definedName name="syn_If">[6]Syndication!$J$34</definedName>
    <definedName name="syn_II_inst_1">[1]Syndication!$H$57</definedName>
    <definedName name="syn_II_inst_2">[1]Syndication!$H$58</definedName>
    <definedName name="syn_II_inst_3">[1]Syndication!$H$59</definedName>
    <definedName name="syn_public_offer">[6]Syndication!$C$212</definedName>
    <definedName name="tax_abate_assist_total">[1]Subsidy!$AV$48</definedName>
    <definedName name="tax_abate_sub_total">[1]Subsidy!$AG$48</definedName>
    <definedName name="tax_id">[1]General!$I$63</definedName>
    <definedName name="Taxes">'[1]Sources &amp; Uses'!$F$102</definedName>
    <definedName name="taxpyr_name">[1]General!$F$30</definedName>
    <definedName name="tdc_total">'[3]Sources &amp; Uses'!$F$127</definedName>
    <definedName name="Title_and_Recording">'[1]Sources &amp; Uses'!$F$108</definedName>
    <definedName name="Type">[2]StartInput!$AC$120:$AC$122</definedName>
    <definedName name="Type2">[2]StartInput!$AD$122:$AD$123</definedName>
    <definedName name="UDAG_grant_total">[1]Subsidy!$D$48</definedName>
    <definedName name="UDAG_hard_total">[1]Subsidy!$X$48</definedName>
    <definedName name="UDAG_soft_total">[1]Subsidy!$M$48</definedName>
    <definedName name="UrbType">[2]StartInput!$AC$123:$AC$125</definedName>
    <definedName name="uses_of_funds_total">'[1]Sources &amp; Uses'!$F$170</definedName>
    <definedName name="value_other_subtotal">[1]Subsidy!$AJ$49</definedName>
    <definedName name="voucher_tenant_total">[1]Subsidy!$AQ$48</definedName>
    <definedName name="YN">[2]GPRCompare!$D$101:$D$102</definedName>
    <definedName name="zoning_attached">[1]General!$J$75</definedName>
  </definedNames>
  <calcPr calcId="162913"/>
</workbook>
</file>

<file path=xl/calcChain.xml><?xml version="1.0" encoding="utf-8"?>
<calcChain xmlns="http://schemas.openxmlformats.org/spreadsheetml/2006/main">
  <c r="H30" i="5" l="1"/>
  <c r="P75" i="49"/>
  <c r="T76" i="49"/>
  <c r="E57" i="5"/>
  <c r="U76" i="49"/>
  <c r="E58" i="5"/>
  <c r="E59" i="5"/>
  <c r="S76" i="49"/>
  <c r="E56" i="5"/>
  <c r="R76" i="49"/>
  <c r="E55" i="5"/>
  <c r="Q76" i="49"/>
  <c r="E54" i="5"/>
  <c r="E9" i="4"/>
  <c r="B14" i="46"/>
  <c r="B13" i="46"/>
  <c r="AQ32" i="45"/>
  <c r="AO32" i="45"/>
  <c r="AM32" i="45"/>
  <c r="AK32" i="45"/>
  <c r="AI32" i="45"/>
  <c r="I18" i="48"/>
  <c r="L18" i="48"/>
  <c r="I17" i="48"/>
  <c r="L17" i="48"/>
  <c r="I16" i="48"/>
  <c r="L16" i="48"/>
  <c r="L15" i="48"/>
  <c r="I15" i="48"/>
  <c r="I14" i="48"/>
  <c r="L14" i="48"/>
  <c r="I13" i="48"/>
  <c r="L13" i="48"/>
  <c r="I12" i="48"/>
  <c r="L12" i="48"/>
  <c r="I11" i="48"/>
  <c r="L11" i="48"/>
  <c r="I10" i="48"/>
  <c r="L10" i="48"/>
  <c r="I9" i="48"/>
  <c r="L9" i="48"/>
  <c r="I8" i="48"/>
  <c r="L8" i="48"/>
  <c r="I7" i="48"/>
  <c r="L7" i="48"/>
  <c r="I6" i="48"/>
  <c r="L6" i="48"/>
  <c r="I5" i="48"/>
  <c r="L5" i="48"/>
  <c r="L4" i="48"/>
  <c r="C4" i="48"/>
  <c r="D4" i="48"/>
  <c r="K1" i="48"/>
  <c r="E10" i="4"/>
  <c r="H1" i="43"/>
  <c r="I1" i="43"/>
  <c r="J1" i="43"/>
  <c r="K1" i="43"/>
  <c r="L1" i="43"/>
  <c r="M1" i="43"/>
  <c r="N1" i="43"/>
  <c r="O1" i="43"/>
  <c r="P1" i="43"/>
  <c r="Q1" i="43"/>
  <c r="R1" i="43"/>
  <c r="S1" i="43"/>
  <c r="T1" i="43"/>
  <c r="U1" i="43"/>
  <c r="V1" i="43"/>
  <c r="W1" i="43"/>
  <c r="X1" i="43"/>
  <c r="Y1" i="43"/>
  <c r="Z1" i="43"/>
  <c r="AA1" i="43"/>
  <c r="AB1" i="43"/>
  <c r="AC1" i="43"/>
  <c r="AD1" i="43"/>
  <c r="AE1" i="43"/>
  <c r="AF1" i="43"/>
  <c r="AG1" i="43"/>
  <c r="AH1" i="43"/>
  <c r="AI1" i="43"/>
  <c r="AJ1" i="43"/>
  <c r="AK1" i="43"/>
  <c r="AL1" i="43"/>
  <c r="AM1" i="43"/>
  <c r="AN1" i="43"/>
  <c r="AO1" i="43"/>
  <c r="AJ13" i="5"/>
  <c r="AJ76" i="5"/>
  <c r="AJ75" i="5"/>
  <c r="AJ74" i="5"/>
  <c r="AJ73" i="5"/>
  <c r="AJ72" i="5"/>
  <c r="AJ71" i="5"/>
  <c r="AJ69" i="5"/>
  <c r="AJ68" i="5"/>
  <c r="AJ67" i="5"/>
  <c r="AJ66" i="5"/>
  <c r="AJ65" i="5"/>
  <c r="AJ64" i="5"/>
  <c r="AJ63" i="5"/>
  <c r="AJ62" i="5"/>
  <c r="AJ61" i="5"/>
  <c r="AJ60" i="5"/>
  <c r="AJ59" i="5"/>
  <c r="AJ58" i="5"/>
  <c r="AJ57" i="5"/>
  <c r="AJ56" i="5"/>
  <c r="AJ55" i="5"/>
  <c r="AJ54" i="5"/>
  <c r="AJ53" i="5"/>
  <c r="AJ52" i="5"/>
  <c r="AJ51" i="5"/>
  <c r="AJ50" i="5"/>
  <c r="AJ49" i="5"/>
  <c r="AJ48" i="5"/>
  <c r="AJ47" i="5"/>
  <c r="AJ46" i="5"/>
  <c r="AJ45" i="5"/>
  <c r="AJ44" i="5"/>
  <c r="AJ43" i="5"/>
  <c r="AJ42" i="5"/>
  <c r="AJ37" i="5"/>
  <c r="AJ36" i="5"/>
  <c r="AJ35" i="5"/>
  <c r="AJ34" i="5"/>
  <c r="AJ33" i="5"/>
  <c r="AJ32" i="5"/>
  <c r="AJ31" i="5"/>
  <c r="AJ30" i="5"/>
  <c r="AJ27" i="5"/>
  <c r="AJ26" i="5"/>
  <c r="AJ25" i="5"/>
  <c r="AJ24" i="5"/>
  <c r="AJ23" i="5"/>
  <c r="AJ22" i="5"/>
  <c r="AJ21" i="5"/>
  <c r="AJ20" i="5"/>
  <c r="AJ19" i="5"/>
  <c r="AJ18" i="5"/>
  <c r="AJ17" i="5"/>
  <c r="AJ16" i="5"/>
  <c r="AJ12" i="5"/>
  <c r="AJ11" i="5"/>
  <c r="AJ10" i="5"/>
  <c r="AJ9" i="5"/>
  <c r="AJ8" i="5"/>
  <c r="AJ7" i="5"/>
  <c r="AJ6" i="5"/>
  <c r="AJ5" i="5"/>
  <c r="D14" i="21"/>
  <c r="D17" i="21"/>
  <c r="A1" i="46"/>
  <c r="B38" i="45"/>
  <c r="AG32" i="45"/>
  <c r="AE32" i="45"/>
  <c r="AC32" i="45"/>
  <c r="AA32" i="45"/>
  <c r="Y32" i="45"/>
  <c r="W32" i="45"/>
  <c r="U32" i="45"/>
  <c r="S32" i="45"/>
  <c r="Q32" i="45"/>
  <c r="O32" i="45"/>
  <c r="M32" i="45"/>
  <c r="K32" i="45"/>
  <c r="I32" i="45"/>
  <c r="G32" i="45"/>
  <c r="E32" i="45"/>
  <c r="W25" i="45"/>
  <c r="U25" i="45"/>
  <c r="S25" i="45"/>
  <c r="Q25" i="45"/>
  <c r="O25" i="45"/>
  <c r="M25" i="45"/>
  <c r="K25" i="45"/>
  <c r="I25" i="45"/>
  <c r="G25" i="45"/>
  <c r="E25" i="45"/>
  <c r="D17" i="45"/>
  <c r="F17" i="45"/>
  <c r="D16" i="45"/>
  <c r="E16" i="45"/>
  <c r="D12" i="45"/>
  <c r="E3" i="7"/>
  <c r="M3" i="7"/>
  <c r="E4" i="7"/>
  <c r="M16" i="7"/>
  <c r="J4" i="7"/>
  <c r="K4" i="7"/>
  <c r="E5" i="7"/>
  <c r="E6" i="7"/>
  <c r="E7" i="7"/>
  <c r="E8" i="7"/>
  <c r="E9" i="7"/>
  <c r="F2" i="45"/>
  <c r="H2" i="45"/>
  <c r="J2" i="45"/>
  <c r="L2" i="45"/>
  <c r="N2" i="45"/>
  <c r="P2" i="45"/>
  <c r="R2" i="45"/>
  <c r="T2" i="45"/>
  <c r="V2" i="45"/>
  <c r="X2" i="45"/>
  <c r="Z2" i="45"/>
  <c r="AB2" i="45"/>
  <c r="AD2" i="45"/>
  <c r="AF2" i="45"/>
  <c r="AH2" i="45"/>
  <c r="AJ2" i="45"/>
  <c r="AL2" i="45"/>
  <c r="AN2" i="45"/>
  <c r="AP2" i="45"/>
  <c r="F16" i="45"/>
  <c r="H16" i="45"/>
  <c r="F58" i="41"/>
  <c r="F59" i="41"/>
  <c r="F57" i="41"/>
  <c r="C1" i="42"/>
  <c r="B1" i="35"/>
  <c r="H1" i="40"/>
  <c r="A2" i="13"/>
  <c r="E1" i="10"/>
  <c r="C1" i="26"/>
  <c r="D1" i="11"/>
  <c r="D1" i="41"/>
  <c r="B3" i="37"/>
  <c r="D1" i="7"/>
  <c r="A2" i="24"/>
  <c r="F1" i="23"/>
  <c r="A2" i="21"/>
  <c r="A2" i="5"/>
  <c r="AL146" i="5"/>
  <c r="AL145" i="5"/>
  <c r="AL144" i="5"/>
  <c r="AL143" i="5"/>
  <c r="AL142" i="5"/>
  <c r="AL141" i="5"/>
  <c r="AL140" i="5"/>
  <c r="AL139" i="5"/>
  <c r="AL138" i="5"/>
  <c r="AL137" i="5"/>
  <c r="AL136" i="5"/>
  <c r="AL135" i="5"/>
  <c r="AL134" i="5"/>
  <c r="AL133" i="5"/>
  <c r="AL132" i="5"/>
  <c r="AL131" i="5"/>
  <c r="AL130" i="5"/>
  <c r="AL129" i="5"/>
  <c r="AL128" i="5"/>
  <c r="AL127" i="5"/>
  <c r="AL126" i="5"/>
  <c r="AL125" i="5"/>
  <c r="AL124" i="5"/>
  <c r="AL123" i="5"/>
  <c r="AL122" i="5"/>
  <c r="AL121" i="5"/>
  <c r="AL120" i="5"/>
  <c r="AL119" i="5"/>
  <c r="AL118" i="5"/>
  <c r="AL117" i="5"/>
  <c r="AL116" i="5"/>
  <c r="AL115" i="5"/>
  <c r="AL114" i="5"/>
  <c r="AL113" i="5"/>
  <c r="AL112" i="5"/>
  <c r="AL111" i="5"/>
  <c r="AL110" i="5"/>
  <c r="AL109" i="5"/>
  <c r="AL108" i="5"/>
  <c r="AL107" i="5"/>
  <c r="AL106" i="5"/>
  <c r="AL105" i="5"/>
  <c r="AL104" i="5"/>
  <c r="AL103" i="5"/>
  <c r="AL102" i="5"/>
  <c r="AL101" i="5"/>
  <c r="AL100" i="5"/>
  <c r="AL99" i="5"/>
  <c r="AL98" i="5"/>
  <c r="AL97" i="5"/>
  <c r="AL96" i="5"/>
  <c r="AL95" i="5"/>
  <c r="AL94" i="5"/>
  <c r="AL93" i="5"/>
  <c r="AL92" i="5"/>
  <c r="AL91" i="5"/>
  <c r="AL90" i="5"/>
  <c r="AL89" i="5"/>
  <c r="AL88" i="5"/>
  <c r="AL87" i="5"/>
  <c r="AL86" i="5"/>
  <c r="AL85" i="5"/>
  <c r="AL84" i="5"/>
  <c r="AL83" i="5"/>
  <c r="H38" i="26"/>
  <c r="F53" i="41"/>
  <c r="J109" i="36"/>
  <c r="J106" i="36"/>
  <c r="J104" i="36"/>
  <c r="J101" i="36"/>
  <c r="J98" i="36"/>
  <c r="J92" i="36"/>
  <c r="J93" i="36"/>
  <c r="J94" i="36"/>
  <c r="J95" i="36"/>
  <c r="J96" i="36"/>
  <c r="J91" i="36"/>
  <c r="J90" i="36"/>
  <c r="J89" i="36"/>
  <c r="J87" i="36"/>
  <c r="J85" i="36"/>
  <c r="J84" i="36"/>
  <c r="J83" i="36"/>
  <c r="J71" i="36"/>
  <c r="J62" i="36"/>
  <c r="J42" i="36"/>
  <c r="J35" i="36"/>
  <c r="J30" i="36"/>
  <c r="J25" i="36"/>
  <c r="J22" i="36"/>
  <c r="J19" i="36"/>
  <c r="J18" i="36"/>
  <c r="J12" i="36"/>
  <c r="J9" i="36"/>
  <c r="J6" i="36"/>
  <c r="J5" i="36"/>
  <c r="J54" i="36"/>
  <c r="J60" i="36"/>
  <c r="J59" i="36"/>
  <c r="J58" i="36"/>
  <c r="J57" i="36"/>
  <c r="J56" i="36"/>
  <c r="J51" i="36"/>
  <c r="C34" i="7"/>
  <c r="H37" i="26"/>
  <c r="G65" i="41"/>
  <c r="F64" i="41"/>
  <c r="F62" i="41"/>
  <c r="F60" i="41"/>
  <c r="F22" i="41"/>
  <c r="F63" i="41"/>
  <c r="H11" i="24"/>
  <c r="F31" i="10"/>
  <c r="H36" i="26"/>
  <c r="H47" i="26"/>
  <c r="H46" i="26"/>
  <c r="H45" i="26"/>
  <c r="H44" i="26"/>
  <c r="D14" i="37"/>
  <c r="C14" i="37"/>
  <c r="D13" i="37"/>
  <c r="C13" i="37"/>
  <c r="R3" i="7"/>
  <c r="D8" i="21"/>
  <c r="I14" i="21"/>
  <c r="H6" i="26"/>
  <c r="H27" i="5"/>
  <c r="H28" i="5"/>
  <c r="E51" i="5"/>
  <c r="I80" i="13"/>
  <c r="D24" i="45"/>
  <c r="E11" i="38"/>
  <c r="B39" i="38"/>
  <c r="B40" i="38"/>
  <c r="B41" i="38"/>
  <c r="B42" i="38"/>
  <c r="B43" i="38"/>
  <c r="D41" i="38"/>
  <c r="D40" i="38"/>
  <c r="D39" i="38"/>
  <c r="G41" i="38"/>
  <c r="G40" i="38"/>
  <c r="G39" i="38"/>
  <c r="G42" i="38"/>
  <c r="G43" i="38"/>
  <c r="D43" i="38"/>
  <c r="D42" i="38"/>
  <c r="E19" i="38"/>
  <c r="E32" i="38"/>
  <c r="E18" i="38"/>
  <c r="E30" i="38"/>
  <c r="E17" i="38"/>
  <c r="E29" i="38"/>
  <c r="E16" i="38"/>
  <c r="E28" i="38"/>
  <c r="E15" i="38"/>
  <c r="E27" i="38"/>
  <c r="B32" i="38"/>
  <c r="B31" i="38"/>
  <c r="B30" i="38"/>
  <c r="B29" i="38"/>
  <c r="B28" i="38"/>
  <c r="B27" i="38"/>
  <c r="A6" i="38"/>
  <c r="E14" i="38"/>
  <c r="E9" i="38"/>
  <c r="G20" i="37"/>
  <c r="F20" i="37"/>
  <c r="E20" i="37"/>
  <c r="H39" i="26"/>
  <c r="H35" i="26"/>
  <c r="H34" i="26"/>
  <c r="H33" i="26"/>
  <c r="H32" i="26"/>
  <c r="H31" i="26"/>
  <c r="D30" i="21"/>
  <c r="R8" i="7"/>
  <c r="R7" i="7"/>
  <c r="R6" i="7"/>
  <c r="R5" i="7"/>
  <c r="R4" i="7"/>
  <c r="H9" i="24"/>
  <c r="H8" i="24"/>
  <c r="H30" i="26"/>
  <c r="H29" i="26"/>
  <c r="H28" i="26"/>
  <c r="H27" i="26"/>
  <c r="H22" i="26"/>
  <c r="H18" i="26"/>
  <c r="H17" i="26"/>
  <c r="H14" i="26"/>
  <c r="H13" i="26"/>
  <c r="H12" i="26"/>
  <c r="H11" i="26"/>
  <c r="H8" i="26"/>
  <c r="H7" i="26"/>
  <c r="H5" i="26"/>
  <c r="H4" i="26"/>
  <c r="I47" i="10"/>
  <c r="F33" i="10"/>
  <c r="F44" i="10"/>
  <c r="M9" i="7"/>
  <c r="I25" i="13"/>
  <c r="K25" i="13"/>
  <c r="I40" i="13"/>
  <c r="D13" i="45"/>
  <c r="I49" i="13"/>
  <c r="D14" i="45"/>
  <c r="I64" i="13"/>
  <c r="I74" i="13"/>
  <c r="E12" i="11"/>
  <c r="I85" i="13"/>
  <c r="E29" i="11"/>
  <c r="I86" i="13"/>
  <c r="D31" i="45"/>
  <c r="F49" i="13"/>
  <c r="F76" i="13"/>
  <c r="F78" i="13"/>
  <c r="F82" i="13"/>
  <c r="E49" i="13"/>
  <c r="L27" i="7"/>
  <c r="L28" i="7"/>
  <c r="L29" i="7"/>
  <c r="L30" i="7"/>
  <c r="L31" i="7"/>
  <c r="E11" i="13"/>
  <c r="E18" i="13"/>
  <c r="E26" i="13"/>
  <c r="E17" i="13"/>
  <c r="E25" i="13"/>
  <c r="E41" i="13"/>
  <c r="E64" i="13"/>
  <c r="E76" i="13"/>
  <c r="E74" i="13"/>
  <c r="E40" i="13"/>
  <c r="F11" i="13"/>
  <c r="F17" i="13"/>
  <c r="F25" i="13"/>
  <c r="F41" i="13"/>
  <c r="F64" i="13"/>
  <c r="F74" i="13"/>
  <c r="F40" i="13"/>
  <c r="G11" i="13"/>
  <c r="G18" i="13"/>
  <c r="G26" i="13"/>
  <c r="G17" i="13"/>
  <c r="G25" i="13"/>
  <c r="G41" i="13"/>
  <c r="G76" i="13"/>
  <c r="G49" i="13"/>
  <c r="G64" i="13"/>
  <c r="G74" i="13"/>
  <c r="H11" i="13"/>
  <c r="H17" i="13"/>
  <c r="H18" i="13"/>
  <c r="H26" i="13"/>
  <c r="H25" i="13"/>
  <c r="H41" i="13"/>
  <c r="H49" i="13"/>
  <c r="H64" i="13"/>
  <c r="H76" i="13"/>
  <c r="H74" i="13"/>
  <c r="I41" i="13"/>
  <c r="G40" i="13"/>
  <c r="K15" i="26"/>
  <c r="H15" i="26"/>
  <c r="F7" i="10"/>
  <c r="K24" i="13"/>
  <c r="K21" i="13"/>
  <c r="K10" i="13"/>
  <c r="B93" i="13"/>
  <c r="F10" i="7"/>
  <c r="H24" i="26"/>
  <c r="H40" i="26"/>
  <c r="H25" i="26"/>
  <c r="E9" i="26"/>
  <c r="E10" i="26"/>
  <c r="E3" i="26"/>
  <c r="H3" i="26"/>
  <c r="D94" i="13"/>
  <c r="H40" i="13"/>
  <c r="F5" i="10"/>
  <c r="F4" i="10"/>
  <c r="E38" i="11"/>
  <c r="L33" i="7"/>
  <c r="L32" i="7"/>
  <c r="K34" i="7"/>
  <c r="I34" i="7"/>
  <c r="H34" i="7"/>
  <c r="G34" i="7"/>
  <c r="F34" i="7"/>
  <c r="E34" i="7"/>
  <c r="D34" i="7"/>
  <c r="K22" i="7"/>
  <c r="I22" i="7"/>
  <c r="H22" i="7"/>
  <c r="G22" i="7"/>
  <c r="F22" i="7"/>
  <c r="E22" i="7"/>
  <c r="D22" i="7"/>
  <c r="C22" i="7"/>
  <c r="B21" i="7"/>
  <c r="B33" i="7"/>
  <c r="H48" i="7"/>
  <c r="G8" i="7"/>
  <c r="U8" i="7"/>
  <c r="X8" i="7"/>
  <c r="G48" i="7"/>
  <c r="G7" i="7"/>
  <c r="U7" i="7"/>
  <c r="F48" i="7"/>
  <c r="G6" i="7"/>
  <c r="U6" i="7"/>
  <c r="E48" i="7"/>
  <c r="G5" i="7"/>
  <c r="D48" i="7"/>
  <c r="G4" i="7"/>
  <c r="U4" i="7"/>
  <c r="C48" i="7"/>
  <c r="G3" i="7"/>
  <c r="U3" i="7"/>
  <c r="D13" i="21"/>
  <c r="C41" i="4"/>
  <c r="L16" i="7"/>
  <c r="L18" i="7"/>
  <c r="L17" i="7"/>
  <c r="L20" i="7"/>
  <c r="M20" i="7"/>
  <c r="L21" i="7"/>
  <c r="J9" i="7"/>
  <c r="K9" i="7"/>
  <c r="L19" i="7"/>
  <c r="J7" i="7"/>
  <c r="K7" i="7"/>
  <c r="L15" i="7"/>
  <c r="J3" i="7"/>
  <c r="G1" i="24"/>
  <c r="J50" i="13"/>
  <c r="F18" i="13"/>
  <c r="F26" i="13"/>
  <c r="J16" i="36"/>
  <c r="J11" i="36"/>
  <c r="W8" i="7"/>
  <c r="Z8" i="7"/>
  <c r="M19" i="7"/>
  <c r="M4" i="7"/>
  <c r="M7" i="7"/>
  <c r="F45" i="41"/>
  <c r="E23" i="26"/>
  <c r="H23" i="26"/>
  <c r="H10" i="24"/>
  <c r="K73" i="43"/>
  <c r="J76" i="43"/>
  <c r="J73" i="43"/>
  <c r="I76" i="43"/>
  <c r="I73" i="43"/>
  <c r="I6" i="7"/>
  <c r="H76" i="43"/>
  <c r="H73" i="43"/>
  <c r="I5" i="7"/>
  <c r="G76" i="43"/>
  <c r="L76" i="43"/>
  <c r="L73" i="43"/>
  <c r="K76" i="43"/>
  <c r="G73" i="43"/>
  <c r="I4" i="7"/>
  <c r="W4" i="7"/>
  <c r="Z4" i="7"/>
  <c r="E40" i="38"/>
  <c r="F76" i="43"/>
  <c r="F73" i="43"/>
  <c r="I3" i="7"/>
  <c r="J72" i="43"/>
  <c r="AZ7" i="7"/>
  <c r="X3" i="7"/>
  <c r="F39" i="38"/>
  <c r="W3" i="7"/>
  <c r="C39" i="38"/>
  <c r="J112" i="36"/>
  <c r="C40" i="38"/>
  <c r="X4" i="7"/>
  <c r="F40" i="38"/>
  <c r="E78" i="13"/>
  <c r="E82" i="13"/>
  <c r="F88" i="13"/>
  <c r="F90" i="13"/>
  <c r="F97" i="13"/>
  <c r="H78" i="13"/>
  <c r="H82" i="13"/>
  <c r="G78" i="13"/>
  <c r="G82" i="13"/>
  <c r="W7" i="7"/>
  <c r="C43" i="38"/>
  <c r="X7" i="7"/>
  <c r="F43" i="38"/>
  <c r="F61" i="41"/>
  <c r="J8" i="7"/>
  <c r="K8" i="7"/>
  <c r="M21" i="7"/>
  <c r="E12" i="45"/>
  <c r="I72" i="43"/>
  <c r="AZ6" i="7"/>
  <c r="G72" i="43"/>
  <c r="Y4" i="7"/>
  <c r="H40" i="38"/>
  <c r="I75" i="43"/>
  <c r="E71" i="43"/>
  <c r="G74" i="43"/>
  <c r="K72" i="43"/>
  <c r="Y8" i="7"/>
  <c r="G75" i="43"/>
  <c r="M15" i="7"/>
  <c r="M8" i="7"/>
  <c r="K3" i="7"/>
  <c r="H74" i="43"/>
  <c r="G16" i="45"/>
  <c r="J16" i="45"/>
  <c r="I16" i="45"/>
  <c r="J23" i="5"/>
  <c r="E24" i="45"/>
  <c r="B33" i="38"/>
  <c r="H51" i="5"/>
  <c r="L74" i="43"/>
  <c r="I1" i="35"/>
  <c r="G1" i="7"/>
  <c r="E1" i="40"/>
  <c r="A4" i="24"/>
  <c r="C3" i="13"/>
  <c r="H1" i="23"/>
  <c r="G1" i="10"/>
  <c r="D1" i="21"/>
  <c r="E1" i="11"/>
  <c r="D1" i="26"/>
  <c r="E1" i="41"/>
  <c r="D2" i="37"/>
  <c r="B1" i="46"/>
  <c r="H9" i="26"/>
  <c r="H8" i="21"/>
  <c r="D1" i="45"/>
  <c r="Z1" i="45"/>
  <c r="P1" i="45"/>
  <c r="D20" i="37"/>
  <c r="E10" i="11"/>
  <c r="D7" i="45"/>
  <c r="E31" i="45"/>
  <c r="F31" i="45"/>
  <c r="F8" i="10"/>
  <c r="F23" i="10"/>
  <c r="E27" i="11"/>
  <c r="D22" i="21"/>
  <c r="J75" i="43"/>
  <c r="L72" i="43"/>
  <c r="I7" i="7"/>
  <c r="L75" i="43"/>
  <c r="H72" i="43"/>
  <c r="AZ5" i="7"/>
  <c r="D18" i="45"/>
  <c r="I76" i="13"/>
  <c r="E31" i="38"/>
  <c r="D25" i="21"/>
  <c r="F72" i="43"/>
  <c r="I74" i="43"/>
  <c r="K74" i="43"/>
  <c r="D24" i="21"/>
  <c r="D21" i="21"/>
  <c r="F75" i="43"/>
  <c r="C83" i="43"/>
  <c r="D20" i="21"/>
  <c r="D15" i="21"/>
  <c r="D16" i="21"/>
  <c r="D18" i="21"/>
  <c r="F74" i="43"/>
  <c r="H75" i="43"/>
  <c r="D23" i="21"/>
  <c r="D19" i="21"/>
  <c r="H17" i="45"/>
  <c r="D15" i="45"/>
  <c r="D20" i="45"/>
  <c r="F14" i="45"/>
  <c r="E14" i="45"/>
  <c r="F13" i="45"/>
  <c r="F12" i="45"/>
  <c r="D30" i="45"/>
  <c r="W6" i="7"/>
  <c r="X6" i="7"/>
  <c r="U5" i="7"/>
  <c r="J6" i="7"/>
  <c r="K6" i="7"/>
  <c r="L34" i="7"/>
  <c r="L22" i="7"/>
  <c r="M17" i="7"/>
  <c r="J5" i="7"/>
  <c r="F24" i="45"/>
  <c r="M6" i="7"/>
  <c r="M18" i="7"/>
  <c r="E10" i="7"/>
  <c r="M5" i="7"/>
  <c r="J74" i="43"/>
  <c r="K75" i="43"/>
  <c r="G62" i="41"/>
  <c r="G60" i="41"/>
  <c r="F54" i="41"/>
  <c r="H13" i="24"/>
  <c r="G58" i="41"/>
  <c r="F32" i="10"/>
  <c r="F41" i="10"/>
  <c r="F47" i="10"/>
  <c r="H12" i="24"/>
  <c r="H14" i="24"/>
  <c r="G64" i="41"/>
  <c r="Y7" i="7"/>
  <c r="H43" i="38"/>
  <c r="G97" i="13"/>
  <c r="G88" i="13"/>
  <c r="G90" i="13"/>
  <c r="F92" i="13"/>
  <c r="F94" i="13"/>
  <c r="E88" i="13"/>
  <c r="E90" i="13"/>
  <c r="E97" i="13"/>
  <c r="AZ4" i="7"/>
  <c r="H97" i="13"/>
  <c r="H88" i="13"/>
  <c r="H90" i="13"/>
  <c r="G24" i="45"/>
  <c r="E13" i="45"/>
  <c r="E17" i="45"/>
  <c r="H24" i="45"/>
  <c r="J24" i="45"/>
  <c r="E18" i="45"/>
  <c r="G17" i="45"/>
  <c r="Z3" i="7"/>
  <c r="E39" i="38"/>
  <c r="Z7" i="7"/>
  <c r="E43" i="38"/>
  <c r="K16" i="45"/>
  <c r="L16" i="45"/>
  <c r="F7" i="45"/>
  <c r="E7" i="45"/>
  <c r="C42" i="38"/>
  <c r="Z6" i="7"/>
  <c r="E42" i="38"/>
  <c r="E21" i="26"/>
  <c r="H21" i="26"/>
  <c r="H31" i="45"/>
  <c r="G31" i="45"/>
  <c r="E20" i="45"/>
  <c r="F18" i="45"/>
  <c r="G18" i="45"/>
  <c r="AZ3" i="7"/>
  <c r="Y3" i="7"/>
  <c r="H39" i="38"/>
  <c r="J17" i="45"/>
  <c r="I17" i="45"/>
  <c r="F15" i="45"/>
  <c r="F20" i="45"/>
  <c r="E15" i="45"/>
  <c r="H14" i="45"/>
  <c r="G14" i="45"/>
  <c r="H12" i="45"/>
  <c r="G12" i="45"/>
  <c r="G13" i="45"/>
  <c r="H13" i="45"/>
  <c r="F30" i="45"/>
  <c r="D33" i="45"/>
  <c r="E30" i="45"/>
  <c r="F42" i="38"/>
  <c r="Y6" i="7"/>
  <c r="H42" i="38"/>
  <c r="X5" i="7"/>
  <c r="W5" i="7"/>
  <c r="J10" i="7"/>
  <c r="K5" i="7"/>
  <c r="K10" i="7"/>
  <c r="I8" i="13"/>
  <c r="I11" i="13"/>
  <c r="I10" i="7"/>
  <c r="E19" i="26"/>
  <c r="H19" i="26"/>
  <c r="D29" i="21"/>
  <c r="D31" i="21"/>
  <c r="E10" i="38"/>
  <c r="E12" i="38"/>
  <c r="C30" i="38"/>
  <c r="D30" i="38"/>
  <c r="F30" i="38"/>
  <c r="E20" i="26"/>
  <c r="H20" i="26"/>
  <c r="H15" i="24"/>
  <c r="F22" i="10"/>
  <c r="E92" i="13"/>
  <c r="E94" i="13"/>
  <c r="G92" i="13"/>
  <c r="G94" i="13"/>
  <c r="H92" i="13"/>
  <c r="H94" i="13"/>
  <c r="I24" i="45"/>
  <c r="M16" i="45"/>
  <c r="N16" i="45"/>
  <c r="H7" i="45"/>
  <c r="G7" i="45"/>
  <c r="C41" i="38"/>
  <c r="Z5" i="7"/>
  <c r="E41" i="38"/>
  <c r="I31" i="45"/>
  <c r="J31" i="45"/>
  <c r="G20" i="45"/>
  <c r="H18" i="45"/>
  <c r="I18" i="45"/>
  <c r="K17" i="45"/>
  <c r="L17" i="45"/>
  <c r="G15" i="45"/>
  <c r="H15" i="45"/>
  <c r="J14" i="45"/>
  <c r="I14" i="45"/>
  <c r="I13" i="45"/>
  <c r="J13" i="45"/>
  <c r="J12" i="45"/>
  <c r="I12" i="45"/>
  <c r="E33" i="45"/>
  <c r="F33" i="45"/>
  <c r="G30" i="45"/>
  <c r="H30" i="45"/>
  <c r="F41" i="38"/>
  <c r="Y5" i="7"/>
  <c r="H41" i="38"/>
  <c r="I14" i="13"/>
  <c r="I17" i="13"/>
  <c r="D6" i="45"/>
  <c r="F6" i="45"/>
  <c r="D5" i="45"/>
  <c r="L24" i="45"/>
  <c r="K24" i="45"/>
  <c r="C27" i="38"/>
  <c r="D27" i="38"/>
  <c r="F27" i="38"/>
  <c r="E13" i="38"/>
  <c r="C28" i="38"/>
  <c r="D28" i="38"/>
  <c r="F28" i="38"/>
  <c r="C32" i="38"/>
  <c r="D32" i="38"/>
  <c r="F32" i="38"/>
  <c r="C31" i="38"/>
  <c r="D31" i="38"/>
  <c r="F31" i="38"/>
  <c r="C29" i="38"/>
  <c r="D29" i="38"/>
  <c r="F29" i="38"/>
  <c r="H31" i="21"/>
  <c r="E16" i="26"/>
  <c r="H16" i="26"/>
  <c r="H20" i="45"/>
  <c r="I20" i="45"/>
  <c r="P16" i="45"/>
  <c r="O16" i="45"/>
  <c r="I7" i="45"/>
  <c r="J7" i="45"/>
  <c r="I18" i="13"/>
  <c r="I26" i="13"/>
  <c r="I78" i="13"/>
  <c r="I82" i="13"/>
  <c r="I88" i="13"/>
  <c r="K31" i="45"/>
  <c r="L31" i="45"/>
  <c r="J18" i="45"/>
  <c r="K18" i="45"/>
  <c r="M17" i="45"/>
  <c r="N17" i="45"/>
  <c r="J15" i="45"/>
  <c r="I15" i="45"/>
  <c r="K14" i="45"/>
  <c r="L14" i="45"/>
  <c r="K12" i="45"/>
  <c r="L12" i="45"/>
  <c r="K13" i="45"/>
  <c r="L13" i="45"/>
  <c r="H33" i="45"/>
  <c r="J30" i="45"/>
  <c r="I30" i="45"/>
  <c r="G33" i="45"/>
  <c r="E6" i="45"/>
  <c r="N24" i="45"/>
  <c r="M24" i="45"/>
  <c r="F5" i="45"/>
  <c r="E5" i="45"/>
  <c r="D9" i="45"/>
  <c r="G6" i="45"/>
  <c r="H6" i="45"/>
  <c r="D33" i="38"/>
  <c r="C34" i="38"/>
  <c r="F33" i="38"/>
  <c r="E20" i="38"/>
  <c r="E21" i="38"/>
  <c r="H10" i="26"/>
  <c r="J20" i="45"/>
  <c r="K20" i="45"/>
  <c r="R16" i="45"/>
  <c r="Q16" i="45"/>
  <c r="K7" i="45"/>
  <c r="L7" i="45"/>
  <c r="I92" i="13"/>
  <c r="I94" i="13"/>
  <c r="I97" i="13"/>
  <c r="L18" i="45"/>
  <c r="N18" i="45"/>
  <c r="M31" i="45"/>
  <c r="N31" i="45"/>
  <c r="P17" i="45"/>
  <c r="O17" i="45"/>
  <c r="L15" i="45"/>
  <c r="K15" i="45"/>
  <c r="M14" i="45"/>
  <c r="N14" i="45"/>
  <c r="M12" i="45"/>
  <c r="N12" i="45"/>
  <c r="M13" i="45"/>
  <c r="N13" i="45"/>
  <c r="J33" i="45"/>
  <c r="K30" i="45"/>
  <c r="L30" i="45"/>
  <c r="I33" i="45"/>
  <c r="G5" i="45"/>
  <c r="F9" i="45"/>
  <c r="H5" i="45"/>
  <c r="E9" i="45"/>
  <c r="D22" i="45"/>
  <c r="D46" i="45"/>
  <c r="I6" i="45"/>
  <c r="J6" i="45"/>
  <c r="O24" i="45"/>
  <c r="P24" i="45"/>
  <c r="L20" i="45"/>
  <c r="M20" i="45"/>
  <c r="T16" i="45"/>
  <c r="S16" i="45"/>
  <c r="N7" i="45"/>
  <c r="M7" i="45"/>
  <c r="M18" i="45"/>
  <c r="P31" i="45"/>
  <c r="O31" i="45"/>
  <c r="O18" i="45"/>
  <c r="P18" i="45"/>
  <c r="Q17" i="45"/>
  <c r="R17" i="45"/>
  <c r="M15" i="45"/>
  <c r="N15" i="45"/>
  <c r="N20" i="45"/>
  <c r="P14" i="45"/>
  <c r="O14" i="45"/>
  <c r="O13" i="45"/>
  <c r="P13" i="45"/>
  <c r="O12" i="45"/>
  <c r="P12" i="45"/>
  <c r="L33" i="45"/>
  <c r="M30" i="45"/>
  <c r="N30" i="45"/>
  <c r="K33" i="45"/>
  <c r="D27" i="45"/>
  <c r="E22" i="45"/>
  <c r="K6" i="45"/>
  <c r="L6" i="45"/>
  <c r="J5" i="45"/>
  <c r="H9" i="45"/>
  <c r="H22" i="45"/>
  <c r="I5" i="45"/>
  <c r="R24" i="45"/>
  <c r="Q24" i="45"/>
  <c r="F22" i="45"/>
  <c r="G9" i="45"/>
  <c r="F46" i="45"/>
  <c r="U16" i="45"/>
  <c r="V16" i="45"/>
  <c r="P7" i="45"/>
  <c r="O7" i="45"/>
  <c r="Q31" i="45"/>
  <c r="R31" i="45"/>
  <c r="Q18" i="45"/>
  <c r="R18" i="45"/>
  <c r="T17" i="45"/>
  <c r="S17" i="45"/>
  <c r="P15" i="45"/>
  <c r="P20" i="45"/>
  <c r="O15" i="45"/>
  <c r="Q14" i="45"/>
  <c r="R14" i="45"/>
  <c r="D42" i="45"/>
  <c r="D43" i="45"/>
  <c r="R12" i="45"/>
  <c r="Q12" i="45"/>
  <c r="O20" i="45"/>
  <c r="Q13" i="45"/>
  <c r="R13" i="45"/>
  <c r="M33" i="45"/>
  <c r="N33" i="45"/>
  <c r="P30" i="45"/>
  <c r="O30" i="45"/>
  <c r="T24" i="45"/>
  <c r="S24" i="45"/>
  <c r="I9" i="45"/>
  <c r="H46" i="45"/>
  <c r="J9" i="45"/>
  <c r="J22" i="45"/>
  <c r="K5" i="45"/>
  <c r="L5" i="45"/>
  <c r="N6" i="45"/>
  <c r="M6" i="45"/>
  <c r="G22" i="45"/>
  <c r="F27" i="45"/>
  <c r="D35" i="45"/>
  <c r="E27" i="45"/>
  <c r="D50" i="45"/>
  <c r="D47" i="45"/>
  <c r="W16" i="45"/>
  <c r="X16" i="45"/>
  <c r="R7" i="45"/>
  <c r="Q7" i="45"/>
  <c r="S31" i="45"/>
  <c r="T31" i="45"/>
  <c r="V17" i="45"/>
  <c r="U17" i="45"/>
  <c r="S18" i="45"/>
  <c r="T18" i="45"/>
  <c r="R15" i="45"/>
  <c r="R20" i="45"/>
  <c r="Q15" i="45"/>
  <c r="S14" i="45"/>
  <c r="T14" i="45"/>
  <c r="Q20" i="45"/>
  <c r="F42" i="45"/>
  <c r="F43" i="45"/>
  <c r="S12" i="45"/>
  <c r="T12" i="45"/>
  <c r="T13" i="45"/>
  <c r="S13" i="45"/>
  <c r="R30" i="45"/>
  <c r="Q30" i="45"/>
  <c r="P33" i="45"/>
  <c r="O33" i="45"/>
  <c r="K9" i="45"/>
  <c r="J46" i="45"/>
  <c r="H27" i="45"/>
  <c r="I22" i="45"/>
  <c r="M5" i="45"/>
  <c r="L9" i="45"/>
  <c r="N5" i="45"/>
  <c r="E35" i="45"/>
  <c r="D37" i="45"/>
  <c r="F35" i="45"/>
  <c r="F50" i="45"/>
  <c r="F47" i="45"/>
  <c r="G27" i="45"/>
  <c r="O6" i="45"/>
  <c r="P6" i="45"/>
  <c r="V24" i="45"/>
  <c r="U24" i="45"/>
  <c r="Z16" i="45"/>
  <c r="Y16" i="45"/>
  <c r="S7" i="45"/>
  <c r="T7" i="45"/>
  <c r="V31" i="45"/>
  <c r="U31" i="45"/>
  <c r="U18" i="45"/>
  <c r="V18" i="45"/>
  <c r="X17" i="45"/>
  <c r="W17" i="45"/>
  <c r="S15" i="45"/>
  <c r="T15" i="45"/>
  <c r="T20" i="45"/>
  <c r="V14" i="45"/>
  <c r="U14" i="45"/>
  <c r="S20" i="45"/>
  <c r="U12" i="45"/>
  <c r="V12" i="45"/>
  <c r="H42" i="45"/>
  <c r="H43" i="45"/>
  <c r="U13" i="45"/>
  <c r="V13" i="45"/>
  <c r="Q33" i="45"/>
  <c r="R33" i="45"/>
  <c r="T30" i="45"/>
  <c r="S30" i="45"/>
  <c r="L46" i="45"/>
  <c r="L22" i="45"/>
  <c r="M9" i="45"/>
  <c r="G35" i="45"/>
  <c r="F37" i="45"/>
  <c r="J27" i="45"/>
  <c r="K22" i="45"/>
  <c r="O5" i="45"/>
  <c r="P5" i="45"/>
  <c r="N9" i="45"/>
  <c r="W24" i="45"/>
  <c r="X24" i="45"/>
  <c r="Q6" i="45"/>
  <c r="R6" i="45"/>
  <c r="H35" i="45"/>
  <c r="H50" i="45"/>
  <c r="H47" i="45"/>
  <c r="I27" i="45"/>
  <c r="E37" i="45"/>
  <c r="D38" i="45"/>
  <c r="AA16" i="45"/>
  <c r="AB16" i="45"/>
  <c r="D39" i="45"/>
  <c r="E4" i="48"/>
  <c r="V7" i="45"/>
  <c r="U7" i="45"/>
  <c r="W31" i="45"/>
  <c r="X31" i="45"/>
  <c r="Y17" i="45"/>
  <c r="Z17" i="45"/>
  <c r="W18" i="45"/>
  <c r="X18" i="45"/>
  <c r="U15" i="45"/>
  <c r="V15" i="45"/>
  <c r="V20" i="45"/>
  <c r="W14" i="45"/>
  <c r="X14" i="45"/>
  <c r="J42" i="45"/>
  <c r="J43" i="45"/>
  <c r="W12" i="45"/>
  <c r="X12" i="45"/>
  <c r="U20" i="45"/>
  <c r="W13" i="45"/>
  <c r="X13" i="45"/>
  <c r="V30" i="45"/>
  <c r="T33" i="45"/>
  <c r="U30" i="45"/>
  <c r="S33" i="45"/>
  <c r="I35" i="45"/>
  <c r="H37" i="45"/>
  <c r="S6" i="45"/>
  <c r="T6" i="45"/>
  <c r="J35" i="45"/>
  <c r="J50" i="45"/>
  <c r="J47" i="45"/>
  <c r="K27" i="45"/>
  <c r="F38" i="45"/>
  <c r="G37" i="45"/>
  <c r="Z24" i="45"/>
  <c r="Y24" i="45"/>
  <c r="N46" i="45"/>
  <c r="O9" i="45"/>
  <c r="N22" i="45"/>
  <c r="L27" i="45"/>
  <c r="M22" i="45"/>
  <c r="P9" i="45"/>
  <c r="Q5" i="45"/>
  <c r="R5" i="45"/>
  <c r="AC16" i="45"/>
  <c r="AD16" i="45"/>
  <c r="F39" i="45"/>
  <c r="E5" i="48"/>
  <c r="J4" i="48"/>
  <c r="K4" i="48"/>
  <c r="F4" i="48"/>
  <c r="G4" i="48"/>
  <c r="C5" i="48"/>
  <c r="D5" i="48"/>
  <c r="X7" i="45"/>
  <c r="W7" i="45"/>
  <c r="Y31" i="45"/>
  <c r="Z31" i="45"/>
  <c r="Z18" i="45"/>
  <c r="Y18" i="45"/>
  <c r="AB17" i="45"/>
  <c r="AA17" i="45"/>
  <c r="W15" i="45"/>
  <c r="X15" i="45"/>
  <c r="X20" i="45"/>
  <c r="Y14" i="45"/>
  <c r="Z14" i="45"/>
  <c r="Y12" i="45"/>
  <c r="Z12" i="45"/>
  <c r="W20" i="45"/>
  <c r="Y13" i="45"/>
  <c r="Z13" i="45"/>
  <c r="L42" i="45"/>
  <c r="L43" i="45"/>
  <c r="U33" i="45"/>
  <c r="V33" i="45"/>
  <c r="X30" i="45"/>
  <c r="W30" i="45"/>
  <c r="V6" i="45"/>
  <c r="U6" i="45"/>
  <c r="R9" i="45"/>
  <c r="S5" i="45"/>
  <c r="T5" i="45"/>
  <c r="M27" i="45"/>
  <c r="L35" i="45"/>
  <c r="L50" i="45"/>
  <c r="L47" i="45"/>
  <c r="N27" i="45"/>
  <c r="O22" i="45"/>
  <c r="K35" i="45"/>
  <c r="J37" i="45"/>
  <c r="AA24" i="45"/>
  <c r="AB24" i="45"/>
  <c r="H38" i="45"/>
  <c r="I37" i="45"/>
  <c r="P46" i="45"/>
  <c r="P22" i="45"/>
  <c r="Q9" i="45"/>
  <c r="AE16" i="45"/>
  <c r="AF16" i="45"/>
  <c r="H39" i="45"/>
  <c r="E6" i="48"/>
  <c r="F5" i="48"/>
  <c r="G5" i="48"/>
  <c r="C6" i="48"/>
  <c r="D6" i="48"/>
  <c r="J5" i="48"/>
  <c r="K5" i="48"/>
  <c r="M5" i="48"/>
  <c r="M4" i="48"/>
  <c r="Y7" i="45"/>
  <c r="Z7" i="45"/>
  <c r="AA31" i="45"/>
  <c r="AB31" i="45"/>
  <c r="AC17" i="45"/>
  <c r="AD17" i="45"/>
  <c r="AA18" i="45"/>
  <c r="AB18" i="45"/>
  <c r="Z15" i="45"/>
  <c r="Z20" i="45"/>
  <c r="Y15" i="45"/>
  <c r="AA14" i="45"/>
  <c r="AB14" i="45"/>
  <c r="N42" i="45"/>
  <c r="N43" i="45"/>
  <c r="AB13" i="45"/>
  <c r="AA13" i="45"/>
  <c r="AA12" i="45"/>
  <c r="AB12" i="45"/>
  <c r="Y20" i="45"/>
  <c r="X33" i="45"/>
  <c r="Y30" i="45"/>
  <c r="Z30" i="45"/>
  <c r="W33" i="45"/>
  <c r="U5" i="45"/>
  <c r="V5" i="45"/>
  <c r="T9" i="45"/>
  <c r="J38" i="45"/>
  <c r="K37" i="45"/>
  <c r="R46" i="45"/>
  <c r="R22" i="45"/>
  <c r="S9" i="45"/>
  <c r="N35" i="45"/>
  <c r="N50" i="45"/>
  <c r="N47" i="45"/>
  <c r="O27" i="45"/>
  <c r="M35" i="45"/>
  <c r="L37" i="45"/>
  <c r="AD24" i="45"/>
  <c r="AC24" i="45"/>
  <c r="Q22" i="45"/>
  <c r="P27" i="45"/>
  <c r="X6" i="45"/>
  <c r="W6" i="45"/>
  <c r="AG16" i="45"/>
  <c r="AH16" i="45"/>
  <c r="J39" i="45"/>
  <c r="E7" i="48"/>
  <c r="J6" i="48"/>
  <c r="K6" i="48"/>
  <c r="F6" i="48"/>
  <c r="G6" i="48"/>
  <c r="C7" i="48"/>
  <c r="D7" i="48"/>
  <c r="AA7" i="45"/>
  <c r="AB7" i="45"/>
  <c r="AC31" i="45"/>
  <c r="AD31" i="45"/>
  <c r="AE17" i="45"/>
  <c r="AF17" i="45"/>
  <c r="AD18" i="45"/>
  <c r="AC18" i="45"/>
  <c r="AB15" i="45"/>
  <c r="AB20" i="45"/>
  <c r="AA15" i="45"/>
  <c r="AD14" i="45"/>
  <c r="AC14" i="45"/>
  <c r="P42" i="45"/>
  <c r="P43" i="45"/>
  <c r="AC12" i="45"/>
  <c r="AD12" i="45"/>
  <c r="AA20" i="45"/>
  <c r="AD13" i="45"/>
  <c r="AC13" i="45"/>
  <c r="AA30" i="45"/>
  <c r="Z33" i="45"/>
  <c r="AB30" i="45"/>
  <c r="Y33" i="45"/>
  <c r="M37" i="45"/>
  <c r="L38" i="45"/>
  <c r="T46" i="45"/>
  <c r="T22" i="45"/>
  <c r="U9" i="45"/>
  <c r="S22" i="45"/>
  <c r="R27" i="45"/>
  <c r="AF24" i="45"/>
  <c r="AE24" i="45"/>
  <c r="Y6" i="45"/>
  <c r="Z6" i="45"/>
  <c r="O35" i="45"/>
  <c r="N37" i="45"/>
  <c r="W5" i="45"/>
  <c r="V9" i="45"/>
  <c r="X5" i="45"/>
  <c r="Q27" i="45"/>
  <c r="P35" i="45"/>
  <c r="AG17" i="45"/>
  <c r="AH17" i="45"/>
  <c r="AI16" i="45"/>
  <c r="AJ16" i="45"/>
  <c r="P50" i="45"/>
  <c r="P47" i="45"/>
  <c r="AG24" i="45"/>
  <c r="AH24" i="45"/>
  <c r="M6" i="48"/>
  <c r="L39" i="45"/>
  <c r="E8" i="48"/>
  <c r="J7" i="48"/>
  <c r="K7" i="48"/>
  <c r="M7" i="48"/>
  <c r="F7" i="48"/>
  <c r="G7" i="48"/>
  <c r="C8" i="48"/>
  <c r="D8" i="48"/>
  <c r="AC7" i="45"/>
  <c r="AD7" i="45"/>
  <c r="AE31" i="45"/>
  <c r="AF31" i="45"/>
  <c r="AE18" i="45"/>
  <c r="AF18" i="45"/>
  <c r="AC15" i="45"/>
  <c r="AD15" i="45"/>
  <c r="AD20" i="45"/>
  <c r="AE14" i="45"/>
  <c r="AF14" i="45"/>
  <c r="AF13" i="45"/>
  <c r="AE13" i="45"/>
  <c r="R42" i="45"/>
  <c r="R43" i="45"/>
  <c r="AC20" i="45"/>
  <c r="AE12" i="45"/>
  <c r="AF12" i="45"/>
  <c r="AH12" i="45"/>
  <c r="AD30" i="45"/>
  <c r="AB33" i="45"/>
  <c r="AC30" i="45"/>
  <c r="AA33" i="45"/>
  <c r="V46" i="45"/>
  <c r="W9" i="45"/>
  <c r="V22" i="45"/>
  <c r="O37" i="45"/>
  <c r="N38" i="45"/>
  <c r="U22" i="45"/>
  <c r="T27" i="45"/>
  <c r="AA6" i="45"/>
  <c r="AB6" i="45"/>
  <c r="P37" i="45"/>
  <c r="Q35" i="45"/>
  <c r="R35" i="45"/>
  <c r="R50" i="45"/>
  <c r="R47" i="45"/>
  <c r="S27" i="45"/>
  <c r="X9" i="45"/>
  <c r="Y5" i="45"/>
  <c r="Z5" i="45"/>
  <c r="AG13" i="45"/>
  <c r="AH13" i="45"/>
  <c r="AG14" i="45"/>
  <c r="AH14" i="45"/>
  <c r="AJ12" i="45"/>
  <c r="AI12" i="45"/>
  <c r="AG31" i="45"/>
  <c r="AH31" i="45"/>
  <c r="AK16" i="45"/>
  <c r="AL16" i="45"/>
  <c r="AG18" i="45"/>
  <c r="AH18" i="45"/>
  <c r="AJ17" i="45"/>
  <c r="AI17" i="45"/>
  <c r="AI24" i="45"/>
  <c r="AJ24" i="45"/>
  <c r="J8" i="48"/>
  <c r="K8" i="48"/>
  <c r="M8" i="48"/>
  <c r="F8" i="48"/>
  <c r="G8" i="48"/>
  <c r="C9" i="48"/>
  <c r="D9" i="48"/>
  <c r="N39" i="45"/>
  <c r="E9" i="48"/>
  <c r="AF7" i="45"/>
  <c r="AE7" i="45"/>
  <c r="AF15" i="45"/>
  <c r="AE15" i="45"/>
  <c r="AG12" i="45"/>
  <c r="T42" i="45"/>
  <c r="T43" i="45"/>
  <c r="AE20" i="45"/>
  <c r="AC33" i="45"/>
  <c r="AD33" i="45"/>
  <c r="AF30" i="45"/>
  <c r="AH30" i="45"/>
  <c r="AE30" i="45"/>
  <c r="T35" i="45"/>
  <c r="T50" i="45"/>
  <c r="T47" i="45"/>
  <c r="U27" i="45"/>
  <c r="S35" i="45"/>
  <c r="R37" i="45"/>
  <c r="Q37" i="45"/>
  <c r="P38" i="45"/>
  <c r="W22" i="45"/>
  <c r="V27" i="45"/>
  <c r="Y9" i="45"/>
  <c r="X46" i="45"/>
  <c r="X22" i="45"/>
  <c r="AD6" i="45"/>
  <c r="AC6" i="45"/>
  <c r="AB5" i="45"/>
  <c r="AA5" i="45"/>
  <c r="Z9" i="45"/>
  <c r="AG15" i="45"/>
  <c r="AH15" i="45"/>
  <c r="AG7" i="45"/>
  <c r="AH7" i="45"/>
  <c r="AL17" i="45"/>
  <c r="AK17" i="45"/>
  <c r="AL12" i="45"/>
  <c r="AK12" i="45"/>
  <c r="AJ18" i="45"/>
  <c r="AI18" i="45"/>
  <c r="AJ14" i="45"/>
  <c r="AI14" i="45"/>
  <c r="AM16" i="45"/>
  <c r="AN16" i="45"/>
  <c r="AJ13" i="45"/>
  <c r="AI13" i="45"/>
  <c r="AI31" i="45"/>
  <c r="AJ31" i="45"/>
  <c r="AK24" i="45"/>
  <c r="AL24" i="45"/>
  <c r="AJ30" i="45"/>
  <c r="AH33" i="45"/>
  <c r="AI30" i="45"/>
  <c r="AF20" i="45"/>
  <c r="AG20" i="45"/>
  <c r="P39" i="45"/>
  <c r="E10" i="48"/>
  <c r="F9" i="48"/>
  <c r="G9" i="48"/>
  <c r="C10" i="48"/>
  <c r="D10" i="48"/>
  <c r="J9" i="48"/>
  <c r="K9" i="48"/>
  <c r="V42" i="45"/>
  <c r="V43" i="45"/>
  <c r="AF33" i="45"/>
  <c r="AG30" i="45"/>
  <c r="AE33" i="45"/>
  <c r="AF6" i="45"/>
  <c r="AE6" i="45"/>
  <c r="X27" i="45"/>
  <c r="Y22" i="45"/>
  <c r="AC5" i="45"/>
  <c r="AB9" i="45"/>
  <c r="AD5" i="45"/>
  <c r="S37" i="45"/>
  <c r="R38" i="45"/>
  <c r="AA9" i="45"/>
  <c r="Z46" i="45"/>
  <c r="Z22" i="45"/>
  <c r="V35" i="45"/>
  <c r="V50" i="45"/>
  <c r="V47" i="45"/>
  <c r="W27" i="45"/>
  <c r="U35" i="45"/>
  <c r="T37" i="45"/>
  <c r="AN17" i="45"/>
  <c r="AM17" i="45"/>
  <c r="AL14" i="45"/>
  <c r="AK14" i="45"/>
  <c r="AK31" i="45"/>
  <c r="AL31" i="45"/>
  <c r="AO16" i="45"/>
  <c r="AP16" i="45"/>
  <c r="AQ16" i="45"/>
  <c r="AI7" i="45"/>
  <c r="AJ7" i="45"/>
  <c r="AL18" i="45"/>
  <c r="AK18" i="45"/>
  <c r="AJ15" i="45"/>
  <c r="AI15" i="45"/>
  <c r="AL13" i="45"/>
  <c r="AK13" i="45"/>
  <c r="AM12" i="45"/>
  <c r="AN12" i="45"/>
  <c r="AH20" i="45"/>
  <c r="AI20" i="45"/>
  <c r="AM24" i="45"/>
  <c r="AN24" i="45"/>
  <c r="AG6" i="45"/>
  <c r="AH6" i="45"/>
  <c r="AI33" i="45"/>
  <c r="AK30" i="45"/>
  <c r="AL30" i="45"/>
  <c r="AJ33" i="45"/>
  <c r="M9" i="48"/>
  <c r="R39" i="45"/>
  <c r="E11" i="48"/>
  <c r="F10" i="48"/>
  <c r="G10" i="48"/>
  <c r="C11" i="48"/>
  <c r="D11" i="48"/>
  <c r="J10" i="48"/>
  <c r="K10" i="48"/>
  <c r="M10" i="48"/>
  <c r="X42" i="45"/>
  <c r="X43" i="45"/>
  <c r="AG33" i="45"/>
  <c r="AC9" i="45"/>
  <c r="AB46" i="45"/>
  <c r="AB22" i="45"/>
  <c r="Z27" i="45"/>
  <c r="AA22" i="45"/>
  <c r="Y27" i="45"/>
  <c r="X35" i="45"/>
  <c r="X50" i="45"/>
  <c r="X47" i="45"/>
  <c r="AF5" i="45"/>
  <c r="AH5" i="45"/>
  <c r="AD9" i="45"/>
  <c r="AE5" i="45"/>
  <c r="W35" i="45"/>
  <c r="V37" i="45"/>
  <c r="U37" i="45"/>
  <c r="T38" i="45"/>
  <c r="AL15" i="45"/>
  <c r="AK15" i="45"/>
  <c r="AJ20" i="45"/>
  <c r="AK20" i="45"/>
  <c r="AN13" i="45"/>
  <c r="AM13" i="45"/>
  <c r="AN31" i="45"/>
  <c r="AM31" i="45"/>
  <c r="AL20" i="45"/>
  <c r="AM20" i="45"/>
  <c r="AN18" i="45"/>
  <c r="AM18" i="45"/>
  <c r="AN14" i="45"/>
  <c r="AM14" i="45"/>
  <c r="AP12" i="45"/>
  <c r="AO12" i="45"/>
  <c r="AK7" i="45"/>
  <c r="AL7" i="45"/>
  <c r="AP17" i="45"/>
  <c r="AQ17" i="45"/>
  <c r="AO17" i="45"/>
  <c r="AI6" i="45"/>
  <c r="AJ6" i="45"/>
  <c r="AO24" i="45"/>
  <c r="AP24" i="45"/>
  <c r="AQ24" i="45"/>
  <c r="AH9" i="45"/>
  <c r="AJ5" i="45"/>
  <c r="AI5" i="45"/>
  <c r="AK33" i="45"/>
  <c r="AM30" i="45"/>
  <c r="AN30" i="45"/>
  <c r="AL33" i="45"/>
  <c r="T39" i="45"/>
  <c r="E12" i="48"/>
  <c r="J11" i="48"/>
  <c r="K11" i="48"/>
  <c r="M11" i="48"/>
  <c r="F11" i="48"/>
  <c r="G11" i="48"/>
  <c r="C12" i="48"/>
  <c r="D12" i="48"/>
  <c r="Z42" i="45"/>
  <c r="Z43" i="45"/>
  <c r="AG5" i="45"/>
  <c r="AF9" i="45"/>
  <c r="Z35" i="45"/>
  <c r="AA27" i="45"/>
  <c r="AC22" i="45"/>
  <c r="AB27" i="45"/>
  <c r="Y35" i="45"/>
  <c r="X37" i="45"/>
  <c r="V38" i="45"/>
  <c r="W37" i="45"/>
  <c r="AD22" i="45"/>
  <c r="AD46" i="45"/>
  <c r="AE9" i="45"/>
  <c r="AO31" i="45"/>
  <c r="AP31" i="45"/>
  <c r="AQ31" i="45"/>
  <c r="AP13" i="45"/>
  <c r="AQ13" i="45"/>
  <c r="AO13" i="45"/>
  <c r="AP14" i="45"/>
  <c r="AQ14" i="45"/>
  <c r="AO14" i="45"/>
  <c r="AQ12" i="45"/>
  <c r="AM7" i="45"/>
  <c r="AN7" i="45"/>
  <c r="AP18" i="45"/>
  <c r="AQ18" i="45"/>
  <c r="AO18" i="45"/>
  <c r="AN15" i="45"/>
  <c r="AM15" i="45"/>
  <c r="AJ9" i="45"/>
  <c r="AK5" i="45"/>
  <c r="AL5" i="45"/>
  <c r="AK6" i="45"/>
  <c r="AL6" i="45"/>
  <c r="AH22" i="45"/>
  <c r="AI9" i="45"/>
  <c r="AH46" i="45"/>
  <c r="Z50" i="45"/>
  <c r="Z47" i="45"/>
  <c r="AM33" i="45"/>
  <c r="AP30" i="45"/>
  <c r="AO30" i="45"/>
  <c r="AN33" i="45"/>
  <c r="J12" i="48"/>
  <c r="K12" i="48"/>
  <c r="M12" i="48"/>
  <c r="F12" i="48"/>
  <c r="G12" i="48"/>
  <c r="C13" i="48"/>
  <c r="D13" i="48"/>
  <c r="V39" i="45"/>
  <c r="E13" i="48"/>
  <c r="AB42" i="45"/>
  <c r="AB43" i="45"/>
  <c r="X38" i="45"/>
  <c r="Y37" i="45"/>
  <c r="AE22" i="45"/>
  <c r="AD27" i="45"/>
  <c r="AA35" i="45"/>
  <c r="Z37" i="45"/>
  <c r="AB35" i="45"/>
  <c r="AB50" i="45"/>
  <c r="AB47" i="45"/>
  <c r="AC27" i="45"/>
  <c r="AF46" i="45"/>
  <c r="AG9" i="45"/>
  <c r="AF22" i="45"/>
  <c r="AP15" i="45"/>
  <c r="AO15" i="45"/>
  <c r="AN20" i="45"/>
  <c r="AO20" i="45"/>
  <c r="AP7" i="45"/>
  <c r="AQ7" i="45"/>
  <c r="AO7" i="45"/>
  <c r="AI22" i="45"/>
  <c r="AH27" i="45"/>
  <c r="AM6" i="45"/>
  <c r="AN6" i="45"/>
  <c r="AJ22" i="45"/>
  <c r="AK9" i="45"/>
  <c r="AJ46" i="45"/>
  <c r="AL9" i="45"/>
  <c r="AN5" i="45"/>
  <c r="AM5" i="45"/>
  <c r="AO33" i="45"/>
  <c r="AQ30" i="45"/>
  <c r="AP33" i="45"/>
  <c r="X39" i="45"/>
  <c r="E14" i="48"/>
  <c r="J13" i="48"/>
  <c r="K13" i="48"/>
  <c r="M13" i="48"/>
  <c r="F13" i="48"/>
  <c r="G13" i="48"/>
  <c r="C14" i="48"/>
  <c r="D14" i="48"/>
  <c r="AD42" i="45"/>
  <c r="AD43" i="45"/>
  <c r="AG22" i="45"/>
  <c r="AF27" i="45"/>
  <c r="AC35" i="45"/>
  <c r="AB37" i="45"/>
  <c r="AA37" i="45"/>
  <c r="Z38" i="45"/>
  <c r="AD35" i="45"/>
  <c r="AE27" i="45"/>
  <c r="AQ15" i="45"/>
  <c r="AP20" i="45"/>
  <c r="AQ20" i="45"/>
  <c r="AI27" i="45"/>
  <c r="AH42" i="45"/>
  <c r="AH35" i="45"/>
  <c r="AH43" i="45"/>
  <c r="AN9" i="45"/>
  <c r="AP5" i="45"/>
  <c r="AO5" i="45"/>
  <c r="AJ27" i="45"/>
  <c r="AK22" i="45"/>
  <c r="AM9" i="45"/>
  <c r="AL22" i="45"/>
  <c r="AL46" i="45"/>
  <c r="AO6" i="45"/>
  <c r="AP6" i="45"/>
  <c r="AQ6" i="45"/>
  <c r="AD50" i="45"/>
  <c r="AD47" i="45"/>
  <c r="AQ33" i="45"/>
  <c r="Z39" i="45"/>
  <c r="E15" i="48"/>
  <c r="J14" i="48"/>
  <c r="K14" i="48"/>
  <c r="M14" i="48"/>
  <c r="F14" i="48"/>
  <c r="G14" i="48"/>
  <c r="C15" i="48"/>
  <c r="D15" i="48"/>
  <c r="AF42" i="45"/>
  <c r="AF43" i="45"/>
  <c r="AC37" i="45"/>
  <c r="AB38" i="45"/>
  <c r="AE35" i="45"/>
  <c r="AD37" i="45"/>
  <c r="AG27" i="45"/>
  <c r="AF35" i="45"/>
  <c r="AF50" i="45"/>
  <c r="AF47" i="45"/>
  <c r="AP9" i="45"/>
  <c r="AQ5" i="45"/>
  <c r="AK27" i="45"/>
  <c r="AJ42" i="45"/>
  <c r="AJ43" i="45"/>
  <c r="AJ35" i="45"/>
  <c r="AM22" i="45"/>
  <c r="AL27" i="45"/>
  <c r="AI35" i="45"/>
  <c r="AH37" i="45"/>
  <c r="AH50" i="45"/>
  <c r="AH47" i="45"/>
  <c r="AN22" i="45"/>
  <c r="AO9" i="45"/>
  <c r="AN46" i="45"/>
  <c r="J15" i="48"/>
  <c r="K15" i="48"/>
  <c r="M15" i="48"/>
  <c r="F15" i="48"/>
  <c r="G15" i="48"/>
  <c r="C16" i="48"/>
  <c r="D16" i="48"/>
  <c r="AB39" i="45"/>
  <c r="E16" i="48"/>
  <c r="AG35" i="45"/>
  <c r="AF37" i="45"/>
  <c r="P54" i="45"/>
  <c r="Q54" i="45"/>
  <c r="R54" i="45"/>
  <c r="S54" i="45"/>
  <c r="AD38" i="45"/>
  <c r="AE37" i="45"/>
  <c r="AI37" i="45"/>
  <c r="AH38" i="45"/>
  <c r="AH39" i="45"/>
  <c r="AJ37" i="45"/>
  <c r="AK35" i="45"/>
  <c r="AJ50" i="45"/>
  <c r="AJ47" i="45"/>
  <c r="AN27" i="45"/>
  <c r="AO22" i="45"/>
  <c r="AM27" i="45"/>
  <c r="AL42" i="45"/>
  <c r="AL43" i="45"/>
  <c r="AL35" i="45"/>
  <c r="AP22" i="45"/>
  <c r="AQ9" i="45"/>
  <c r="AP46" i="45"/>
  <c r="F16" i="48"/>
  <c r="G16" i="48"/>
  <c r="C17" i="48"/>
  <c r="D17" i="48"/>
  <c r="J16" i="48"/>
  <c r="K16" i="48"/>
  <c r="M16" i="48"/>
  <c r="AD39" i="45"/>
  <c r="E17" i="48"/>
  <c r="AG37" i="45"/>
  <c r="AF38" i="45"/>
  <c r="AL37" i="45"/>
  <c r="AM35" i="45"/>
  <c r="AL50" i="45"/>
  <c r="AL47" i="45"/>
  <c r="AO27" i="45"/>
  <c r="AN42" i="45"/>
  <c r="AN43" i="45"/>
  <c r="AN35" i="45"/>
  <c r="AK37" i="45"/>
  <c r="AJ38" i="45"/>
  <c r="AJ39" i="45"/>
  <c r="AQ22" i="45"/>
  <c r="AP27" i="45"/>
  <c r="AF39" i="45"/>
  <c r="E18" i="48"/>
  <c r="J17" i="48"/>
  <c r="K17" i="48"/>
  <c r="M17" i="48"/>
  <c r="F17" i="48"/>
  <c r="G17" i="48"/>
  <c r="C18" i="48"/>
  <c r="D18" i="48"/>
  <c r="AL38" i="45"/>
  <c r="AL39" i="45"/>
  <c r="AM37" i="45"/>
  <c r="AQ27" i="45"/>
  <c r="AP42" i="45"/>
  <c r="AP35" i="45"/>
  <c r="AR35" i="45"/>
  <c r="AP43" i="45"/>
  <c r="AN37" i="45"/>
  <c r="AN50" i="45"/>
  <c r="AN47" i="45"/>
  <c r="AO35" i="45"/>
  <c r="F18" i="48"/>
  <c r="G18" i="48"/>
  <c r="E40" i="11"/>
  <c r="E41" i="11"/>
  <c r="J18" i="48"/>
  <c r="K18" i="48"/>
  <c r="AQ35" i="45"/>
  <c r="AP37" i="45"/>
  <c r="AP50" i="45"/>
  <c r="AP47" i="45"/>
  <c r="AO37" i="45"/>
  <c r="AN38" i="45"/>
  <c r="AN39" i="45"/>
  <c r="M18" i="48"/>
  <c r="L23" i="48"/>
  <c r="L22" i="48"/>
  <c r="AP38" i="45"/>
  <c r="AP39" i="45"/>
  <c r="AQ37"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author>
  </authors>
  <commentList>
    <comment ref="B9" authorId="0" shapeId="0" xr:uid="{00000000-0006-0000-0100-000001000000}">
      <text>
        <r>
          <rPr>
            <b/>
            <sz val="8"/>
            <color indexed="81"/>
            <rFont val="Tahoma"/>
            <family val="2"/>
          </rPr>
          <t xml:space="preserve">Specify name of entity that will own and operate property.
</t>
        </r>
      </text>
    </comment>
  </commentList>
</comments>
</file>

<file path=xl/sharedStrings.xml><?xml version="1.0" encoding="utf-8"?>
<sst xmlns="http://schemas.openxmlformats.org/spreadsheetml/2006/main" count="1952" uniqueCount="1223">
  <si>
    <t>Attach evidence of any unit subsidy</t>
  </si>
  <si>
    <t>Attach evidence of prior years income</t>
  </si>
  <si>
    <t>Competitive Review Criteria</t>
  </si>
  <si>
    <t>Site Control Documentation</t>
  </si>
  <si>
    <t>Ownership History</t>
  </si>
  <si>
    <t>Cover</t>
  </si>
  <si>
    <t xml:space="preserve">Version: </t>
  </si>
  <si>
    <t xml:space="preserve">Project Name: </t>
  </si>
  <si>
    <t xml:space="preserve">Parish: </t>
  </si>
  <si>
    <t>Primary Input</t>
  </si>
  <si>
    <t>General Information:</t>
  </si>
  <si>
    <t xml:space="preserve">   Project Name:</t>
  </si>
  <si>
    <t xml:space="preserve">   Project Parish:</t>
  </si>
  <si>
    <t xml:space="preserve">   Qualified Non-Profit Name if Applicable</t>
  </si>
  <si>
    <t xml:space="preserve">   Contact Phone Number:</t>
  </si>
  <si>
    <t xml:space="preserve">   Contact Fax Number:</t>
  </si>
  <si>
    <t xml:space="preserve">   E-Mail Address:</t>
  </si>
  <si>
    <t xml:space="preserve">   Federal ID / SSN:</t>
  </si>
  <si>
    <t xml:space="preserve">   To be Formed Date</t>
  </si>
  <si>
    <t>Mixed Income with 60-80% at market</t>
  </si>
  <si>
    <t>Multifamily</t>
  </si>
  <si>
    <t>Family</t>
  </si>
  <si>
    <t>20% residents at 50% or less</t>
  </si>
  <si>
    <t>Elevator</t>
  </si>
  <si>
    <t>No</t>
  </si>
  <si>
    <t>General Partnership</t>
  </si>
  <si>
    <t>Mixed Income with 30-60% at market</t>
  </si>
  <si>
    <t>Single Room Occupancy</t>
  </si>
  <si>
    <t>Special Needs</t>
  </si>
  <si>
    <t>40% residents at 60% or less</t>
  </si>
  <si>
    <t>Yes</t>
  </si>
  <si>
    <t>Limited Partnership</t>
  </si>
  <si>
    <t>Priority Elderly Rehab Project</t>
  </si>
  <si>
    <t>Scattered Site</t>
  </si>
  <si>
    <t>Both</t>
  </si>
  <si>
    <t>15% residents at 40% or less</t>
  </si>
  <si>
    <t>Row</t>
  </si>
  <si>
    <t>Priority HUD Rehab Project</t>
  </si>
  <si>
    <t>Townhouse</t>
  </si>
  <si>
    <t>Other</t>
  </si>
  <si>
    <t>Semi-Detached</t>
  </si>
  <si>
    <t>Project Based Rental Assistance</t>
  </si>
  <si>
    <t>LLC</t>
  </si>
  <si>
    <t>Priority Neighborhood Supported</t>
  </si>
  <si>
    <t>Garden Apartment</t>
  </si>
  <si>
    <t>Detached</t>
  </si>
  <si>
    <t>Mixed Income Gap Financing</t>
  </si>
  <si>
    <t>Corporation</t>
  </si>
  <si>
    <t>PSH (with 15% PSH Units)</t>
  </si>
  <si>
    <t>PHA Redevelopment</t>
  </si>
  <si>
    <t>Other - Describe Below</t>
  </si>
  <si>
    <t>Property Breakdown:</t>
  </si>
  <si>
    <t xml:space="preserve">   Number of Residential Buildings</t>
  </si>
  <si>
    <t xml:space="preserve">   Accessory Buildings</t>
  </si>
  <si>
    <t xml:space="preserve">   Occupancy Type</t>
  </si>
  <si>
    <t xml:space="preserve">   Building Style</t>
  </si>
  <si>
    <t>Residential Unit Mix:</t>
  </si>
  <si>
    <t xml:space="preserve">   1 Bedroom</t>
  </si>
  <si>
    <t xml:space="preserve">   0 Bedroom (Efficiency)</t>
  </si>
  <si>
    <t xml:space="preserve">   2 Bedrooms</t>
  </si>
  <si>
    <t xml:space="preserve">   3 Bedrooms</t>
  </si>
  <si>
    <t xml:space="preserve">   4 Bedrooms</t>
  </si>
  <si>
    <t xml:space="preserve">   5 Bedrooms</t>
  </si>
  <si>
    <t xml:space="preserve">   Other</t>
  </si>
  <si>
    <t>TOTAL</t>
  </si>
  <si>
    <t xml:space="preserve">   Appraisal Date:</t>
  </si>
  <si>
    <t xml:space="preserve">   Pre-Rehab Appraisal Value:</t>
  </si>
  <si>
    <t xml:space="preserve">   Post-Rehab Appraisal Value:</t>
  </si>
  <si>
    <t>Private For-Profit Developer</t>
  </si>
  <si>
    <t>Not-For-Profit 501(c)(3) and 501(c)(4) Organizations</t>
  </si>
  <si>
    <t>Public Housing Authorities</t>
  </si>
  <si>
    <t>Local Governments</t>
  </si>
  <si>
    <t>Native American Tribes</t>
  </si>
  <si>
    <t xml:space="preserve">   Applicant Eligibility</t>
  </si>
  <si>
    <t>35% of AMI</t>
  </si>
  <si>
    <t>40% of AMI</t>
  </si>
  <si>
    <t>45% of AMI</t>
  </si>
  <si>
    <t>55% of AMI</t>
  </si>
  <si>
    <t>60% of AMI</t>
  </si>
  <si>
    <t>65% of AMI</t>
  </si>
  <si>
    <t>70% of AMI</t>
  </si>
  <si>
    <t>75% of AMI</t>
  </si>
  <si>
    <t>Code</t>
  </si>
  <si>
    <t>Cost of Rehabilitation</t>
  </si>
  <si>
    <t xml:space="preserve">   CONSTRUCTION CONTINGENCY, NOT MORE THAN 10%</t>
  </si>
  <si>
    <t>Offsite improvements</t>
  </si>
  <si>
    <t>TOTAL REHABILITATION COSTS</t>
  </si>
  <si>
    <t>New Construction</t>
  </si>
  <si>
    <t>Development Costs</t>
  </si>
  <si>
    <t>Cost</t>
  </si>
  <si>
    <t>General Requirements &amp; Other Costs</t>
  </si>
  <si>
    <t>General Requirements</t>
  </si>
  <si>
    <t>Builder Overhead</t>
  </si>
  <si>
    <t>Builder's Profit</t>
  </si>
  <si>
    <t>Limit</t>
  </si>
  <si>
    <t>Actual</t>
  </si>
  <si>
    <t>Builder's Overhead</t>
  </si>
  <si>
    <t>Developer Fee</t>
  </si>
  <si>
    <t xml:space="preserve">   Exterior</t>
  </si>
  <si>
    <t xml:space="preserve">   Windows, frames &amp; glazing</t>
  </si>
  <si>
    <t xml:space="preserve">   HVAC</t>
  </si>
  <si>
    <t xml:space="preserve">   Electrical System</t>
  </si>
  <si>
    <t xml:space="preserve">   Plumbing Systems</t>
  </si>
  <si>
    <t xml:space="preserve">   Roofs</t>
  </si>
  <si>
    <t xml:space="preserve">   Fire Suppression</t>
  </si>
  <si>
    <t xml:space="preserve">   Elevator &amp; Vert. Trans.</t>
  </si>
  <si>
    <t xml:space="preserve">   ADA</t>
  </si>
  <si>
    <t/>
  </si>
  <si>
    <t xml:space="preserve"> </t>
  </si>
  <si>
    <t>Types of Housing</t>
  </si>
  <si>
    <t>Number of Units</t>
  </si>
  <si>
    <t>Parish</t>
  </si>
  <si>
    <t>AMI</t>
  </si>
  <si>
    <t>Total TDC</t>
  </si>
  <si>
    <t>% Funding</t>
  </si>
  <si>
    <t>No. of Units</t>
  </si>
  <si>
    <t>Development Team</t>
  </si>
  <si>
    <t>Contact:</t>
  </si>
  <si>
    <t xml:space="preserve"> Phone:</t>
  </si>
  <si>
    <t xml:space="preserve">E-Mail Address: </t>
  </si>
  <si>
    <t>Fax:</t>
  </si>
  <si>
    <t>Attorney:</t>
  </si>
  <si>
    <t>Accountant:</t>
  </si>
  <si>
    <t>Construction Mortgage</t>
  </si>
  <si>
    <t>Lender:</t>
  </si>
  <si>
    <t>Permanent Mortgage</t>
  </si>
  <si>
    <t>Management Co.:</t>
  </si>
  <si>
    <t>Builder / Contractor:</t>
  </si>
  <si>
    <t>Financial Considerations</t>
  </si>
  <si>
    <t>Project name entered?</t>
  </si>
  <si>
    <t>Parish indicated?</t>
  </si>
  <si>
    <t>Developer Fee within the allowable limit?</t>
  </si>
  <si>
    <t>Builder Profit within the allowable limit?</t>
  </si>
  <si>
    <t>Builder Overhead within the allowable limit?</t>
  </si>
  <si>
    <t>General Requirements within the allowable limit?</t>
  </si>
  <si>
    <t>Sources of funds adequate</t>
  </si>
  <si>
    <t>DSR greater than 1.15?</t>
  </si>
  <si>
    <t>Unit BR Size</t>
  </si>
  <si>
    <t>Number of Bathrooms</t>
  </si>
  <si>
    <t>Average Square Feet of Individual Units</t>
  </si>
  <si>
    <t>Monthly Utility Allowance</t>
  </si>
  <si>
    <t>Average Monthly Rent</t>
  </si>
  <si>
    <t>Total Monthly Rent</t>
  </si>
  <si>
    <t>0BR</t>
  </si>
  <si>
    <t>1BR</t>
  </si>
  <si>
    <t>2BR</t>
  </si>
  <si>
    <t>3BR</t>
  </si>
  <si>
    <t>4BR</t>
  </si>
  <si>
    <t>5BR</t>
  </si>
  <si>
    <t>WITH SUBSIDIES</t>
  </si>
  <si>
    <t>Tenant Income &lt;= 20%</t>
  </si>
  <si>
    <t>Tenant Income &gt;20&lt;=30%</t>
  </si>
  <si>
    <t>Tenant Income &gt;30&lt;=40%</t>
  </si>
  <si>
    <t>Tenant Income &gt;40&lt;=50%</t>
  </si>
  <si>
    <t>Tenant Income &gt;50&lt;= 60%</t>
  </si>
  <si>
    <t>Tenant Income &gt;60&lt;= 80%</t>
  </si>
  <si>
    <t>Number of Market Units</t>
  </si>
  <si>
    <t>Project Based Contract</t>
  </si>
  <si>
    <t>Total</t>
  </si>
  <si>
    <t>Market Rent</t>
  </si>
  <si>
    <t>Enter utility allowances</t>
  </si>
  <si>
    <t>Utility</t>
  </si>
  <si>
    <t>Source</t>
  </si>
  <si>
    <t>X</t>
  </si>
  <si>
    <t>Heating</t>
  </si>
  <si>
    <t>State PHA</t>
  </si>
  <si>
    <t>A/C</t>
  </si>
  <si>
    <t>Local PHA</t>
  </si>
  <si>
    <t>Cooking</t>
  </si>
  <si>
    <t>Utility Company</t>
  </si>
  <si>
    <t>Lighting</t>
  </si>
  <si>
    <t>Hot Water</t>
  </si>
  <si>
    <t>HUD</t>
  </si>
  <si>
    <t>Water</t>
  </si>
  <si>
    <t>Sewer</t>
  </si>
  <si>
    <t>Trash</t>
  </si>
  <si>
    <t>Rental Income</t>
  </si>
  <si>
    <t>30% of AMI</t>
  </si>
  <si>
    <t>ENTER NUMBER  OF UNITS WITHOUT RENTAL SUBSIDIES</t>
  </si>
  <si>
    <t>Loan Information</t>
  </si>
  <si>
    <t>FIRST MORTGAGE</t>
  </si>
  <si>
    <t>Lender Name:</t>
  </si>
  <si>
    <t>Original Loan Amount:</t>
  </si>
  <si>
    <t>Current Principal Amount:</t>
  </si>
  <si>
    <t>As of Date:</t>
  </si>
  <si>
    <t>Maturity Date:</t>
  </si>
  <si>
    <t>Interest Rate:</t>
  </si>
  <si>
    <t>Amortization Period (Years):</t>
  </si>
  <si>
    <t>Monthly P&amp;I Payment</t>
  </si>
  <si>
    <t>Annual Debt Service</t>
  </si>
  <si>
    <t>Prepayment Penalty:</t>
  </si>
  <si>
    <t>Lock Out Date:</t>
  </si>
  <si>
    <t>Years remaining at closing:</t>
  </si>
  <si>
    <t>Loan Type</t>
  </si>
  <si>
    <t>SECOND MORTGAGE</t>
  </si>
  <si>
    <t>Balance at Term of First Mortgage:</t>
  </si>
  <si>
    <t xml:space="preserve">Reasonably repaid at Term of First Mortgage: </t>
  </si>
  <si>
    <t>FHA insured</t>
  </si>
  <si>
    <t>Conventional</t>
  </si>
  <si>
    <t>Hud Held</t>
  </si>
  <si>
    <t>Risk Shared</t>
  </si>
  <si>
    <t>Sources &amp; Uses</t>
  </si>
  <si>
    <t>Fund Sources</t>
  </si>
  <si>
    <t>$ Amount</t>
  </si>
  <si>
    <t>Permanent First Mortgage Loan Principal</t>
  </si>
  <si>
    <t>Permanent Second Mortgage Loan Principal</t>
  </si>
  <si>
    <t>Non-Governmental Cash Flow Notes</t>
  </si>
  <si>
    <t>Existing Account Balances:</t>
  </si>
  <si>
    <t xml:space="preserve">     Reserve for Replacement</t>
  </si>
  <si>
    <t>Owner Contribution:</t>
  </si>
  <si>
    <t xml:space="preserve">     Deferred Developer Fee</t>
  </si>
  <si>
    <t xml:space="preserve">     Lease-Up Reserves</t>
  </si>
  <si>
    <t xml:space="preserve">     Operating Reserves</t>
  </si>
  <si>
    <t>Architect's Fee - Design</t>
  </si>
  <si>
    <t xml:space="preserve">     1: Other</t>
  </si>
  <si>
    <t>Architect's Fee - Supervisory</t>
  </si>
  <si>
    <t xml:space="preserve">     2: Other</t>
  </si>
  <si>
    <t>Interest During Construction</t>
  </si>
  <si>
    <t xml:space="preserve">     3: Other</t>
  </si>
  <si>
    <t>Taxes</t>
  </si>
  <si>
    <t xml:space="preserve">     4: Other </t>
  </si>
  <si>
    <t>Insurance</t>
  </si>
  <si>
    <t xml:space="preserve">     5: Other</t>
  </si>
  <si>
    <t>Other Sources Needed to Balance</t>
  </si>
  <si>
    <t>Examination Fee</t>
  </si>
  <si>
    <t>Total Funding Sources</t>
  </si>
  <si>
    <t>Inspection Fee</t>
  </si>
  <si>
    <t>Financing Fee</t>
  </si>
  <si>
    <t>Title and Recording</t>
  </si>
  <si>
    <t>Taxpayer Closing Costs</t>
  </si>
  <si>
    <t>Organization</t>
  </si>
  <si>
    <t>Cost Certification Audit Fee</t>
  </si>
  <si>
    <t>Fund Uses</t>
  </si>
  <si>
    <t>Relocation Expenses</t>
  </si>
  <si>
    <t>Rehabilitation Hard Costs</t>
  </si>
  <si>
    <t>Developer Fee (Including All</t>
  </si>
  <si>
    <t>Total Soft Costs</t>
  </si>
  <si>
    <t>Acquisition Costs:</t>
  </si>
  <si>
    <t xml:space="preserve">    Land Only</t>
  </si>
  <si>
    <t>Lender Legal</t>
  </si>
  <si>
    <t xml:space="preserve">    Buildings Only</t>
  </si>
  <si>
    <t>Origination Fee (Construction)</t>
  </si>
  <si>
    <t xml:space="preserve">     Other</t>
  </si>
  <si>
    <t>Taxpayer Counsel</t>
  </si>
  <si>
    <t>Survey</t>
  </si>
  <si>
    <t xml:space="preserve">     Demolition</t>
  </si>
  <si>
    <t>Audit Fees</t>
  </si>
  <si>
    <t>Construction Loan/Financing Fees</t>
  </si>
  <si>
    <t>Total Development Costs</t>
  </si>
  <si>
    <t>Initial Operating Deficit Reserve</t>
  </si>
  <si>
    <t>Initial Deposit to Replacement Reserve</t>
  </si>
  <si>
    <t>Total Use of Funds</t>
  </si>
  <si>
    <t>Total Fundable Soft Costs:</t>
  </si>
  <si>
    <t>Certification</t>
  </si>
  <si>
    <t>Project Schedule</t>
  </si>
  <si>
    <t>Enter Project Schedule</t>
  </si>
  <si>
    <t>Scheduled Date</t>
  </si>
  <si>
    <t xml:space="preserve">Activity  </t>
  </si>
  <si>
    <t>(mm/dd/yyyy)</t>
  </si>
  <si>
    <t>A.</t>
  </si>
  <si>
    <t>SITE</t>
  </si>
  <si>
    <t xml:space="preserve">Option/Contract  </t>
  </si>
  <si>
    <t xml:space="preserve">Site Acquisition                </t>
  </si>
  <si>
    <t xml:space="preserve">Zoning Approval    </t>
  </si>
  <si>
    <t>Site Analysis</t>
  </si>
  <si>
    <t>Environmental Clearance</t>
  </si>
  <si>
    <t>B.</t>
  </si>
  <si>
    <t>FINANCING</t>
  </si>
  <si>
    <t>1.</t>
  </si>
  <si>
    <t>Construction Loan/Interim Financing</t>
  </si>
  <si>
    <t xml:space="preserve">Loan Application                      </t>
  </si>
  <si>
    <t xml:space="preserve">Conditional Commitment              </t>
  </si>
  <si>
    <t xml:space="preserve">Firm Commitment           </t>
  </si>
  <si>
    <t>2.</t>
  </si>
  <si>
    <t>Permanent Loan</t>
  </si>
  <si>
    <t>3.</t>
  </si>
  <si>
    <t>Other Loans and Grants</t>
  </si>
  <si>
    <t>Type &amp; Source</t>
  </si>
  <si>
    <t xml:space="preserve">Application </t>
  </si>
  <si>
    <t xml:space="preserve">Award </t>
  </si>
  <si>
    <t>4.</t>
  </si>
  <si>
    <t>C.</t>
  </si>
  <si>
    <t xml:space="preserve">PLANS AND SPECIFICATIONS, </t>
  </si>
  <si>
    <t>WORKING DRAWINGS</t>
  </si>
  <si>
    <t>D.</t>
  </si>
  <si>
    <t xml:space="preserve">CLOSING AND TRANSFER OF PROPERTY  </t>
  </si>
  <si>
    <t>E.</t>
  </si>
  <si>
    <t xml:space="preserve">CONSTRUCTION START </t>
  </si>
  <si>
    <t>10% Construction complete</t>
  </si>
  <si>
    <t>50% Construction complete</t>
  </si>
  <si>
    <t>90% Construction complete</t>
  </si>
  <si>
    <t>F.</t>
  </si>
  <si>
    <t>COMPLETION DATE</t>
  </si>
  <si>
    <t>G.</t>
  </si>
  <si>
    <t>CERTIFICATE OF OCCUPANCY DATE</t>
  </si>
  <si>
    <t>H.</t>
  </si>
  <si>
    <t>I.</t>
  </si>
  <si>
    <t>IN SERVICE</t>
  </si>
  <si>
    <t>J.</t>
  </si>
  <si>
    <t>B. Specify units to be dedicated to each of the following income classes</t>
  </si>
  <si>
    <t>Pro forma Calculation</t>
  </si>
  <si>
    <t>Prior</t>
  </si>
  <si>
    <t>Baseline</t>
  </si>
  <si>
    <t>Inflation</t>
  </si>
  <si>
    <t>Audit</t>
  </si>
  <si>
    <t>Application</t>
  </si>
  <si>
    <t>Rate</t>
  </si>
  <si>
    <t>Income Statement</t>
  </si>
  <si>
    <t xml:space="preserve">Residential- </t>
  </si>
  <si>
    <t xml:space="preserve">     Rental Income GROSS VACANCY</t>
  </si>
  <si>
    <t xml:space="preserve">     Rental Income NET VACANCY</t>
  </si>
  <si>
    <t xml:space="preserve">Stores &amp; Commercial- </t>
  </si>
  <si>
    <t>Total Rental Income:</t>
  </si>
  <si>
    <t xml:space="preserve">Vacancies: Enter as Negative </t>
  </si>
  <si>
    <t xml:space="preserve">Apartments- </t>
  </si>
  <si>
    <t xml:space="preserve">Garage &amp; Parking Spaces- </t>
  </si>
  <si>
    <t xml:space="preserve">Miscellaneous Concessions- </t>
  </si>
  <si>
    <t>Total Vacancies:</t>
  </si>
  <si>
    <t>Net Rental Income:</t>
  </si>
  <si>
    <t xml:space="preserve">Other Income &amp; Bad Debt </t>
  </si>
  <si>
    <t xml:space="preserve">Laundry &amp; Vending- </t>
  </si>
  <si>
    <t xml:space="preserve">NSF, Damages &amp; Late Charges, Other- </t>
  </si>
  <si>
    <t>Total Other Income:</t>
  </si>
  <si>
    <t>EFFECTIVE GROSS INCOME</t>
  </si>
  <si>
    <t xml:space="preserve">Admin. Exps </t>
  </si>
  <si>
    <t>Advertising-</t>
  </si>
  <si>
    <t>Admin. Exps.-</t>
  </si>
  <si>
    <t xml:space="preserve">Office Salaries- </t>
  </si>
  <si>
    <t xml:space="preserve">Office Supplies- </t>
  </si>
  <si>
    <t xml:space="preserve">Management Fee- </t>
  </si>
  <si>
    <t xml:space="preserve">Management or Super. Sal.-  </t>
  </si>
  <si>
    <t xml:space="preserve">Mgmt. or Super. Free Rent Unit- </t>
  </si>
  <si>
    <t xml:space="preserve">Legal Expenses (Project)- </t>
  </si>
  <si>
    <t xml:space="preserve">Auditing Exps. (Project)- </t>
  </si>
  <si>
    <t xml:space="preserve">Bookkeeping Fees/Acct. Services- </t>
  </si>
  <si>
    <t xml:space="preserve">Miscellaneous Admin. Exps- </t>
  </si>
  <si>
    <t xml:space="preserve">Total Admin. Less Management Fee: </t>
  </si>
  <si>
    <t>Total Admin. Exps.:</t>
  </si>
  <si>
    <t xml:space="preserve">Utilities Expense </t>
  </si>
  <si>
    <t xml:space="preserve">Fuel Oil/Coal- </t>
  </si>
  <si>
    <t xml:space="preserve">Fuel for Domestic Hot Water- </t>
  </si>
  <si>
    <t xml:space="preserve">Electricity (Light &amp; Misc. Power)- </t>
  </si>
  <si>
    <t xml:space="preserve">Water- </t>
  </si>
  <si>
    <t xml:space="preserve">Gas- </t>
  </si>
  <si>
    <t xml:space="preserve">Sewer- </t>
  </si>
  <si>
    <t>Total Utilities Exps.:</t>
  </si>
  <si>
    <t xml:space="preserve">O &amp; M Expenses </t>
  </si>
  <si>
    <t xml:space="preserve">O&amp;M Payroll- </t>
  </si>
  <si>
    <t xml:space="preserve">O&amp;M Supplies- </t>
  </si>
  <si>
    <t xml:space="preserve">O&amp;M Contract- </t>
  </si>
  <si>
    <t xml:space="preserve">Garbage &amp; Trash Removal- </t>
  </si>
  <si>
    <t xml:space="preserve">Security Payroll/Contract- </t>
  </si>
  <si>
    <t xml:space="preserve">Elevator Maintenance/Contract- </t>
  </si>
  <si>
    <t xml:space="preserve">Other Expenses-   </t>
  </si>
  <si>
    <t xml:space="preserve">Misc. O &amp; M Expenses- </t>
  </si>
  <si>
    <t>Neighborhood Network-</t>
  </si>
  <si>
    <t>Total O &amp; M Expenses:</t>
  </si>
  <si>
    <t xml:space="preserve">Taxes &amp; Insurance </t>
  </si>
  <si>
    <t xml:space="preserve">Real Estate Taxes- </t>
  </si>
  <si>
    <t xml:space="preserve">Payroll Taxes (FICA)-  </t>
  </si>
  <si>
    <t xml:space="preserve">Misc. Taxes, Licenses, &amp; Permits- </t>
  </si>
  <si>
    <t xml:space="preserve">Property &amp; Liability Insurance- </t>
  </si>
  <si>
    <t xml:space="preserve">Fidelity Bond Insurance- </t>
  </si>
  <si>
    <t xml:space="preserve">Workmen's Compensation- </t>
  </si>
  <si>
    <t xml:space="preserve">Health Ins. &amp; Other Emp.Benefits- </t>
  </si>
  <si>
    <t xml:space="preserve">Other Insurance- </t>
  </si>
  <si>
    <t>Total Taxes &amp; Insurance:</t>
  </si>
  <si>
    <t>TOTAL OPERATING EXPENSES:</t>
  </si>
  <si>
    <t>NET OPERATING INCOME:</t>
  </si>
  <si>
    <t>Replacement Reserves</t>
  </si>
  <si>
    <t>ADJUSTED NET OPERATING INCOME</t>
  </si>
  <si>
    <t>DEBT SERVICE</t>
  </si>
  <si>
    <t>FIRST MORTGAGE DEBT SERVICE:</t>
  </si>
  <si>
    <t>SECOND MORTGAGE DEBT SERVICE:</t>
  </si>
  <si>
    <t>CASH FLOW AVAILABLE</t>
  </si>
  <si>
    <t>Distribution to Owner</t>
  </si>
  <si>
    <t>Advance to related parties</t>
  </si>
  <si>
    <t>Pro Forma</t>
  </si>
  <si>
    <t>$Amt</t>
  </si>
  <si>
    <t>$/Unit</t>
  </si>
  <si>
    <t>$ Amt</t>
  </si>
  <si>
    <t>Income</t>
  </si>
  <si>
    <t xml:space="preserve">     Total Rental Income:</t>
  </si>
  <si>
    <t xml:space="preserve">     Total Vacancy</t>
  </si>
  <si>
    <t xml:space="preserve">     Total Other Income:</t>
  </si>
  <si>
    <t>Effective Gross Income (EGI)</t>
  </si>
  <si>
    <t>Expenses</t>
  </si>
  <si>
    <t xml:space="preserve">     Management Fees</t>
  </si>
  <si>
    <t xml:space="preserve">     Other Administrative</t>
  </si>
  <si>
    <t xml:space="preserve">     Total Utility Expense</t>
  </si>
  <si>
    <t xml:space="preserve">     Total O&amp;M Expense</t>
  </si>
  <si>
    <t xml:space="preserve">     Real Estate Taxes</t>
  </si>
  <si>
    <t>CHECKLIST &amp; REQUIRED APPLICATION ORDER</t>
  </si>
  <si>
    <t>Checklist &amp; Required Application Order</t>
  </si>
  <si>
    <t>Applicant and Development Team Information</t>
  </si>
  <si>
    <t>Color Photographs</t>
  </si>
  <si>
    <t>Other projects under construction by members of the Development Team and</t>
  </si>
  <si>
    <t>Capital Needs Assessment (for rehab projects only)</t>
  </si>
  <si>
    <t>Architectural and Minimum Project Design Requirement</t>
  </si>
  <si>
    <t xml:space="preserve">Appendix 7 </t>
  </si>
  <si>
    <t>APPLICANT CERTIFICATION</t>
  </si>
  <si>
    <t xml:space="preserve">The Applicant hereby certifies that the project can be completed and operated within the budget set forth in the Application.  </t>
  </si>
  <si>
    <t>Total rehab contract if items not itemized, attach contract</t>
  </si>
  <si>
    <t xml:space="preserve">   Site Work (Utilities and Improvements)</t>
  </si>
  <si>
    <t xml:space="preserve">   Doors</t>
  </si>
  <si>
    <t xml:space="preserve">   Structure / Foundation/Framing</t>
  </si>
  <si>
    <t>Total construction contract amount if not itemized, attach contract</t>
  </si>
  <si>
    <t xml:space="preserve">   Project Street Address, City &amp; Zip Code:</t>
  </si>
  <si>
    <t xml:space="preserve">   Census Tract:</t>
  </si>
  <si>
    <t>Affirmative Marketing Plan Form (AFHM-98)</t>
  </si>
  <si>
    <t>Lead Based Paint Strategy (Pre-1978 Projects Only)</t>
  </si>
  <si>
    <t xml:space="preserve">   Applicant Name: </t>
  </si>
  <si>
    <t xml:space="preserve">   Applicant Address:</t>
  </si>
  <si>
    <t xml:space="preserve">   Applicant City, State &amp; Zip:</t>
  </si>
  <si>
    <t xml:space="preserve">   Legal Structure of Applicant: </t>
  </si>
  <si>
    <t xml:space="preserve">   Does Applicant have identity of interest with Contractor?:</t>
  </si>
  <si>
    <t xml:space="preserve">     Insurance</t>
  </si>
  <si>
    <t xml:space="preserve">     All other Taxes &amp; Insurance</t>
  </si>
  <si>
    <t>Total Expenses</t>
  </si>
  <si>
    <t>Net Operating Income</t>
  </si>
  <si>
    <t>Replacement Reserves Contribution</t>
  </si>
  <si>
    <t>Adjusted Net Operating Income</t>
  </si>
  <si>
    <t xml:space="preserve"> Debt Service</t>
  </si>
  <si>
    <t xml:space="preserve">     1st Mortgage </t>
  </si>
  <si>
    <t xml:space="preserve">     2nd Mortgage as Calculated</t>
  </si>
  <si>
    <t xml:space="preserve">     Other Loan</t>
  </si>
  <si>
    <t>Total Debt Service</t>
  </si>
  <si>
    <t>CashFlow</t>
  </si>
  <si>
    <t>Debt Service Coverage Ratios</t>
  </si>
  <si>
    <t>1st Mortgage</t>
  </si>
  <si>
    <t>All Debt</t>
  </si>
  <si>
    <t>Break Even Analysis</t>
  </si>
  <si>
    <t>Break - Even Cashflow Ratio</t>
  </si>
  <si>
    <t>Break - Even Number of Units</t>
  </si>
  <si>
    <t>Expense Cushion</t>
  </si>
  <si>
    <t>Cash Flow / Total Expenses</t>
  </si>
  <si>
    <t>Amortization</t>
  </si>
  <si>
    <t>Owner Distribution</t>
  </si>
  <si>
    <t>Year</t>
  </si>
  <si>
    <t>BegBal</t>
  </si>
  <si>
    <t>Accrd Int</t>
  </si>
  <si>
    <t>CF</t>
  </si>
  <si>
    <t>Pmt</t>
  </si>
  <si>
    <t>EndBal</t>
  </si>
  <si>
    <t>Cash Flow</t>
  </si>
  <si>
    <t>Projected Cash Flow to owner over term of first loan</t>
  </si>
  <si>
    <t>Discounted Cash Flow to owner over term of first loan</t>
  </si>
  <si>
    <t>Eligible Applicant</t>
  </si>
  <si>
    <t>Federal Civil Rights Legislation Compliance ?</t>
  </si>
  <si>
    <t>Program Participants in Good Standing?</t>
  </si>
  <si>
    <t xml:space="preserve">   New Construction or Rehab?</t>
  </si>
  <si>
    <t>Applicant has provided evidence of site control ?</t>
  </si>
  <si>
    <t>Zoning demonstrated for residential use on each site ?</t>
  </si>
  <si>
    <t>Local PHA utility allowance schedule used ?</t>
  </si>
  <si>
    <t>Sources and uses balance ?</t>
  </si>
  <si>
    <t>Proposal has a Hard Debt Service Coverage Ratio of at least 1.15 ?</t>
  </si>
  <si>
    <t>Reserves funded over 15-year compliance period ?</t>
  </si>
  <si>
    <t>Reserve Deposits between $250 and $400 per unit ?</t>
  </si>
  <si>
    <t>Photographs and Site Maps provided ?</t>
  </si>
  <si>
    <t>Development Team Documents Provided ?</t>
  </si>
  <si>
    <t>Architectural Submissions Provided ?</t>
  </si>
  <si>
    <t>Lead- Based Paint Strategy Provided where necessary ?</t>
  </si>
  <si>
    <t>Units have sufficient bathrooms ?</t>
  </si>
  <si>
    <t>Project has central HVAC ?</t>
  </si>
  <si>
    <t>All entrances meet ADAAG standards for width and threshold ?</t>
  </si>
  <si>
    <t>Bedrooms are at least 8'X10' ?</t>
  </si>
  <si>
    <t>At least 5% of rental units are accessible to persons with mobility impairments and 3% for sensory impairments ?</t>
  </si>
  <si>
    <t>At least 5% of HOMEOWNERSHIP units are accessible to persons with mobility impairments ?</t>
  </si>
  <si>
    <t>Number of PSH Units</t>
  </si>
  <si>
    <t>Total Number of Units</t>
  </si>
  <si>
    <t>Net CashFlow</t>
  </si>
  <si>
    <t>Developer Fee Repayment</t>
  </si>
  <si>
    <t>Application Fees</t>
  </si>
  <si>
    <t>Provide Resume</t>
  </si>
  <si>
    <t>Provide Resume if available</t>
  </si>
  <si>
    <t>Cash Value Contribution for this Project</t>
  </si>
  <si>
    <t>Note: Not having prior years data does not automatically disqualify cash contribution. Provide past year data where appropriate.</t>
  </si>
  <si>
    <t xml:space="preserve">Loan Servicer (if known): </t>
  </si>
  <si>
    <t>Soft Costs</t>
  </si>
  <si>
    <t xml:space="preserve">   Housing Description</t>
  </si>
  <si>
    <t>Is Rehab on vacant units and substantial ? (No rehab = N/A)</t>
  </si>
  <si>
    <t>50% of AMI</t>
  </si>
  <si>
    <t>80% of AMI</t>
  </si>
  <si>
    <t>Rehab</t>
  </si>
  <si>
    <t>Acadia Parish</t>
  </si>
  <si>
    <t>Allen Parish</t>
  </si>
  <si>
    <t>Ascension Parish</t>
  </si>
  <si>
    <t>Assumption Parish</t>
  </si>
  <si>
    <t>Avoyelles Parish</t>
  </si>
  <si>
    <t>Beauregard Parish</t>
  </si>
  <si>
    <t>Bienville Parish</t>
  </si>
  <si>
    <t>Bossier Parish</t>
  </si>
  <si>
    <t>Caddo Parish</t>
  </si>
  <si>
    <t>Calcasieu Parish</t>
  </si>
  <si>
    <t>Caldwell Parish</t>
  </si>
  <si>
    <t>Cameron Parish</t>
  </si>
  <si>
    <t>Catahoula Parish</t>
  </si>
  <si>
    <t>Claiborne Parish</t>
  </si>
  <si>
    <t>Concordia Parish</t>
  </si>
  <si>
    <t>De Soto Parish</t>
  </si>
  <si>
    <t>East Baton Rouge Parish</t>
  </si>
  <si>
    <t>East Carroll Parish</t>
  </si>
  <si>
    <t>East Feliciana Parish</t>
  </si>
  <si>
    <t>Evangeline Parish</t>
  </si>
  <si>
    <t>Grant Parish</t>
  </si>
  <si>
    <t>Iberia Parish</t>
  </si>
  <si>
    <t>Iberville Parish</t>
  </si>
  <si>
    <t>Jackson Parish</t>
  </si>
  <si>
    <t>Jefferson Parish</t>
  </si>
  <si>
    <t>Jefferson Davis Parish</t>
  </si>
  <si>
    <t>Lafayette Parish</t>
  </si>
  <si>
    <t>Lafourche Parish</t>
  </si>
  <si>
    <t>La Salle Parish</t>
  </si>
  <si>
    <t>Lincoln Parish</t>
  </si>
  <si>
    <t>Livingston Parish</t>
  </si>
  <si>
    <t>Madison Parish</t>
  </si>
  <si>
    <t>Morehouse Parish</t>
  </si>
  <si>
    <t>Natchitoches Parish</t>
  </si>
  <si>
    <t>Orleans Parish</t>
  </si>
  <si>
    <t>Ouachita Parish</t>
  </si>
  <si>
    <t>Plaquemines Parish</t>
  </si>
  <si>
    <t>Pointe Coupee Parish</t>
  </si>
  <si>
    <t>Rapides Parish</t>
  </si>
  <si>
    <t>Red River Parish</t>
  </si>
  <si>
    <t>Richland Parish</t>
  </si>
  <si>
    <t>Sabine Parish</t>
  </si>
  <si>
    <t>St. Bernard Parish</t>
  </si>
  <si>
    <t>St. Charles Parish</t>
  </si>
  <si>
    <t>St. Helena Parish</t>
  </si>
  <si>
    <t>St. James Parish</t>
  </si>
  <si>
    <t>St. John the Baptist Parish</t>
  </si>
  <si>
    <t>St. Landry Parish</t>
  </si>
  <si>
    <t>St. Martin Parish</t>
  </si>
  <si>
    <t>St. Mary Parish</t>
  </si>
  <si>
    <t>St. Tammany Parish</t>
  </si>
  <si>
    <t>Tangipahoa Parish</t>
  </si>
  <si>
    <t>Tensas Parish</t>
  </si>
  <si>
    <t>Terrebonne Parish</t>
  </si>
  <si>
    <t>Union Parish</t>
  </si>
  <si>
    <t>Vermilion Parish</t>
  </si>
  <si>
    <t>Vernon Parish</t>
  </si>
  <si>
    <t>Washington Parish</t>
  </si>
  <si>
    <t>Webster Parish</t>
  </si>
  <si>
    <t>West Baton Rouge Parish</t>
  </si>
  <si>
    <t>West Carroll Parish</t>
  </si>
  <si>
    <t>West Feliciana Parish</t>
  </si>
  <si>
    <t>Winn Parish</t>
  </si>
  <si>
    <t>Architect:</t>
  </si>
  <si>
    <t>Developer fee, consulting fees and overhead less than 15% of total rehab and new construction ?</t>
  </si>
  <si>
    <t>All appliances are energy efficient (energy star) ?</t>
  </si>
  <si>
    <t>Eligibility</t>
  </si>
  <si>
    <t>Affirmative Marketing Plan Complete?</t>
  </si>
  <si>
    <t>Discount</t>
  </si>
  <si>
    <t xml:space="preserve">   Purchase Price</t>
  </si>
  <si>
    <t>Consultant:</t>
  </si>
  <si>
    <t>Non-Profit Bookkeeping</t>
  </si>
  <si>
    <t>Temporary Construction Loan</t>
  </si>
  <si>
    <t>Other Matching Sources</t>
  </si>
  <si>
    <t>Non Profit Entity</t>
  </si>
  <si>
    <t>Last Year</t>
  </si>
  <si>
    <t xml:space="preserve">2 years ago </t>
  </si>
  <si>
    <t xml:space="preserve">3 years ago </t>
  </si>
  <si>
    <t>Notes</t>
  </si>
  <si>
    <t>Prior Years value where applicable</t>
  </si>
  <si>
    <t>Volunteer labor</t>
  </si>
  <si>
    <t>Checklist</t>
  </si>
  <si>
    <t>Required</t>
  </si>
  <si>
    <t>Included</t>
  </si>
  <si>
    <t>Signature</t>
  </si>
  <si>
    <t>--</t>
  </si>
  <si>
    <t>a)</t>
  </si>
  <si>
    <t>b)</t>
  </si>
  <si>
    <t>c)</t>
  </si>
  <si>
    <t>Pro Forma Calculation</t>
  </si>
  <si>
    <t>Documents in Support of Applicant Information</t>
  </si>
  <si>
    <t>Appendix 1</t>
  </si>
  <si>
    <t>Documents in Support of Property Information</t>
  </si>
  <si>
    <t>Appendix 2</t>
  </si>
  <si>
    <t>i)</t>
  </si>
  <si>
    <t>ii)</t>
  </si>
  <si>
    <t>iii)</t>
  </si>
  <si>
    <t>Legal descriptions</t>
  </si>
  <si>
    <t>Map</t>
  </si>
  <si>
    <t>Appendix 3</t>
  </si>
  <si>
    <t>Appendix 4</t>
  </si>
  <si>
    <t>Zoning Evidence</t>
  </si>
  <si>
    <t>Other documents related to zoning</t>
  </si>
  <si>
    <t>d)</t>
  </si>
  <si>
    <t>Appendix 5</t>
  </si>
  <si>
    <t xml:space="preserve">Appraisal </t>
  </si>
  <si>
    <t>e)</t>
  </si>
  <si>
    <t xml:space="preserve">Appendix 6 </t>
  </si>
  <si>
    <t>Documents in Support of Sources and Uses</t>
  </si>
  <si>
    <t>Financing Commitments (obtain from bank, etc.)</t>
  </si>
  <si>
    <t>Appendix 8</t>
  </si>
  <si>
    <t>Appendix 10</t>
  </si>
  <si>
    <t>Appendix 11</t>
  </si>
  <si>
    <t>Appendix 12</t>
  </si>
  <si>
    <t>Appendix 13</t>
  </si>
  <si>
    <t>Appendix 14</t>
  </si>
  <si>
    <t>Appendix 15</t>
  </si>
  <si>
    <t>f)</t>
  </si>
  <si>
    <t>Appendix 16</t>
  </si>
  <si>
    <t>g)</t>
  </si>
  <si>
    <t>Appendix 17</t>
  </si>
  <si>
    <t xml:space="preserve">Description of Amenities. </t>
  </si>
  <si>
    <t>Description of Community Facilities.</t>
  </si>
  <si>
    <t>k)</t>
  </si>
  <si>
    <t>l)</t>
  </si>
  <si>
    <t>m)</t>
  </si>
  <si>
    <t xml:space="preserve">   Maximum HOME FUNDS Requested:</t>
  </si>
  <si>
    <t>HOME FUNDS Eligibility Issues</t>
  </si>
  <si>
    <t>All households below 80% AMI?</t>
  </si>
  <si>
    <t>Rental Lease Term is at least 12 Months?</t>
  </si>
  <si>
    <t>Commitments on all non-HOME FUNDS sources ?</t>
  </si>
  <si>
    <t>Total soft costs less than 20% of total project costs ?</t>
  </si>
  <si>
    <t>Proposals financially feasible without HOME funding ?</t>
  </si>
  <si>
    <t>HOME Requested</t>
  </si>
  <si>
    <t>Managing Member/Partner:</t>
  </si>
  <si>
    <t>LHC</t>
  </si>
  <si>
    <t>HOME LOAN SUBSIDY</t>
  </si>
  <si>
    <t>HOME FUNDS</t>
  </si>
  <si>
    <t>Mortgage Insurance Premium</t>
  </si>
  <si>
    <t>LHC Fees</t>
  </si>
  <si>
    <t>HOME FUNDS DEBT SERVICE</t>
  </si>
  <si>
    <t>The undersigned Applicant (or duly authorized representative of the same) hereby certifies that the information contained in the Louisiana Housing Corporation HOME Funds Application Package (the “Application”), including all Appendices and Exhibits attached hereto, is complete and accurate as of the date hereof.  The undersigned acknowledges that the information provided in this Application Package or in any other document, release or communication by the Louisiana Housing Corporation (the "LHC") has not been relied upon for purpose of making any investment decision by the Applicant and that any and all expenses and investments with respect to this application for a reservation of HOME Funds have been or will be made on the basis of an independent judgment by the Applicant or upon consultation with a qualified housing development consultant.</t>
  </si>
  <si>
    <t xml:space="preserve">The Applicant represents that it will furnish promptly a development timetable and such other supporting information and documents as may be requested and/or required by the LHC and that any failure to achieve the benchmarks contained in any timetable requested by the LHC may result in the rescission or recapture of HOME Fuunds.  In carrying out the development and/or operation of the project, the Applicant agrees to comply with all applicable federal and state laws regarding unlawful discrimination and will abide by all LHC rules and regulations.  The Applicant understands and agrees that the LHC is not responsible for actions taken by the Applicant in reliance on a prospective reservation of HOME Funds by the LHC and the Applicant further agrees that the LHC, its employees, agents and/or consultants shall not be responsible or liable in any manner whatsoever for expenses incurred by Applicant or its consultants in applying for HOME Funds. </t>
  </si>
  <si>
    <t>By execution of this Application, the Applicant understands and agrees that the LHC may conduct its own independent review and analysis of the information contained herein and in the attachments hereto, that any such review and analysis will be made for the protection of the LHC.  It is further understood and agreed by the Applicant that, for the purpose of determining and establishing the terms and conditions under which the allocation may be made, the LHC may request or require adjustment or changes in the information contained herein (including attachments hereto) or in any documentation or materials now or hereafter submitted in connection with this Application.</t>
  </si>
  <si>
    <t>List of prior projects using LHC programs</t>
  </si>
  <si>
    <t>Points</t>
  </si>
  <si>
    <t xml:space="preserve">Proposed projects will be reviewed and scored on a competitive basis relative to the evaluation criteria below. </t>
  </si>
  <si>
    <t xml:space="preserve">   Applicant Email Address</t>
  </si>
  <si>
    <t xml:space="preserve">   Applicant DUNS Number</t>
  </si>
  <si>
    <t>HOME Request:</t>
  </si>
  <si>
    <t xml:space="preserve">   Project Type</t>
  </si>
  <si>
    <t>CHDO Rental Development</t>
  </si>
  <si>
    <t>Rental Development (Non-CHDO)</t>
  </si>
  <si>
    <t xml:space="preserve">   Total Units</t>
  </si>
  <si>
    <t>Proposed Rent Mechanism</t>
  </si>
  <si>
    <t>Maximum HOME Rents Allowed</t>
  </si>
  <si>
    <t>COMPLETED PROJECTS</t>
  </si>
  <si>
    <t>Name of Project</t>
  </si>
  <si>
    <t>Address</t>
  </si>
  <si>
    <t># of Units</t>
  </si>
  <si>
    <t>New or Rehab</t>
  </si>
  <si>
    <t>For Rent or Homeownership</t>
  </si>
  <si>
    <t>LHC Assisted</t>
  </si>
  <si>
    <t>Project Start Date</t>
  </si>
  <si>
    <t>Comments/Challenges</t>
  </si>
  <si>
    <t>New</t>
  </si>
  <si>
    <t>Rental</t>
  </si>
  <si>
    <t>Homeownership</t>
  </si>
  <si>
    <t>Positive or Negative Cash Flow*                 (For Rental Only)</t>
  </si>
  <si>
    <t>Positive</t>
  </si>
  <si>
    <t>Negative</t>
  </si>
  <si>
    <t>* Provide financials to support Cash Flow position.</t>
  </si>
  <si>
    <t>For each project identified above that is currently operating with a negative cash flow provide a narrative on how this challenge is being met.</t>
  </si>
  <si>
    <t>Date Constructiom Completion</t>
  </si>
  <si>
    <t>Date Lease-Up Complete or Final Unit Sold</t>
  </si>
  <si>
    <t>State Certified CHDO</t>
  </si>
  <si>
    <t xml:space="preserve">  </t>
  </si>
  <si>
    <t>If the CHDO is a joint venture, projects will be scored based on the experience of the CHDO. Where partners have approximately equal participation, the individual scores of each partner will be averaged.</t>
  </si>
  <si>
    <t>Value of Extended Affordability</t>
  </si>
  <si>
    <t>Value of Donated Professional Services (Attorney, Architect, Engineer, etc.)</t>
  </si>
  <si>
    <t>Private Contributions/ Donation Support (Non-owner)</t>
  </si>
  <si>
    <t>Waived Fees (Waived by Government)</t>
  </si>
  <si>
    <t>Value of Supportive Services Not Reimbursed by Federal Government  (United Way, Charity, etc.)</t>
  </si>
  <si>
    <t>Forgone Developer Fees</t>
  </si>
  <si>
    <t>Completed Projects</t>
  </si>
  <si>
    <t>Zoning Certification Letter or Zoning Map</t>
  </si>
  <si>
    <t>Certificate of Demand (From Market Study) Not required at application. Required upon preliminary award.</t>
  </si>
  <si>
    <t>Market Study (if bound may be included at end of application – place sheet here stating “See bound Market Study attached hereto and made a part hereof.”  Not required at application. Required upon preliminary award.</t>
  </si>
  <si>
    <t>r)</t>
  </si>
  <si>
    <r>
      <t>Items with an</t>
    </r>
    <r>
      <rPr>
        <b/>
        <sz val="12"/>
        <rFont val="Arial"/>
        <family val="2"/>
      </rPr>
      <t xml:space="preserve"> X </t>
    </r>
    <r>
      <rPr>
        <b/>
        <sz val="10"/>
        <rFont val="Arial"/>
        <family val="2"/>
      </rPr>
      <t>are required for a submission to be considered. Items included without the X do not have to be submitted for consideration but may required to receive points if applicable.</t>
    </r>
  </si>
  <si>
    <t>Utility Allowance</t>
  </si>
  <si>
    <t>s)</t>
  </si>
  <si>
    <t>Developer Services Agreement</t>
  </si>
  <si>
    <t>Louisiana Housing Corporation</t>
  </si>
  <si>
    <t>Subsidy Layering Review</t>
  </si>
  <si>
    <t>For</t>
  </si>
  <si>
    <t>Total Development Cost</t>
  </si>
  <si>
    <t>Total HOME Assistance</t>
  </si>
  <si>
    <t>Percentage of HOME Assistance</t>
  </si>
  <si>
    <t>Required Minimum Number of HOME Units</t>
  </si>
  <si>
    <t>Maximum Per Unit Subsidy (PUS 1 bedroom)</t>
  </si>
  <si>
    <t>Maximum Per Unit Subsidy (PUS 2 bedroom)</t>
  </si>
  <si>
    <t>Maximum Per Unit Subsidy (PUS 3 bedroom)</t>
  </si>
  <si>
    <t>Maximum Per Unit Subsidy (PUS 4 bedroom)</t>
  </si>
  <si>
    <t>HOME Assisted Units By Bedroom Size:</t>
  </si>
  <si>
    <t>Bedroom Size</t>
  </si>
  <si>
    <t>Total Units</t>
  </si>
  <si>
    <t>HOME Percentage</t>
  </si>
  <si>
    <t>HOME Assisted Units</t>
  </si>
  <si>
    <t>Maximum HOME Funds Per Unit Subsidy</t>
  </si>
  <si>
    <t>Maximum Allowable Subsidy</t>
  </si>
  <si>
    <t>0 BR</t>
  </si>
  <si>
    <t>1 BR</t>
  </si>
  <si>
    <t>2 BR</t>
  </si>
  <si>
    <t xml:space="preserve">2 BR </t>
  </si>
  <si>
    <t>3 BR</t>
  </si>
  <si>
    <t>4 OR MORE BR</t>
  </si>
  <si>
    <t>Maximum Per Unit Subsidy (PUS 0 bedroom)</t>
  </si>
  <si>
    <t>Bed Room Size</t>
  </si>
  <si>
    <t>Fair Market Rents</t>
  </si>
  <si>
    <t>Low HOME Rent</t>
  </si>
  <si>
    <t>High HOME Rent</t>
  </si>
  <si>
    <t>Franklin Parish</t>
  </si>
  <si>
    <t>Does Project Meet Per Unit Subsidy Rule</t>
  </si>
  <si>
    <t xml:space="preserve">   HOME Assisted Units Proposed By Developer</t>
  </si>
  <si>
    <t>Notes:</t>
  </si>
  <si>
    <t>Per Unit Subsidy Allowed based on minimum # of units)</t>
  </si>
  <si>
    <t>Per Unit limit  eligiblity</t>
  </si>
  <si>
    <t>Application includes at least a 15% match ?</t>
  </si>
  <si>
    <t>The number of HOME assisted units is determined by rounding to the next whole number across all bedroom sizes. This may result in a larger number of required units than oveall proportionality would indicate.</t>
  </si>
  <si>
    <t>% of Time Devoted to Project</t>
  </si>
  <si>
    <t>CHDO</t>
  </si>
  <si>
    <t xml:space="preserve">Comments </t>
  </si>
  <si>
    <t>CHDO Eligibility Issues</t>
  </si>
  <si>
    <t>Governing Board List</t>
  </si>
  <si>
    <t>Listing of Staff and Resumes</t>
  </si>
  <si>
    <t>Summary of Changes to Staff</t>
  </si>
  <si>
    <t>Board Authorization -- Resolution of Board of Directors Authorizing Application</t>
  </si>
  <si>
    <t>Not Included</t>
  </si>
  <si>
    <t>Utility Allowance Comments</t>
  </si>
  <si>
    <t>Actual Rents Comments</t>
  </si>
  <si>
    <t>Rental Subsidies Comments</t>
  </si>
  <si>
    <t>Anticipated Rent For High HOME Units</t>
  </si>
  <si>
    <t>Anticipated Rent For Low HOME Units</t>
  </si>
  <si>
    <t>Low HOME Rents</t>
  </si>
  <si>
    <t>Rent After Utilities (High)</t>
  </si>
  <si>
    <t>Rent After Utilities (Low)</t>
  </si>
  <si>
    <t>Does Activity Meet Eligiblity Test  (High Rents)</t>
  </si>
  <si>
    <t>Does Activity Meet Eligiblity Test   (Low Rents)</t>
  </si>
  <si>
    <t>Actual Hgh Rents Below Level Allowed?</t>
  </si>
  <si>
    <t>Actual Low Rents Below Level Allowed?</t>
  </si>
  <si>
    <t>Actual High Rents</t>
  </si>
  <si>
    <t>Actual Low Rents</t>
  </si>
  <si>
    <t>Other: Gross Tax Equity</t>
  </si>
  <si>
    <t>Taxpayer/Developer</t>
  </si>
  <si>
    <t>No Change</t>
  </si>
  <si>
    <t>Project Site is more than 300 feet from a railroad</t>
  </si>
  <si>
    <t>Date of Market Study ?</t>
  </si>
  <si>
    <t xml:space="preserve">Rehab Cost </t>
  </si>
  <si>
    <t>TOTAL DEVELOPMENT COSTS</t>
  </si>
  <si>
    <t>TOTAL OTHER COSTS</t>
  </si>
  <si>
    <t>New Construction Hard Costs</t>
  </si>
  <si>
    <t>HOME Funds</t>
  </si>
  <si>
    <t>Completed Project Schedules</t>
  </si>
  <si>
    <t>I</t>
  </si>
  <si>
    <t>II</t>
  </si>
  <si>
    <t>III</t>
  </si>
  <si>
    <t>IV</t>
  </si>
  <si>
    <t>VI</t>
  </si>
  <si>
    <t>V</t>
  </si>
  <si>
    <t>VII</t>
  </si>
  <si>
    <t>XI</t>
  </si>
  <si>
    <t>XII</t>
  </si>
  <si>
    <t>XIII</t>
  </si>
  <si>
    <t>Is the project in support of Public Housing?</t>
  </si>
  <si>
    <t>N/A</t>
  </si>
  <si>
    <t>TOTAL NEW CONSTRUCTION COSTS</t>
  </si>
  <si>
    <t>DATE FIRST UNIT RENTED</t>
  </si>
  <si>
    <t xml:space="preserve">DATE LAST HOME ASSISTED UNIT RENTED </t>
  </si>
  <si>
    <t>100% OF UNIT OCCUPANCY ACHIEVED</t>
  </si>
  <si>
    <t>Conversion Rehab Only</t>
  </si>
  <si>
    <t>Sample floor plans and elevations must include design features that are consistent with existing neighborhood housing stock.</t>
  </si>
  <si>
    <t>Sample schematic designs (5 points)</t>
  </si>
  <si>
    <t>Sample floor plans (10 points)</t>
  </si>
  <si>
    <t>XIV</t>
  </si>
  <si>
    <t>Development Team ( with Resumes and Relevant Experience)</t>
  </si>
  <si>
    <t>Match Leverage</t>
  </si>
  <si>
    <t>Certifications</t>
  </si>
  <si>
    <t>Appendix 9</t>
  </si>
  <si>
    <r>
      <t>EXPERIENCE AND QUALIFICATIONS (16 POINTS MAXIMUM</t>
    </r>
    <r>
      <rPr>
        <b/>
        <i/>
        <u/>
        <sz val="12"/>
        <color indexed="8"/>
        <rFont val="Times New Roman"/>
        <family val="1"/>
      </rPr>
      <t>)</t>
    </r>
  </si>
  <si>
    <r>
      <t xml:space="preserve">Developer Experience </t>
    </r>
    <r>
      <rPr>
        <b/>
        <i/>
        <sz val="12"/>
        <color indexed="8"/>
        <rFont val="Times New Roman"/>
        <family val="1"/>
      </rPr>
      <t>(</t>
    </r>
    <r>
      <rPr>
        <b/>
        <sz val="12"/>
        <color indexed="8"/>
        <rFont val="Times New Roman"/>
        <family val="1"/>
      </rPr>
      <t>10 points</t>
    </r>
    <r>
      <rPr>
        <b/>
        <i/>
        <sz val="12"/>
        <color indexed="8"/>
        <rFont val="Times New Roman"/>
        <family val="1"/>
      </rPr>
      <t>)</t>
    </r>
    <r>
      <rPr>
        <b/>
        <sz val="12"/>
        <color indexed="8"/>
        <rFont val="Times New Roman"/>
        <family val="1"/>
      </rPr>
      <t xml:space="preserve"> [NON-CHDOs ONLY]</t>
    </r>
  </si>
  <si>
    <t>Points are awarded for completing affordable housing projects on time and within budget in the last 5 years (by the developer).  2 points will be awarded for each project meeting these criteria up to a total of 10 points.</t>
  </si>
  <si>
    <r>
      <t xml:space="preserve">Developer Financial Strength </t>
    </r>
    <r>
      <rPr>
        <b/>
        <i/>
        <sz val="12"/>
        <color indexed="8"/>
        <rFont val="Times New Roman"/>
        <family val="1"/>
      </rPr>
      <t>(</t>
    </r>
    <r>
      <rPr>
        <b/>
        <sz val="12"/>
        <color indexed="8"/>
        <rFont val="Times New Roman"/>
        <family val="1"/>
      </rPr>
      <t>6 points) [NON-CHDOs ONLY]</t>
    </r>
  </si>
  <si>
    <t xml:space="preserve">Points are awarded based on certified financial statements by an independent C.P.A. from the past 2 years, and the ability to sustain the costs of effectively following through with the current application. </t>
  </si>
  <si>
    <t>CHDOs ONLY  (60 POINTS MAXIMUM)</t>
  </si>
  <si>
    <t>CHDO Experience (12 points) (CHDOs Only)</t>
  </si>
  <si>
    <t>Points are awarded for completing affordable housing projects on time and within budget in the last 5 years (by the CHDO, not other team members).  2 points will be awarded for each project meeting these criteria up to a total of 12 points.</t>
  </si>
  <si>
    <t>CHDO Capacity &amp; Staffing (24 points) (CHDOs Only)</t>
  </si>
  <si>
    <t>Points are awarded based on evidence that the lead staff, including the Project Manager and supervisory staff working on this specific project, proposed to work on the current proposal have the necessary experience, and that the Project Manager has the necessary time availability.</t>
  </si>
  <si>
    <t xml:space="preserve">(Up to 20 points) 20 points maybe awarded for staff experience (up to 12 points for contracted staff). </t>
  </si>
  <si>
    <t>(Up to 4 points) 4 points may be awarded for time availability. Where both staff and contracted staff are used the score will be averaged.</t>
  </si>
  <si>
    <t>CHDO Financial Strength (24 points) (CHDOs Only)</t>
  </si>
  <si>
    <r>
      <t xml:space="preserve">Points are awarded based on </t>
    </r>
    <r>
      <rPr>
        <u/>
        <sz val="12"/>
        <color indexed="8"/>
        <rFont val="Times New Roman"/>
        <family val="1"/>
      </rPr>
      <t>audited</t>
    </r>
    <r>
      <rPr>
        <sz val="12"/>
        <color indexed="8"/>
        <rFont val="Times New Roman"/>
        <family val="1"/>
      </rPr>
      <t xml:space="preserve"> financial statements, by an independent C.P.A., from the past 2 years evidencing financial stability and the ability to sustain the costs of effectively following through with the current application.  This will be determined by the number, amount and percentage of other funding sources, and dependability of other funding. Percentage of earlier projects showing a positive cash flow position and the amount of available unrestricted cash on hand.</t>
    </r>
  </si>
  <si>
    <r>
      <t xml:space="preserve">Project Budget and Construction Cost Reasonableness </t>
    </r>
    <r>
      <rPr>
        <b/>
        <i/>
        <sz val="12"/>
        <color indexed="8"/>
        <rFont val="Times New Roman"/>
        <family val="1"/>
      </rPr>
      <t>(10 points)</t>
    </r>
  </si>
  <si>
    <r>
      <t xml:space="preserve">Project budget is complete and anticipated development costs to include acquisition, hard cost, soft cost; and construction cost that are necessary and reasonable. LHC will conduct a construction cost reasonableness analysis to determine </t>
    </r>
    <r>
      <rPr>
        <b/>
        <sz val="12"/>
        <color indexed="8"/>
        <rFont val="Times New Roman"/>
        <family val="1"/>
      </rPr>
      <t xml:space="preserve">if the proposed budget is within </t>
    </r>
    <r>
      <rPr>
        <sz val="12"/>
        <color indexed="8"/>
        <rFont val="Times New Roman"/>
        <family val="1"/>
      </rPr>
      <t xml:space="preserve">20% variance. </t>
    </r>
    <r>
      <rPr>
        <b/>
        <sz val="12"/>
        <color indexed="8"/>
        <rFont val="Times New Roman"/>
        <family val="1"/>
      </rPr>
      <t/>
    </r>
  </si>
  <si>
    <r>
      <t xml:space="preserve">Project Budget and Construction Cost Reasonableness </t>
    </r>
    <r>
      <rPr>
        <b/>
        <i/>
        <sz val="12"/>
        <color indexed="8"/>
        <rFont val="Times New Roman"/>
        <family val="1"/>
      </rPr>
      <t>(5 points)</t>
    </r>
  </si>
  <si>
    <r>
      <t xml:space="preserve">Project budget is complete and anticipated development costs to include acquisition, hard cost, soft cost; and construction cost that are necessary and reasonable. LHC will conduct a cost reasonableness analysis to determine </t>
    </r>
    <r>
      <rPr>
        <b/>
        <sz val="12"/>
        <color indexed="8"/>
        <rFont val="Times New Roman"/>
        <family val="1"/>
      </rPr>
      <t>if the proposed budget is outside</t>
    </r>
    <r>
      <rPr>
        <sz val="12"/>
        <color indexed="8"/>
        <rFont val="Times New Roman"/>
        <family val="1"/>
      </rPr>
      <t xml:space="preserve"> of the 20% variance.</t>
    </r>
  </si>
  <si>
    <t>FUNDING COMMITMENT (20 POINTS MAXIMUM)</t>
  </si>
  <si>
    <t>Funding Commitments:</t>
  </si>
  <si>
    <r>
      <t xml:space="preserve">Degree to which outside funding has been committed </t>
    </r>
    <r>
      <rPr>
        <b/>
        <sz val="12"/>
        <color indexed="8"/>
        <rFont val="Times New Roman"/>
        <family val="1"/>
      </rPr>
      <t>(20 points).</t>
    </r>
  </si>
  <si>
    <t>Fully executed funding commitments, detailing the terms and conditions, must be provided to receive points. Letters of Interest are not sufficient.  Points are awarded based on proportionality of such commitments.  If the terms and conditions in the funding commitments are not acceptable to the LHC the funding commitment shall not be considered.</t>
  </si>
  <si>
    <t>LEVERAGING (15 POINTS MAXIMUM)</t>
  </si>
  <si>
    <t>Percentage of HOME Program Funding Relative to Total Project Costs:</t>
  </si>
  <si>
    <r>
      <t xml:space="preserve">25% or less -- </t>
    </r>
    <r>
      <rPr>
        <b/>
        <sz val="12"/>
        <color indexed="8"/>
        <rFont val="Times New Roman"/>
        <family val="1"/>
      </rPr>
      <t>(15 points)</t>
    </r>
  </si>
  <si>
    <r>
      <t xml:space="preserve">26% - 50%-- </t>
    </r>
    <r>
      <rPr>
        <b/>
        <sz val="12"/>
        <color indexed="8"/>
        <rFont val="Times New Roman"/>
        <family val="1"/>
      </rPr>
      <t>(12 points)</t>
    </r>
  </si>
  <si>
    <r>
      <t xml:space="preserve">51% - 75% -- </t>
    </r>
    <r>
      <rPr>
        <b/>
        <sz val="12"/>
        <color indexed="8"/>
        <rFont val="Times New Roman"/>
        <family val="1"/>
      </rPr>
      <t>(9 points)</t>
    </r>
  </si>
  <si>
    <r>
      <t xml:space="preserve">76% - 85% -- </t>
    </r>
    <r>
      <rPr>
        <b/>
        <sz val="12"/>
        <color indexed="8"/>
        <rFont val="Times New Roman"/>
        <family val="1"/>
      </rPr>
      <t>(6 points)</t>
    </r>
  </si>
  <si>
    <t>AVERAGE HOME SUBSIDY PER UNIT (20 POINTS MAXIMUM)</t>
  </si>
  <si>
    <t>Average HOME Subsidy per unit</t>
  </si>
  <si>
    <r>
      <t xml:space="preserve">Less than $10,000 -- </t>
    </r>
    <r>
      <rPr>
        <b/>
        <i/>
        <sz val="12"/>
        <color indexed="8"/>
        <rFont val="Times New Roman"/>
        <family val="1"/>
      </rPr>
      <t>(</t>
    </r>
    <r>
      <rPr>
        <b/>
        <sz val="12"/>
        <color indexed="8"/>
        <rFont val="Times New Roman"/>
        <family val="1"/>
      </rPr>
      <t>20 points</t>
    </r>
    <r>
      <rPr>
        <b/>
        <i/>
        <sz val="12"/>
        <color indexed="8"/>
        <rFont val="Times New Roman"/>
        <family val="1"/>
      </rPr>
      <t>)</t>
    </r>
  </si>
  <si>
    <r>
      <t xml:space="preserve">$10,001 - $20,000 – </t>
    </r>
    <r>
      <rPr>
        <b/>
        <sz val="12"/>
        <color indexed="8"/>
        <rFont val="Times New Roman"/>
        <family val="1"/>
      </rPr>
      <t>(15 points</t>
    </r>
    <r>
      <rPr>
        <sz val="12"/>
        <color indexed="8"/>
        <rFont val="Times New Roman"/>
        <family val="1"/>
      </rPr>
      <t>)</t>
    </r>
  </si>
  <si>
    <r>
      <t xml:space="preserve">$20,001 - $30,000 – </t>
    </r>
    <r>
      <rPr>
        <b/>
        <sz val="12"/>
        <color indexed="8"/>
        <rFont val="Times New Roman"/>
        <family val="1"/>
      </rPr>
      <t>(10 points)</t>
    </r>
  </si>
  <si>
    <r>
      <t xml:space="preserve">$30,001 - $40,000 – </t>
    </r>
    <r>
      <rPr>
        <b/>
        <sz val="12"/>
        <color indexed="8"/>
        <rFont val="Times New Roman"/>
        <family val="1"/>
      </rPr>
      <t>(5 points)</t>
    </r>
  </si>
  <si>
    <t>COMPETITIVE REVIEW CRITERIA</t>
  </si>
  <si>
    <r>
      <rPr>
        <b/>
        <u/>
        <sz val="12"/>
        <color indexed="8"/>
        <rFont val="Times New Roman"/>
        <family val="1"/>
      </rPr>
      <t>HOME FUND REPAYMENT (20 POINTS MAXIMUM)</t>
    </r>
    <r>
      <rPr>
        <b/>
        <sz val="12"/>
        <color indexed="8"/>
        <rFont val="Times New Roman"/>
        <family val="1"/>
      </rPr>
      <t/>
    </r>
  </si>
  <si>
    <r>
      <rPr>
        <sz val="12"/>
        <color indexed="8"/>
        <rFont val="Times New Roman"/>
        <family val="1"/>
      </rPr>
      <t xml:space="preserve"> </t>
    </r>
    <r>
      <rPr>
        <b/>
        <u/>
        <sz val="12"/>
        <color indexed="8"/>
        <rFont val="Times New Roman"/>
        <family val="1"/>
      </rPr>
      <t>LOCAL GOVERNMENTAL SUPPORT (20 POINTS MAXIMUM)</t>
    </r>
  </si>
  <si>
    <t>Reduces project development costs by providing CDBG, HOME, or other governmental  assistance/funding in the form of loan, grants, rental assistance, or a combination. Any one (1) of the items below may be provided:</t>
  </si>
  <si>
    <t>Waiving water and sewer tap fees; or</t>
  </si>
  <si>
    <t>Waiving building permit fees; or</t>
  </si>
  <si>
    <t>Foregoing real property taxes during construction; or</t>
  </si>
  <si>
    <t>Contributing land for project development; or</t>
  </si>
  <si>
    <t>Providing below market rate construction and/or permanent financing; or</t>
  </si>
  <si>
    <t>Providing an abatement of real estate taxes</t>
  </si>
  <si>
    <t xml:space="preserve">AFFORDABILITY (10 POINTS MAXIMUM) </t>
  </si>
  <si>
    <r>
      <t xml:space="preserve">LHC will review the affordability data supplied by the applicant and will use it to calculate the income level to which the housing will be affordable. </t>
    </r>
    <r>
      <rPr>
        <b/>
        <sz val="12"/>
        <color indexed="8"/>
        <rFont val="Times New Roman"/>
        <family val="1"/>
      </rPr>
      <t>All housing assisted with HOME funds must</t>
    </r>
    <r>
      <rPr>
        <sz val="12"/>
        <color indexed="8"/>
        <rFont val="Times New Roman"/>
        <family val="1"/>
      </rPr>
      <t xml:space="preserve"> be affordable to families with incomes of </t>
    </r>
    <r>
      <rPr>
        <b/>
        <sz val="12"/>
        <color indexed="8"/>
        <rFont val="Times New Roman"/>
        <family val="1"/>
      </rPr>
      <t>80%</t>
    </r>
    <r>
      <rPr>
        <sz val="12"/>
        <color indexed="8"/>
        <rFont val="Times New Roman"/>
        <family val="1"/>
      </rPr>
      <t xml:space="preserve"> of the area median family income or below. </t>
    </r>
  </si>
  <si>
    <r>
      <t xml:space="preserve">Homes will be affordable to families with incomes </t>
    </r>
    <r>
      <rPr>
        <b/>
        <sz val="12"/>
        <color indexed="8"/>
        <rFont val="Times New Roman"/>
        <family val="1"/>
      </rPr>
      <t>between 75% and 80%</t>
    </r>
    <r>
      <rPr>
        <sz val="12"/>
        <color indexed="8"/>
        <rFont val="Times New Roman"/>
        <family val="1"/>
      </rPr>
      <t xml:space="preserve"> of the area median income.</t>
    </r>
  </si>
  <si>
    <r>
      <t xml:space="preserve">Homes will be affordable to families with incomes </t>
    </r>
    <r>
      <rPr>
        <b/>
        <sz val="12"/>
        <color indexed="8"/>
        <rFont val="Times New Roman"/>
        <family val="1"/>
      </rPr>
      <t>between 74% and 70%</t>
    </r>
    <r>
      <rPr>
        <sz val="12"/>
        <color indexed="8"/>
        <rFont val="Times New Roman"/>
        <family val="1"/>
      </rPr>
      <t xml:space="preserve"> of the area median income.</t>
    </r>
  </si>
  <si>
    <r>
      <t xml:space="preserve">Homes will be affordable to families with incomes </t>
    </r>
    <r>
      <rPr>
        <b/>
        <sz val="12"/>
        <color indexed="8"/>
        <rFont val="Times New Roman"/>
        <family val="1"/>
      </rPr>
      <t>between 69% and 60%</t>
    </r>
    <r>
      <rPr>
        <sz val="12"/>
        <color indexed="8"/>
        <rFont val="Times New Roman"/>
        <family val="1"/>
      </rPr>
      <t xml:space="preserve"> of the area median income.</t>
    </r>
  </si>
  <si>
    <t xml:space="preserve">Between 75% and 80% (4 points) </t>
  </si>
  <si>
    <t xml:space="preserve">Between 74% and 70% (6 points) </t>
  </si>
  <si>
    <t xml:space="preserve">Between 69% and 60% (8 points) </t>
  </si>
  <si>
    <r>
      <t>PRIORITY LOCATION</t>
    </r>
    <r>
      <rPr>
        <b/>
        <i/>
        <u/>
        <sz val="12"/>
        <color indexed="8"/>
        <rFont val="Times New Roman"/>
        <family val="1"/>
      </rPr>
      <t xml:space="preserve"> </t>
    </r>
    <r>
      <rPr>
        <b/>
        <u/>
        <sz val="12"/>
        <color indexed="8"/>
        <rFont val="Times New Roman"/>
        <family val="1"/>
      </rPr>
      <t xml:space="preserve">(35 POINTS MAXIMUM) </t>
    </r>
  </si>
  <si>
    <t>OTHER LOCATION DOCUMENTATION (3 POINTS EACH)</t>
  </si>
  <si>
    <t>Points in this section are awarded when documented by maps to sufficient scale and detail.</t>
  </si>
  <si>
    <r>
      <t xml:space="preserve">Points will be awarded for projects when the buildings in the project do not contain lead based paint (proven either through an inspection report from a Certified Lead Paint Inspector or Risk Assessor or the building were built after 1978). </t>
    </r>
    <r>
      <rPr>
        <b/>
        <sz val="12"/>
        <color indexed="8"/>
        <rFont val="Times New Roman"/>
        <family val="1"/>
      </rPr>
      <t>(3 points)</t>
    </r>
  </si>
  <si>
    <r>
      <t xml:space="preserve">Points will be awarded for projects where the building does not contain asbestos. </t>
    </r>
    <r>
      <rPr>
        <b/>
        <sz val="12"/>
        <color indexed="8"/>
        <rFont val="Times New Roman"/>
        <family val="1"/>
      </rPr>
      <t>(3 points)</t>
    </r>
  </si>
  <si>
    <r>
      <t xml:space="preserve">Points will be awarded for projects where the cost of the conversion/rehab will be less than 50% of the current value of the building. (Must provide appraisal to  establish before and after value) </t>
    </r>
    <r>
      <rPr>
        <b/>
        <sz val="12"/>
        <color indexed="8"/>
        <rFont val="Times New Roman"/>
        <family val="1"/>
      </rPr>
      <t>(3 points)</t>
    </r>
  </si>
  <si>
    <t xml:space="preserve">SAMPLE PRELIMINARY PLOT PLANS and ELEVATIONS (10 POINTS MAXIMUM) </t>
  </si>
  <si>
    <t xml:space="preserve">To receive points, photos of the neighboring properties must be submitted. Neighboring properties include all properties/structures on the same block including across the street. Photos must be labeled and indicated on a block map.  Applicants will receive either 5 or 10 points depending on the submission.
</t>
  </si>
  <si>
    <t xml:space="preserve">           </t>
  </si>
  <si>
    <t xml:space="preserve">Sample schematic designs that are consistent with existing neighborhood housing stock. </t>
  </si>
  <si>
    <t xml:space="preserve">SMALL DISADVANTAGED BUSINESS PARTICIPATION (5 POINTS MAXIMUM) </t>
  </si>
  <si>
    <t xml:space="preserve">PROJECT IS TO BE DEVELOPED BY A NEW OR NEVER FUNDED CHDO   (15 POINTS MAXIMUM) </t>
  </si>
  <si>
    <t>Project is to be developed by a new or never funded CHDO</t>
  </si>
  <si>
    <r>
      <t xml:space="preserve">Entities anticipated to be involved in implementing the project include certified vendors under Louisiana’s Hudson Initiative and Veterans Initiative as well as Small Disadvantaged Businesses registered with the U.S. Small Business Administration. </t>
    </r>
    <r>
      <rPr>
        <b/>
        <sz val="12"/>
        <color indexed="8"/>
        <rFont val="Times New Roman"/>
        <family val="1"/>
      </rPr>
      <t>(5 points)</t>
    </r>
  </si>
  <si>
    <t>Points are awarded for sites that have obtained discretionary public land use approvals (obtaining building permits is not necessary to score points).</t>
  </si>
  <si>
    <r>
      <t>Points will be awarded for projects located within 1 mile of any 1 Community Facility.  Only 3 points will be awarded.  Demonstration of proximity to multiple facilities will not result in additional points.                                                                                                          (e.g. Educational Facilities, Commercial Facilities, Health Care Facilities, Social Services, Grocery Store, Public Library, Public Transportation (shuttle services excluded), Hospital/Doctor Office or Clinic, Bank/Credit Union (must have live tellers), Post Office, Pharmacy/Drug Store, Louisiana Licensed (current) Adult/Child Day Care/After School Care).</t>
    </r>
    <r>
      <rPr>
        <b/>
        <sz val="12"/>
        <color indexed="8"/>
        <rFont val="Times New Roman"/>
        <family val="1"/>
      </rPr>
      <t xml:space="preserve"> (3 points)</t>
    </r>
  </si>
  <si>
    <r>
      <t xml:space="preserve">20 points - </t>
    </r>
    <r>
      <rPr>
        <sz val="12"/>
        <color indexed="8"/>
        <rFont val="Times New Roman"/>
        <family val="1"/>
      </rPr>
      <t>Repayment of HOME funds in 5 years</t>
    </r>
  </si>
  <si>
    <r>
      <t xml:space="preserve">15 points - </t>
    </r>
    <r>
      <rPr>
        <sz val="12"/>
        <color indexed="8"/>
        <rFont val="Times New Roman"/>
        <family val="1"/>
      </rPr>
      <t>Repayment of HOME funds in 10 years</t>
    </r>
  </si>
  <si>
    <r>
      <t xml:space="preserve">10 points - </t>
    </r>
    <r>
      <rPr>
        <sz val="12"/>
        <color indexed="8"/>
        <rFont val="Times New Roman"/>
        <family val="1"/>
      </rPr>
      <t>Repayment of HOME funds in 15 years</t>
    </r>
  </si>
  <si>
    <r>
      <t>5 points --</t>
    </r>
    <r>
      <rPr>
        <sz val="12"/>
        <color indexed="8"/>
        <rFont val="Times New Roman"/>
        <family val="1"/>
      </rPr>
      <t xml:space="preserve"> Repayment of HOME funds in 20 years</t>
    </r>
  </si>
  <si>
    <r>
      <t xml:space="preserve">0 points -- </t>
    </r>
    <r>
      <rPr>
        <sz val="12"/>
        <color indexed="8"/>
        <rFont val="Times New Roman"/>
        <family val="1"/>
      </rPr>
      <t>Repayment of HOME funds in more than 20 years</t>
    </r>
  </si>
  <si>
    <t>RENTAL DEVELOPMENT APPLICATION</t>
  </si>
  <si>
    <t>PROJECT BUDGET (10 POINTS MAXIMUM) Applicants will receive either 5 or 10 points depending on the submission.</t>
  </si>
  <si>
    <t>PROJECT READINESS &amp; DEVELOPMENT SCHEDULE (10 POINTS MAXIMUM)</t>
  </si>
  <si>
    <t>Projects that have received Agency development funding under CHDO within the last 5 years and are returning for additional gap financing will not be eligible for points in this category.</t>
  </si>
  <si>
    <t>Public Land Use Approvals (10 points)</t>
  </si>
  <si>
    <t>All projects are required to repay HOME funds.  Projects that demonstrate through the submitted proforma an ability to repay according to the below schedule:</t>
  </si>
  <si>
    <t>IX</t>
  </si>
  <si>
    <r>
      <rPr>
        <sz val="12"/>
        <color indexed="8"/>
        <rFont val="Times New Roman"/>
        <family val="1"/>
      </rPr>
      <t xml:space="preserve">Affordability data realistically estimates principal, interest, taxes, and insurance for subject properties. </t>
    </r>
    <r>
      <rPr>
        <b/>
        <sz val="12"/>
        <color indexed="8"/>
        <rFont val="Times New Roman"/>
        <family val="1"/>
      </rPr>
      <t xml:space="preserve">                                                                                                                              </t>
    </r>
  </si>
  <si>
    <r>
      <t xml:space="preserve">Homes will be affordable to families with incomes </t>
    </r>
    <r>
      <rPr>
        <b/>
        <sz val="12"/>
        <color indexed="8"/>
        <rFont val="Times New Roman"/>
        <family val="1"/>
      </rPr>
      <t>at 59% or below</t>
    </r>
    <r>
      <rPr>
        <sz val="12"/>
        <color indexed="8"/>
        <rFont val="Times New Roman"/>
        <family val="1"/>
      </rPr>
      <t xml:space="preserve"> the area median income.</t>
    </r>
  </si>
  <si>
    <t xml:space="preserve">At or below 59% (10 points) </t>
  </si>
  <si>
    <r>
      <rPr>
        <b/>
        <sz val="12"/>
        <color indexed="8"/>
        <rFont val="Times New Roman"/>
        <family val="1"/>
      </rPr>
      <t>Designated Target Parishes (20 points)</t>
    </r>
    <r>
      <rPr>
        <sz val="12"/>
        <color indexed="8"/>
        <rFont val="Times New Roman"/>
        <family val="1"/>
      </rPr>
      <t xml:space="preserve"> Project is located in: Madison, Concordia, Franklin, Tensas, East Carroll, Morehouse, Washington, St. Landry, Natchitoches, Claiborne, or Bienville.</t>
    </r>
  </si>
  <si>
    <r>
      <t xml:space="preserve">Small City or Rural Parish (15 points) </t>
    </r>
    <r>
      <rPr>
        <sz val="12"/>
        <color indexed="8"/>
        <rFont val="Times New Roman"/>
        <family val="1"/>
      </rPr>
      <t>Project is located in a small city or rural parish</t>
    </r>
    <r>
      <rPr>
        <sz val="10"/>
        <color indexed="8"/>
        <rFont val="Times New Roman"/>
        <family val="1"/>
      </rPr>
      <t>.</t>
    </r>
  </si>
  <si>
    <r>
      <t xml:space="preserve">Points will be awarded to projects which include locations that are </t>
    </r>
    <r>
      <rPr>
        <b/>
        <sz val="12"/>
        <color indexed="8"/>
        <rFont val="Times New Roman"/>
        <family val="1"/>
      </rPr>
      <t xml:space="preserve">NOT </t>
    </r>
    <r>
      <rPr>
        <sz val="12"/>
        <color indexed="8"/>
        <rFont val="Times New Roman"/>
        <family val="1"/>
      </rPr>
      <t xml:space="preserve">on wetlands. </t>
    </r>
    <r>
      <rPr>
        <b/>
        <sz val="12"/>
        <color indexed="8"/>
        <rFont val="Times New Roman"/>
        <family val="1"/>
      </rPr>
      <t>(3 points)</t>
    </r>
  </si>
  <si>
    <r>
      <t xml:space="preserve">Points will be awarded to projects that are located beyond 3000 feet of a railroad. </t>
    </r>
    <r>
      <rPr>
        <b/>
        <sz val="12"/>
        <color indexed="8"/>
        <rFont val="Times New Roman"/>
        <family val="1"/>
      </rPr>
      <t>(3 points)</t>
    </r>
  </si>
  <si>
    <r>
      <t xml:space="preserve">Points will be awarded to projects located in airport noise zone contour below 65db. </t>
    </r>
    <r>
      <rPr>
        <b/>
        <sz val="12"/>
        <color indexed="8"/>
        <rFont val="Times New Roman"/>
        <family val="1"/>
      </rPr>
      <t>(3 points)</t>
    </r>
  </si>
  <si>
    <r>
      <t xml:space="preserve">The project will have no effect on a historic property or district. </t>
    </r>
    <r>
      <rPr>
        <b/>
        <sz val="12"/>
        <color indexed="8"/>
        <rFont val="Times New Roman"/>
        <family val="1"/>
      </rPr>
      <t>(3 points)</t>
    </r>
  </si>
  <si>
    <t xml:space="preserve">   Applicant Authorized Representative Name</t>
  </si>
  <si>
    <t>Did the applicant attend NOFA Workshop?</t>
  </si>
  <si>
    <t>The Louisiana Housing Corporation (LHC) seeks to utilize HOME funds to expand the supply of affordable housing in areas where LHC serves as the Participating Jurisdiction (PJ).</t>
  </si>
  <si>
    <t>C. Home Funds will support projects by providing up to 85% of the total development costs to support affordable housing creation:
- In small cities, rural parishes and areas where LHC serves as the Participating Jurisdiction.
- Developments can serve any population (special needs or otherwise) where the rent payments are affordable to and will be occupied by households at or below 80% of the Area Median Income for the HOME-supported units.</t>
  </si>
  <si>
    <r>
      <t xml:space="preserve">Applications are in part evaluated based on the experience and time devoted to the project of the key member(s) of the development team. Please indicated below the name and contact information for each person filling the position indicated (if any) and the amount of time the expect to dedicate to the proposed project. If the individual is a qualified SDB or CHDO please indicate so in the appropriate box. </t>
    </r>
    <r>
      <rPr>
        <b/>
        <u/>
        <sz val="12"/>
        <rFont val="Times New Roman"/>
        <family val="1"/>
      </rPr>
      <t>To receive credit you must attache resume and/or certificates.</t>
    </r>
  </si>
  <si>
    <t>SDB</t>
  </si>
  <si>
    <t xml:space="preserve">Application submitted in proper order and complete ? </t>
  </si>
  <si>
    <t>INPUT ACTUAL RENTS THE UNITS NET OF UTILITY ALLOWANCES</t>
  </si>
  <si>
    <t>Match/Leverage</t>
  </si>
  <si>
    <t>Consultant Fees and Contingency Fees)</t>
  </si>
  <si>
    <t xml:space="preserve">HVAC Repair &amp; Maintenance- </t>
  </si>
  <si>
    <t>1st Mortgage Debt Service Coverage Ratio:</t>
  </si>
  <si>
    <r>
      <t xml:space="preserve">Apartment Bad Debt-  </t>
    </r>
    <r>
      <rPr>
        <b/>
        <sz val="9"/>
        <rFont val="Times New Roman"/>
        <family val="1"/>
      </rPr>
      <t>Enter as Neg.</t>
    </r>
  </si>
  <si>
    <r>
      <t xml:space="preserve">Commercial Bad Debt-  </t>
    </r>
    <r>
      <rPr>
        <b/>
        <sz val="9"/>
        <rFont val="Times New Roman"/>
        <family val="1"/>
      </rPr>
      <t>Enter as Neg.</t>
    </r>
  </si>
  <si>
    <t>Submit the following in order and tabulated:</t>
  </si>
  <si>
    <t>Rehab or New Construction</t>
  </si>
  <si>
    <t>Prior two (2) years audited (or certified if non-CHDO) financials of applicant</t>
  </si>
  <si>
    <t>Certificate of SDB</t>
  </si>
  <si>
    <t>HOME Assisted Units are determined by a percentage of the units equal to the principal amount of HOME funds divided by the total amount of long term funds.  Therefore the number of HOME Assisted Units pursuant to this calculation would be:</t>
  </si>
  <si>
    <t>h)</t>
  </si>
  <si>
    <t>CHDO Certificate of No Change</t>
  </si>
  <si>
    <t>Appendix 18</t>
  </si>
  <si>
    <t>Appendix 19</t>
  </si>
  <si>
    <t>Estoppel Letter (for rehab project only)</t>
  </si>
  <si>
    <t xml:space="preserve">Other </t>
  </si>
  <si>
    <t xml:space="preserve">     1: Other (Engineering Fees)</t>
  </si>
  <si>
    <t xml:space="preserve">     2: Other (Permit/ Sewer Impact Fees)</t>
  </si>
  <si>
    <t>FHLB</t>
  </si>
  <si>
    <t xml:space="preserve">     1: FHLB</t>
  </si>
  <si>
    <t>Interior</t>
  </si>
  <si>
    <t>Flooring</t>
  </si>
  <si>
    <t>Finishes</t>
  </si>
  <si>
    <t>Finals</t>
  </si>
  <si>
    <t>Per Project limit of $400,000 ?</t>
  </si>
  <si>
    <t>State</t>
  </si>
  <si>
    <t>statename</t>
  </si>
  <si>
    <t>CBSASub</t>
  </si>
  <si>
    <t>Areaname</t>
  </si>
  <si>
    <t>fips2010</t>
  </si>
  <si>
    <t>lowrent_0</t>
  </si>
  <si>
    <t>lowrent_1</t>
  </si>
  <si>
    <t>lowrent_2</t>
  </si>
  <si>
    <t>lowrent_3</t>
  </si>
  <si>
    <t>lowrent_4</t>
  </si>
  <si>
    <t>lowrent_5</t>
  </si>
  <si>
    <t>lowrent_6</t>
  </si>
  <si>
    <t>highrent_0</t>
  </si>
  <si>
    <t>highrent_1</t>
  </si>
  <si>
    <t>highrent_2</t>
  </si>
  <si>
    <t>highrent_3</t>
  </si>
  <si>
    <t>highrent_4</t>
  </si>
  <si>
    <t>highrent_5</t>
  </si>
  <si>
    <t>highrent_6</t>
  </si>
  <si>
    <t>HomeRent50_0</t>
  </si>
  <si>
    <t>HomeRent50_1</t>
  </si>
  <si>
    <t>HomeRent50_2</t>
  </si>
  <si>
    <t>HomeRent50_3</t>
  </si>
  <si>
    <t>HomeRent50_4</t>
  </si>
  <si>
    <t>HomeRent50_5</t>
  </si>
  <si>
    <t>HomeRent50_6</t>
  </si>
  <si>
    <t>HomeRent65_0</t>
  </si>
  <si>
    <t>HomeRent65_1</t>
  </si>
  <si>
    <t>HomeRent65_2</t>
  </si>
  <si>
    <t>HomeRent65_3</t>
  </si>
  <si>
    <t>HomeRent65_4</t>
  </si>
  <si>
    <t>HomeRent65_5</t>
  </si>
  <si>
    <t>HomeRent65_6</t>
  </si>
  <si>
    <t>fmr_0</t>
  </si>
  <si>
    <t>fmr_1</t>
  </si>
  <si>
    <t>fmr_2</t>
  </si>
  <si>
    <t>fmr_3</t>
  </si>
  <si>
    <t>fmr_4</t>
  </si>
  <si>
    <t>fmr_5</t>
  </si>
  <si>
    <t>fmr_6</t>
  </si>
  <si>
    <t>LOUISIANA</t>
  </si>
  <si>
    <t>NCNTY22001N22001</t>
  </si>
  <si>
    <t>Acadia Parish, LA</t>
  </si>
  <si>
    <t>Acadia</t>
  </si>
  <si>
    <t>2200199999</t>
  </si>
  <si>
    <t>NCNTY22003N22003</t>
  </si>
  <si>
    <t>Allen Parish, LA</t>
  </si>
  <si>
    <t>Allen</t>
  </si>
  <si>
    <t>2200399999</t>
  </si>
  <si>
    <t>METRO12940M12940</t>
  </si>
  <si>
    <t>Baton Rouge, LA HUD Metro FMR Area</t>
  </si>
  <si>
    <t>Ascension</t>
  </si>
  <si>
    <t>2200599999</t>
  </si>
  <si>
    <t>NCNTY22007N22007</t>
  </si>
  <si>
    <t>Assumption Parish, LA</t>
  </si>
  <si>
    <t>Assumption</t>
  </si>
  <si>
    <t>2200799999</t>
  </si>
  <si>
    <t>NCNTY22009N22009</t>
  </si>
  <si>
    <t>Avoyelles Parish, LA</t>
  </si>
  <si>
    <t>Avoyelles</t>
  </si>
  <si>
    <t>2200999999</t>
  </si>
  <si>
    <t>NCNTY22011N22011</t>
  </si>
  <si>
    <t>Beauregard Parish, LA</t>
  </si>
  <si>
    <t>Beauregard</t>
  </si>
  <si>
    <t>2201199999</t>
  </si>
  <si>
    <t>NCNTY22013N22013</t>
  </si>
  <si>
    <t>Bienville Parish, LA</t>
  </si>
  <si>
    <t>Bienville</t>
  </si>
  <si>
    <t>2201399999</t>
  </si>
  <si>
    <t>METRO43340M43340</t>
  </si>
  <si>
    <t>Shreveport-Bossier City, LA MSA</t>
  </si>
  <si>
    <t>Bossier</t>
  </si>
  <si>
    <t>2201599999</t>
  </si>
  <si>
    <t>Caddo</t>
  </si>
  <si>
    <t>2201799999</t>
  </si>
  <si>
    <t>METRO29340M29340</t>
  </si>
  <si>
    <t>Lake Charles, LA MSA</t>
  </si>
  <si>
    <t>Calcasieu</t>
  </si>
  <si>
    <t>2201999999</t>
  </si>
  <si>
    <t>NCNTY22021N22021</t>
  </si>
  <si>
    <t>Caldwell Parish, LA</t>
  </si>
  <si>
    <t>Caldwell</t>
  </si>
  <si>
    <t>2202199999</t>
  </si>
  <si>
    <t>Cameron</t>
  </si>
  <si>
    <t>2202399999</t>
  </si>
  <si>
    <t>NCNTY22025N22025</t>
  </si>
  <si>
    <t>Catahoula Parish, LA</t>
  </si>
  <si>
    <t>Catahoula</t>
  </si>
  <si>
    <t>2202599999</t>
  </si>
  <si>
    <t>NCNTY22027N22027</t>
  </si>
  <si>
    <t>Claiborne Parish, LA</t>
  </si>
  <si>
    <t>Claiborne</t>
  </si>
  <si>
    <t>2202799999</t>
  </si>
  <si>
    <t>NCNTY22029N22029</t>
  </si>
  <si>
    <t>Concordia Parish, LA</t>
  </si>
  <si>
    <t>Concordia</t>
  </si>
  <si>
    <t>2202999999</t>
  </si>
  <si>
    <t>DeSoto</t>
  </si>
  <si>
    <t>2203199999</t>
  </si>
  <si>
    <t>East Baton Rouge</t>
  </si>
  <si>
    <t>2203399999</t>
  </si>
  <si>
    <t>NCNTY22035N22035</t>
  </si>
  <si>
    <t>East Carroll Parish, LA</t>
  </si>
  <si>
    <t>East Carroll</t>
  </si>
  <si>
    <t>2203599999</t>
  </si>
  <si>
    <t>East Feliciana</t>
  </si>
  <si>
    <t>2203799999</t>
  </si>
  <si>
    <t>NCNTY22039N22039</t>
  </si>
  <si>
    <t>Evangeline Parish, LA</t>
  </si>
  <si>
    <t>Evangeline</t>
  </si>
  <si>
    <t>2203999999</t>
  </si>
  <si>
    <t>NCNTY22041N22041</t>
  </si>
  <si>
    <t>Franklin Parish, LA</t>
  </si>
  <si>
    <t>Franklin</t>
  </si>
  <si>
    <t>2204199999</t>
  </si>
  <si>
    <t>METRO10780M10780</t>
  </si>
  <si>
    <t>Alexandria, LA MSA</t>
  </si>
  <si>
    <t>Grant</t>
  </si>
  <si>
    <t>2204399999</t>
  </si>
  <si>
    <t>NCNTY22045N22045</t>
  </si>
  <si>
    <t>Iberia Parish, LA</t>
  </si>
  <si>
    <t>Iberia</t>
  </si>
  <si>
    <t>2204599999</t>
  </si>
  <si>
    <t>METRO12940N22047</t>
  </si>
  <si>
    <t>Iberville Parish, LA HUD Metro FMR Area</t>
  </si>
  <si>
    <t>Iberville</t>
  </si>
  <si>
    <t>2204799999</t>
  </si>
  <si>
    <t>NCNTY22049N22049</t>
  </si>
  <si>
    <t>Jackson Parish, LA</t>
  </si>
  <si>
    <t>Jackson</t>
  </si>
  <si>
    <t>2204999999</t>
  </si>
  <si>
    <t>METRO35380M35380</t>
  </si>
  <si>
    <t>New Orleans-Metairie-Kenner, LA MSA</t>
  </si>
  <si>
    <t>Jefferson</t>
  </si>
  <si>
    <t>2205199999</t>
  </si>
  <si>
    <t>NCNTY22053N22053</t>
  </si>
  <si>
    <t>Jefferson Davis Parish, LA</t>
  </si>
  <si>
    <t>Jefferson Davis</t>
  </si>
  <si>
    <t>2205399999</t>
  </si>
  <si>
    <t>METRO29180M29180</t>
  </si>
  <si>
    <t>Lafayette, LA MSA</t>
  </si>
  <si>
    <t>Lafayette</t>
  </si>
  <si>
    <t>2205599999</t>
  </si>
  <si>
    <t>METRO26380M26380</t>
  </si>
  <si>
    <t>Houma-Bayou Cane-Thibodaux, LA MSA</t>
  </si>
  <si>
    <t>Lafourche</t>
  </si>
  <si>
    <t>2205799999</t>
  </si>
  <si>
    <t>NCNTY22059N22059</t>
  </si>
  <si>
    <t>La Salle Parish, LA</t>
  </si>
  <si>
    <t>La Salle</t>
  </si>
  <si>
    <t>2205999999</t>
  </si>
  <si>
    <t>NCNTY22061N22061</t>
  </si>
  <si>
    <t>Lincoln Parish, LA</t>
  </si>
  <si>
    <t>Lincoln</t>
  </si>
  <si>
    <t>2206199999</t>
  </si>
  <si>
    <t>Livingston</t>
  </si>
  <si>
    <t>2206399999</t>
  </si>
  <si>
    <t>NCNTY22065N22065</t>
  </si>
  <si>
    <t>Madison Parish, LA</t>
  </si>
  <si>
    <t>Madison</t>
  </si>
  <si>
    <t>2206599999</t>
  </si>
  <si>
    <t>NCNTY22067N22067</t>
  </si>
  <si>
    <t>Morehouse Parish, LA</t>
  </si>
  <si>
    <t>Morehouse</t>
  </si>
  <si>
    <t>2206799999</t>
  </si>
  <si>
    <t>NCNTY22069N22069</t>
  </si>
  <si>
    <t>Natchitoches Parish, LA</t>
  </si>
  <si>
    <t>Natchitoches</t>
  </si>
  <si>
    <t>2206999999</t>
  </si>
  <si>
    <t>Orleans</t>
  </si>
  <si>
    <t>2207199999</t>
  </si>
  <si>
    <t>METRO33740M33740</t>
  </si>
  <si>
    <t>Monroe, LA MSA</t>
  </si>
  <si>
    <t>Ouachita</t>
  </si>
  <si>
    <t>2207399999</t>
  </si>
  <si>
    <t>Plaquemines</t>
  </si>
  <si>
    <t>2207599999</t>
  </si>
  <si>
    <t>Pointe Coupee</t>
  </si>
  <si>
    <t>2207799999</t>
  </si>
  <si>
    <t>Rapides</t>
  </si>
  <si>
    <t>2207999999</t>
  </si>
  <si>
    <t>NCNTY22081N22081</t>
  </si>
  <si>
    <t>Red River Parish, LA</t>
  </si>
  <si>
    <t>Red River</t>
  </si>
  <si>
    <t>2208199999</t>
  </si>
  <si>
    <t>NCNTY22083N22083</t>
  </si>
  <si>
    <t>Richland Parish, LA</t>
  </si>
  <si>
    <t>Richland</t>
  </si>
  <si>
    <t>2208399999</t>
  </si>
  <si>
    <t>NCNTY22085N22085</t>
  </si>
  <si>
    <t>Sabine Parish, LA</t>
  </si>
  <si>
    <t>Sabine</t>
  </si>
  <si>
    <t>2208599999</t>
  </si>
  <si>
    <t>St. Bernard</t>
  </si>
  <si>
    <t>2208799999</t>
  </si>
  <si>
    <t>St. Charles</t>
  </si>
  <si>
    <t>2208999999</t>
  </si>
  <si>
    <t>St. Helena</t>
  </si>
  <si>
    <t>2209199999</t>
  </si>
  <si>
    <t>NCNTY22093N22093</t>
  </si>
  <si>
    <t>St. James Parish, LA</t>
  </si>
  <si>
    <t>St. James</t>
  </si>
  <si>
    <t>2209399999</t>
  </si>
  <si>
    <t>St. John the Baptist</t>
  </si>
  <si>
    <t>2209599999</t>
  </si>
  <si>
    <t>NCNTY22097N22097</t>
  </si>
  <si>
    <t>St. Landry Parish, LA</t>
  </si>
  <si>
    <t>St. Landry</t>
  </si>
  <si>
    <t>2209799999</t>
  </si>
  <si>
    <t>St. Martin</t>
  </si>
  <si>
    <t>2209999999</t>
  </si>
  <si>
    <t>NCNTY22101N22101</t>
  </si>
  <si>
    <t>St. Mary Parish, LA</t>
  </si>
  <si>
    <t>St. Mary</t>
  </si>
  <si>
    <t>2210199999</t>
  </si>
  <si>
    <t>St. Tammany</t>
  </si>
  <si>
    <t>2210399999</t>
  </si>
  <si>
    <t>NCNTY22105N22105</t>
  </si>
  <si>
    <t>Tangipahoa Parish, LA</t>
  </si>
  <si>
    <t>Tangipahoa</t>
  </si>
  <si>
    <t>2210599999</t>
  </si>
  <si>
    <t>NCNTY22107N22107</t>
  </si>
  <si>
    <t>Tensas Parish, LA</t>
  </si>
  <si>
    <t>Tensas</t>
  </si>
  <si>
    <t>2210799999</t>
  </si>
  <si>
    <t>Terrebonne</t>
  </si>
  <si>
    <t>2210999999</t>
  </si>
  <si>
    <t>Union</t>
  </si>
  <si>
    <t>2211199999</t>
  </si>
  <si>
    <t>NCNTY22113N22113</t>
  </si>
  <si>
    <t>Vermilion Parish, LA</t>
  </si>
  <si>
    <t>Vermilion</t>
  </si>
  <si>
    <t>2211399999</t>
  </si>
  <si>
    <t>NCNTY22115N22115</t>
  </si>
  <si>
    <t>Vernon Parish, LA</t>
  </si>
  <si>
    <t>Vernon</t>
  </si>
  <si>
    <t>2211599999</t>
  </si>
  <si>
    <t>NCNTY22117N22117</t>
  </si>
  <si>
    <t>Washington Parish, LA</t>
  </si>
  <si>
    <t>Washington</t>
  </si>
  <si>
    <t>2211799999</t>
  </si>
  <si>
    <t>NCNTY22119N22119</t>
  </si>
  <si>
    <t>Webster Parish, LA</t>
  </si>
  <si>
    <t>Webster</t>
  </si>
  <si>
    <t>2211999999</t>
  </si>
  <si>
    <t>West Baton Rouge</t>
  </si>
  <si>
    <t>2212199999</t>
  </si>
  <si>
    <t>NCNTY22123N22123</t>
  </si>
  <si>
    <t>West Carroll Parish, LA</t>
  </si>
  <si>
    <t>West Carroll</t>
  </si>
  <si>
    <t>2212399999</t>
  </si>
  <si>
    <t>West Felliciana</t>
  </si>
  <si>
    <t>2212599999</t>
  </si>
  <si>
    <t>NCNTY22127N22127</t>
  </si>
  <si>
    <t>Winn Parish, LA</t>
  </si>
  <si>
    <t>Winn</t>
  </si>
  <si>
    <t>2212799999</t>
  </si>
  <si>
    <t>Rents for Underwriting and Subsidy Layering Analysis</t>
  </si>
  <si>
    <t>6BR</t>
  </si>
  <si>
    <t>50% Rents</t>
  </si>
  <si>
    <t>65% Rents</t>
  </si>
  <si>
    <t>FMR</t>
  </si>
  <si>
    <t>4 Person 50% Limit</t>
  </si>
  <si>
    <t>234 Limts  for Underwriting and Subsidy Layering Analysis - Rental</t>
  </si>
  <si>
    <t>234  Condominium Housing Elevator Type</t>
  </si>
  <si>
    <t>Maximum Per Unit Subsidy</t>
  </si>
  <si>
    <t xml:space="preserve">Appraisal:   </t>
  </si>
  <si>
    <t xml:space="preserve">   Natural Gas Utility Provider</t>
  </si>
  <si>
    <t xml:space="preserve">   Electricity Utility Provider</t>
  </si>
  <si>
    <t xml:space="preserve">   Water and Sewer Provider</t>
  </si>
  <si>
    <t xml:space="preserve">   Garbage Pick-Up Provider</t>
  </si>
  <si>
    <t>Must Provide Rate Sheet With Application</t>
  </si>
  <si>
    <t>Deliberately Left Blank (Not for use with NOAH)</t>
  </si>
  <si>
    <t>Utility allowance information</t>
  </si>
  <si>
    <t>Utility or Service</t>
  </si>
  <si>
    <r>
      <t xml:space="preserve">Provider                                                                     </t>
    </r>
    <r>
      <rPr>
        <sz val="11"/>
        <rFont val="Arial"/>
        <family val="2"/>
      </rPr>
      <t xml:space="preserve"> </t>
    </r>
    <r>
      <rPr>
        <sz val="8"/>
        <rFont val="Arial"/>
        <family val="2"/>
      </rPr>
      <t>( Enter the name of the company providing the service. Applicant must provide rate and tariff sheets and a sample bill provided by each utility that will be providing service to the property. The sample bill for electricity shall be for 1,000 kWh, for Gas 100 ccf, for water 1,000 gallons. All sample bills must include any taxes and other charges or tariffs assessed.)</t>
    </r>
  </si>
  <si>
    <t xml:space="preserve">Fuel Source                                                                                                                                                                                                                  </t>
  </si>
  <si>
    <r>
      <rPr>
        <b/>
        <sz val="11"/>
        <rFont val="Arial"/>
        <family val="2"/>
      </rPr>
      <t xml:space="preserve">Amount  </t>
    </r>
    <r>
      <rPr>
        <sz val="10"/>
        <rFont val="Arial"/>
        <family val="2"/>
      </rPr>
      <t xml:space="preserve">                                 </t>
    </r>
    <r>
      <rPr>
        <sz val="8"/>
        <rFont val="Arial"/>
        <family val="2"/>
      </rPr>
      <t xml:space="preserve">  (If the project is changing a fee for a Range, Microwave, Refrigerator or Other indicate the monthly amount)</t>
    </r>
  </si>
  <si>
    <t>Space Heating</t>
  </si>
  <si>
    <t>Not Applicable</t>
  </si>
  <si>
    <t>Natural Gas</t>
  </si>
  <si>
    <t>Tenant Pays</t>
  </si>
  <si>
    <t>Other Electric</t>
  </si>
  <si>
    <t>Bottled Gas</t>
  </si>
  <si>
    <t>Air Conditioning</t>
  </si>
  <si>
    <t>Electric Resistance</t>
  </si>
  <si>
    <t>Water Heating</t>
  </si>
  <si>
    <t>Electric Heat Pump</t>
  </si>
  <si>
    <t>Fuel Oil</t>
  </si>
  <si>
    <t>Trash Collection</t>
  </si>
  <si>
    <t>Range/Microwave</t>
  </si>
  <si>
    <t>Refrigerator</t>
  </si>
  <si>
    <t>Comments:</t>
  </si>
  <si>
    <t xml:space="preserve">Electric </t>
  </si>
  <si>
    <t>In the columns below enter the information for each property that may be a part of the HOME project. This information will be used in the Environmental Review, Regulatory Agreement and potentially other program documents. If a street name and number is not currently available indicate so but enter all other information.</t>
  </si>
  <si>
    <t>Street Number</t>
  </si>
  <si>
    <t>Street Name</t>
  </si>
  <si>
    <t>City</t>
  </si>
  <si>
    <t>Zip</t>
  </si>
  <si>
    <t xml:space="preserve">Lot </t>
  </si>
  <si>
    <t>Block</t>
  </si>
  <si>
    <t>Sudivision</t>
  </si>
  <si>
    <t>2017 Median Income</t>
  </si>
  <si>
    <t>Governmental Financial  Support (From non Federal Sources)</t>
  </si>
  <si>
    <t>Other Owner Equity</t>
  </si>
  <si>
    <t>Other Deferred Developer Fee</t>
  </si>
  <si>
    <t xml:space="preserve">WITNESS MY SIGNATURE ON THIS, THE ____ DAY OF _____________, 2018.
                                                                                             BY:  __________________________________
                                                                                            Applicant
Sworn to and subscribed before me,
this ___ day of _____, 2018.
Notary, State of _______________
</t>
  </si>
  <si>
    <t>Single Family -- Rental</t>
  </si>
  <si>
    <t>Multi-Family -- Rental</t>
  </si>
  <si>
    <t>Walk Up</t>
  </si>
  <si>
    <t>Parishes</t>
  </si>
  <si>
    <t>Project Type</t>
  </si>
  <si>
    <t>Legal Structure</t>
  </si>
  <si>
    <t>Yes/No</t>
  </si>
  <si>
    <t>Applicant Eligiblity</t>
  </si>
  <si>
    <t>New Construction/  Rehab</t>
  </si>
  <si>
    <t xml:space="preserve"> Housing Description</t>
  </si>
  <si>
    <t>Building Style</t>
  </si>
  <si>
    <t>Occupancy Type</t>
  </si>
  <si>
    <t>2018 Rents</t>
  </si>
  <si>
    <t>DeSoto Parish</t>
  </si>
  <si>
    <t>Orleans Pairsh</t>
  </si>
  <si>
    <t>West Baton Rouge Parsih</t>
  </si>
  <si>
    <t>West Felliciana Parish</t>
  </si>
  <si>
    <t>Louisiana Housing Corporation                                      CHDO Annual Allocation Program (CHAAP)</t>
  </si>
  <si>
    <t>Electronic Application for 2018 CHDO Annual Allocation Program</t>
  </si>
  <si>
    <t>2018 234 Limits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</si>
</sst>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mm/dd/yy"/>
    <numFmt numFmtId="166" formatCode="[&lt;=9999999]###\-####;\(###\)\ ###\-####"/>
    <numFmt numFmtId="167" formatCode="&quot;$&quot;#,##0"/>
    <numFmt numFmtId="168" formatCode="&quot;$&quot;#,##0.00"/>
    <numFmt numFmtId="169" formatCode="0_);[Red]\(0\)"/>
    <numFmt numFmtId="170" formatCode="0.000%"/>
    <numFmt numFmtId="171" formatCode="dd\-mmm\-yy_)"/>
    <numFmt numFmtId="172" formatCode="[$-409]d\-mmm\-yy;@"/>
    <numFmt numFmtId="173" formatCode="General_)"/>
    <numFmt numFmtId="174" formatCode="#,##0.0"/>
    <numFmt numFmtId="175" formatCode="00000\-0000"/>
    <numFmt numFmtId="176" formatCode="0.00000000%"/>
    <numFmt numFmtId="177" formatCode="#,##0.00000000"/>
  </numFmts>
  <fonts count="92">
    <font>
      <sz val="10"/>
      <name val="Arial"/>
    </font>
    <font>
      <sz val="10"/>
      <name val="Arial"/>
      <family val="2"/>
    </font>
    <font>
      <sz val="12"/>
      <name val="Arial"/>
      <family val="2"/>
    </font>
    <font>
      <sz val="10"/>
      <name val="Courier"/>
      <family val="3"/>
    </font>
    <font>
      <u/>
      <sz val="10"/>
      <color indexed="12"/>
      <name val="Arial"/>
      <family val="2"/>
    </font>
    <font>
      <b/>
      <sz val="10"/>
      <name val="Arial"/>
      <family val="2"/>
    </font>
    <font>
      <sz val="10"/>
      <name val="Times New Roman"/>
      <family val="1"/>
    </font>
    <font>
      <b/>
      <i/>
      <sz val="10"/>
      <name val="Times New Roman"/>
      <family val="1"/>
    </font>
    <font>
      <i/>
      <sz val="10"/>
      <name val="Times New Roman"/>
      <family val="1"/>
    </font>
    <font>
      <sz val="10"/>
      <name val="Times New Roman"/>
      <family val="1"/>
    </font>
    <font>
      <b/>
      <sz val="22"/>
      <name val="Times New Roman"/>
      <family val="1"/>
    </font>
    <font>
      <b/>
      <i/>
      <sz val="16"/>
      <name val="Times New Roman"/>
      <family val="1"/>
    </font>
    <font>
      <b/>
      <i/>
      <sz val="12"/>
      <name val="Times New Roman"/>
      <family val="1"/>
    </font>
    <font>
      <b/>
      <sz val="12"/>
      <name val="Times New Roman"/>
      <family val="1"/>
    </font>
    <font>
      <i/>
      <sz val="12"/>
      <name val="Times New Roman"/>
      <family val="1"/>
    </font>
    <font>
      <i/>
      <sz val="8"/>
      <color indexed="10"/>
      <name val="Times New Roman"/>
      <family val="1"/>
    </font>
    <font>
      <i/>
      <sz val="24"/>
      <name val="Times New Roman"/>
      <family val="1"/>
    </font>
    <font>
      <b/>
      <sz val="14"/>
      <name val="Times New Roman"/>
      <family val="1"/>
    </font>
    <font>
      <sz val="12"/>
      <name val="Times New Roman"/>
      <family val="1"/>
    </font>
    <font>
      <sz val="9"/>
      <name val="Times New Roman"/>
      <family val="1"/>
    </font>
    <font>
      <b/>
      <sz val="10"/>
      <color indexed="10"/>
      <name val="Times New Roman"/>
      <family val="1"/>
    </font>
    <font>
      <b/>
      <sz val="10"/>
      <name val="Times New Roman"/>
      <family val="1"/>
    </font>
    <font>
      <sz val="8"/>
      <name val="Times New Roman"/>
      <family val="1"/>
    </font>
    <font>
      <b/>
      <sz val="8"/>
      <color indexed="81"/>
      <name val="Tahoma"/>
      <family val="2"/>
    </font>
    <font>
      <b/>
      <sz val="9"/>
      <name val="Times New Roman"/>
      <family val="1"/>
    </font>
    <font>
      <sz val="8"/>
      <name val="Arial"/>
      <family val="2"/>
    </font>
    <font>
      <i/>
      <sz val="10"/>
      <color indexed="9"/>
      <name val="Times New Roman"/>
      <family val="1"/>
    </font>
    <font>
      <i/>
      <sz val="8"/>
      <name val="Times New Roman"/>
      <family val="1"/>
    </font>
    <font>
      <sz val="10"/>
      <color indexed="9"/>
      <name val="Times New Roman"/>
      <family val="1"/>
    </font>
    <font>
      <b/>
      <i/>
      <sz val="10"/>
      <color indexed="10"/>
      <name val="Times New Roman"/>
      <family val="1"/>
    </font>
    <font>
      <b/>
      <sz val="8"/>
      <name val="Times New Roman"/>
      <family val="1"/>
    </font>
    <font>
      <b/>
      <i/>
      <sz val="8"/>
      <name val="Times New Roman"/>
      <family val="1"/>
    </font>
    <font>
      <sz val="10"/>
      <color indexed="12"/>
      <name val="Times New Roman"/>
      <family val="1"/>
    </font>
    <font>
      <b/>
      <i/>
      <sz val="11"/>
      <name val="Times New Roman"/>
      <family val="1"/>
    </font>
    <font>
      <i/>
      <sz val="11"/>
      <name val="Times New Roman"/>
      <family val="1"/>
    </font>
    <font>
      <sz val="9"/>
      <color indexed="9"/>
      <name val="Times New Roman"/>
      <family val="1"/>
    </font>
    <font>
      <sz val="8"/>
      <color indexed="9"/>
      <name val="Times New Roman"/>
      <family val="1"/>
    </font>
    <font>
      <i/>
      <sz val="10"/>
      <color indexed="10"/>
      <name val="Times New Roman"/>
      <family val="1"/>
    </font>
    <font>
      <sz val="10"/>
      <color indexed="9"/>
      <name val="Arial"/>
      <family val="2"/>
    </font>
    <font>
      <b/>
      <sz val="24"/>
      <name val="Times New Roman"/>
      <family val="1"/>
    </font>
    <font>
      <b/>
      <sz val="16"/>
      <name val="Times New Roman"/>
      <family val="1"/>
    </font>
    <font>
      <b/>
      <sz val="20"/>
      <name val="Times New Roman"/>
      <family val="1"/>
    </font>
    <font>
      <b/>
      <u/>
      <sz val="10"/>
      <name val="Times New Roman"/>
      <family val="1"/>
    </font>
    <font>
      <sz val="10"/>
      <name val="Arial"/>
      <family val="2"/>
    </font>
    <font>
      <sz val="12"/>
      <color indexed="8"/>
      <name val="Times New Roman"/>
      <family val="1"/>
    </font>
    <font>
      <sz val="14"/>
      <name val="Arial"/>
      <family val="2"/>
    </font>
    <font>
      <b/>
      <sz val="12"/>
      <name val="Arial"/>
      <family val="2"/>
    </font>
    <font>
      <sz val="18"/>
      <name val="Arial"/>
      <family val="2"/>
    </font>
    <font>
      <sz val="11"/>
      <name val="Arial"/>
      <family val="2"/>
    </font>
    <font>
      <b/>
      <u/>
      <sz val="12"/>
      <name val="Times New Roman"/>
      <family val="1"/>
    </font>
    <font>
      <b/>
      <i/>
      <sz val="10"/>
      <name val="Arial"/>
      <family val="2"/>
    </font>
    <font>
      <b/>
      <sz val="10"/>
      <name val="Roman"/>
      <family val="1"/>
      <charset val="255"/>
    </font>
    <font>
      <sz val="11"/>
      <color indexed="8"/>
      <name val="Calibri"/>
      <family val="2"/>
    </font>
    <font>
      <sz val="12"/>
      <color indexed="8"/>
      <name val="Times New Roman"/>
      <family val="1"/>
    </font>
    <font>
      <b/>
      <sz val="12"/>
      <color indexed="8"/>
      <name val="Times New Roman"/>
      <family val="1"/>
    </font>
    <font>
      <b/>
      <i/>
      <sz val="12"/>
      <color indexed="8"/>
      <name val="Calibri"/>
      <family val="2"/>
    </font>
    <font>
      <b/>
      <sz val="11"/>
      <color indexed="8"/>
      <name val="Times New Roman"/>
      <family val="1"/>
    </font>
    <font>
      <sz val="11"/>
      <color indexed="8"/>
      <name val="Times New Roman"/>
      <family val="1"/>
    </font>
    <font>
      <b/>
      <u/>
      <sz val="12"/>
      <color indexed="8"/>
      <name val="Times New Roman"/>
      <family val="1"/>
    </font>
    <font>
      <i/>
      <sz val="12"/>
      <color indexed="8"/>
      <name val="Times New Roman"/>
      <family val="1"/>
    </font>
    <font>
      <b/>
      <sz val="12"/>
      <color indexed="8"/>
      <name val="Calibri"/>
      <family val="2"/>
    </font>
    <font>
      <b/>
      <sz val="10"/>
      <color indexed="10"/>
      <name val="Arial"/>
      <family val="2"/>
    </font>
    <font>
      <b/>
      <i/>
      <u/>
      <sz val="12"/>
      <color indexed="8"/>
      <name val="Times New Roman"/>
      <family val="1"/>
    </font>
    <font>
      <b/>
      <i/>
      <sz val="12"/>
      <color indexed="8"/>
      <name val="Times New Roman"/>
      <family val="1"/>
    </font>
    <font>
      <b/>
      <sz val="16"/>
      <color indexed="8"/>
      <name val="Times New Roman"/>
      <family val="1"/>
    </font>
    <font>
      <b/>
      <sz val="11"/>
      <color indexed="8"/>
      <name val="Roman"/>
      <family val="1"/>
      <charset val="255"/>
    </font>
    <font>
      <sz val="12"/>
      <color indexed="8"/>
      <name val="Times"/>
      <family val="1"/>
    </font>
    <font>
      <u/>
      <sz val="12"/>
      <color indexed="8"/>
      <name val="Times New Roman"/>
      <family val="1"/>
    </font>
    <font>
      <sz val="10"/>
      <color indexed="8"/>
      <name val="Times New Roman"/>
      <family val="1"/>
    </font>
    <font>
      <sz val="10"/>
      <name val="Arial"/>
      <family val="2"/>
    </font>
    <font>
      <b/>
      <i/>
      <sz val="9"/>
      <name val="Times New Roman"/>
      <family val="1"/>
    </font>
    <font>
      <i/>
      <sz val="9"/>
      <name val="Times New Roman"/>
      <family val="1"/>
    </font>
    <font>
      <i/>
      <sz val="9"/>
      <color indexed="10"/>
      <name val="Times New Roman"/>
      <family val="1"/>
    </font>
    <font>
      <sz val="9"/>
      <name val="Arial"/>
      <family val="2"/>
    </font>
    <font>
      <b/>
      <sz val="9"/>
      <color indexed="10"/>
      <name val="Times New Roman"/>
      <family val="1"/>
    </font>
    <font>
      <b/>
      <sz val="9"/>
      <name val="MS Sans Serif"/>
      <family val="2"/>
    </font>
    <font>
      <u/>
      <sz val="9"/>
      <color indexed="12"/>
      <name val="Arial"/>
      <family val="2"/>
    </font>
    <font>
      <sz val="9"/>
      <color indexed="10"/>
      <name val="Times New Roman"/>
      <family val="1"/>
    </font>
    <font>
      <b/>
      <i/>
      <sz val="9"/>
      <color indexed="10"/>
      <name val="Times New Roman"/>
      <family val="1"/>
    </font>
    <font>
      <b/>
      <i/>
      <sz val="9"/>
      <color indexed="9"/>
      <name val="Times New Roman"/>
      <family val="1"/>
    </font>
    <font>
      <sz val="9"/>
      <color indexed="12"/>
      <name val="Times New Roman"/>
      <family val="1"/>
    </font>
    <font>
      <b/>
      <sz val="9"/>
      <color indexed="9"/>
      <name val="Times New Roman"/>
      <family val="1"/>
    </font>
    <font>
      <sz val="9"/>
      <color indexed="14"/>
      <name val="Times New Roman"/>
      <family val="1"/>
    </font>
    <font>
      <sz val="11"/>
      <color theme="1"/>
      <name val="Calibri"/>
      <family val="2"/>
      <scheme val="minor"/>
    </font>
    <font>
      <u/>
      <sz val="11"/>
      <color theme="10"/>
      <name val="Calibri"/>
      <family val="2"/>
    </font>
    <font>
      <sz val="9.5"/>
      <color rgb="FF333333"/>
      <name val="Verdana"/>
      <family val="2"/>
    </font>
    <font>
      <i/>
      <sz val="8"/>
      <name val="Arial"/>
      <family val="2"/>
    </font>
    <font>
      <b/>
      <sz val="11"/>
      <name val="Arial"/>
      <family val="2"/>
    </font>
    <font>
      <b/>
      <sz val="12"/>
      <name val="Calibri"/>
      <family val="2"/>
      <scheme val="minor"/>
    </font>
    <font>
      <sz val="12"/>
      <name val="Calibri"/>
      <family val="2"/>
      <scheme val="minor"/>
    </font>
    <font>
      <sz val="11"/>
      <color rgb="FFFF0000"/>
      <name val="Calibri"/>
      <family val="2"/>
      <scheme val="minor"/>
    </font>
    <font>
      <b/>
      <i/>
      <sz val="13"/>
      <name val="Times New Roman"/>
      <family val="1"/>
    </font>
  </fonts>
  <fills count="25">
    <fill>
      <patternFill patternType="none"/>
    </fill>
    <fill>
      <patternFill patternType="gray125"/>
    </fill>
    <fill>
      <patternFill patternType="solid">
        <fgColor indexed="22"/>
        <bgColor indexed="22"/>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indexed="42"/>
        <bgColor indexed="22"/>
      </patternFill>
    </fill>
    <fill>
      <patternFill patternType="solid">
        <fgColor indexed="47"/>
        <bgColor indexed="64"/>
      </patternFill>
    </fill>
    <fill>
      <patternFill patternType="solid">
        <fgColor indexed="13"/>
        <bgColor indexed="64"/>
      </patternFill>
    </fill>
    <fill>
      <patternFill patternType="solid">
        <fgColor rgb="FFEFECE1"/>
        <bgColor indexed="64"/>
      </patternFill>
    </fill>
    <fill>
      <patternFill patternType="solid">
        <fgColor rgb="FFEFECE1"/>
        <bgColor indexed="9"/>
      </patternFill>
    </fill>
    <fill>
      <patternFill patternType="solid">
        <fgColor rgb="FFFF7C80"/>
        <bgColor indexed="64"/>
      </patternFill>
    </fill>
    <fill>
      <patternFill patternType="solid">
        <fgColor theme="2"/>
        <bgColor indexed="64"/>
      </patternFill>
    </fill>
    <fill>
      <patternFill patternType="solid">
        <fgColor theme="0" tint="-0.24994659260841701"/>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EFEBE1"/>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8"/>
        <bgColor indexed="64"/>
      </patternFill>
    </fill>
  </fills>
  <borders count="208">
    <border>
      <left/>
      <right/>
      <top/>
      <bottom/>
      <diagonal/>
    </border>
    <border>
      <left/>
      <right/>
      <top/>
      <bottom style="thin">
        <color indexed="64"/>
      </bottom>
      <diagonal/>
    </border>
    <border>
      <left/>
      <right/>
      <top/>
      <bottom style="thin">
        <color indexed="8"/>
      </bottom>
      <diagonal/>
    </border>
    <border>
      <left style="thin">
        <color indexed="8"/>
      </left>
      <right/>
      <top/>
      <bottom/>
      <diagonal/>
    </border>
    <border>
      <left style="double">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right style="double">
        <color indexed="64"/>
      </right>
      <top/>
      <bottom/>
      <diagonal/>
    </border>
    <border>
      <left style="thin">
        <color indexed="64"/>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right/>
      <top style="thin">
        <color indexed="64"/>
      </top>
      <bottom style="thick">
        <color indexed="64"/>
      </bottom>
      <diagonal/>
    </border>
    <border>
      <left style="thin">
        <color indexed="64"/>
      </left>
      <right style="double">
        <color indexed="56"/>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double">
        <color indexed="64"/>
      </right>
      <top style="thin">
        <color indexed="64"/>
      </top>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style="double">
        <color indexed="56"/>
      </left>
      <right/>
      <top style="double">
        <color indexed="56"/>
      </top>
      <bottom/>
      <diagonal/>
    </border>
    <border>
      <left/>
      <right/>
      <top style="double">
        <color indexed="56"/>
      </top>
      <bottom/>
      <diagonal/>
    </border>
    <border>
      <left/>
      <right/>
      <top style="double">
        <color indexed="56"/>
      </top>
      <bottom style="thin">
        <color indexed="56"/>
      </bottom>
      <diagonal/>
    </border>
    <border>
      <left/>
      <right style="double">
        <color indexed="56"/>
      </right>
      <top style="double">
        <color indexed="56"/>
      </top>
      <bottom/>
      <diagonal/>
    </border>
    <border>
      <left style="thin">
        <color indexed="64"/>
      </left>
      <right style="double">
        <color indexed="56"/>
      </right>
      <top style="thin">
        <color indexed="64"/>
      </top>
      <bottom/>
      <diagonal/>
    </border>
    <border>
      <left style="thin">
        <color indexed="64"/>
      </left>
      <right style="thin">
        <color indexed="64"/>
      </right>
      <top/>
      <bottom style="thick">
        <color indexed="64"/>
      </bottom>
      <diagonal/>
    </border>
    <border>
      <left style="thin">
        <color indexed="64"/>
      </left>
      <right style="double">
        <color indexed="56"/>
      </right>
      <top/>
      <bottom style="thick">
        <color indexed="64"/>
      </bottom>
      <diagonal/>
    </border>
    <border>
      <left style="double">
        <color indexed="56"/>
      </left>
      <right/>
      <top/>
      <bottom/>
      <diagonal/>
    </border>
    <border>
      <left/>
      <right style="double">
        <color indexed="56"/>
      </right>
      <top/>
      <bottom/>
      <diagonal/>
    </border>
    <border>
      <left/>
      <right/>
      <top style="thick">
        <color indexed="64"/>
      </top>
      <bottom style="thin">
        <color indexed="64"/>
      </bottom>
      <diagonal/>
    </border>
    <border>
      <left style="double">
        <color indexed="56"/>
      </left>
      <right/>
      <top/>
      <bottom style="double">
        <color indexed="56"/>
      </bottom>
      <diagonal/>
    </border>
    <border>
      <left/>
      <right/>
      <top/>
      <bottom style="double">
        <color indexed="56"/>
      </bottom>
      <diagonal/>
    </border>
    <border>
      <left/>
      <right style="thin">
        <color indexed="64"/>
      </right>
      <top/>
      <bottom style="thin">
        <color indexed="64"/>
      </bottom>
      <diagonal/>
    </border>
    <border>
      <left/>
      <right style="thin">
        <color indexed="64"/>
      </right>
      <top style="thin">
        <color indexed="64"/>
      </top>
      <bottom style="thick">
        <color indexed="64"/>
      </bottom>
      <diagonal/>
    </border>
    <border>
      <left style="double">
        <color indexed="56"/>
      </left>
      <right/>
      <top style="thick">
        <color indexed="64"/>
      </top>
      <bottom/>
      <diagonal/>
    </border>
    <border>
      <left/>
      <right style="double">
        <color indexed="56"/>
      </right>
      <top style="thick">
        <color indexed="64"/>
      </top>
      <bottom/>
      <diagonal/>
    </border>
    <border>
      <left style="thin">
        <color indexed="64"/>
      </left>
      <right style="double">
        <color indexed="56"/>
      </right>
      <top style="thin">
        <color indexed="64"/>
      </top>
      <bottom style="thin">
        <color indexed="64"/>
      </bottom>
      <diagonal/>
    </border>
    <border>
      <left style="thin">
        <color indexed="64"/>
      </left>
      <right style="double">
        <color indexed="56"/>
      </right>
      <top style="thin">
        <color indexed="64"/>
      </top>
      <bottom style="thick">
        <color indexed="64"/>
      </bottom>
      <diagonal/>
    </border>
    <border>
      <left style="double">
        <color indexed="56"/>
      </left>
      <right/>
      <top/>
      <bottom style="thick">
        <color indexed="64"/>
      </bottom>
      <diagonal/>
    </border>
    <border>
      <left/>
      <right style="double">
        <color indexed="56"/>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double">
        <color indexed="56"/>
      </right>
      <top style="thick">
        <color indexed="64"/>
      </top>
      <bottom style="thin">
        <color indexed="64"/>
      </bottom>
      <diagonal/>
    </border>
    <border>
      <left/>
      <right style="double">
        <color indexed="56"/>
      </right>
      <top/>
      <bottom style="double">
        <color indexed="56"/>
      </bottom>
      <diagonal/>
    </border>
    <border>
      <left style="double">
        <color indexed="56"/>
      </left>
      <right/>
      <top/>
      <bottom style="thick">
        <color indexed="56"/>
      </bottom>
      <diagonal/>
    </border>
    <border>
      <left/>
      <right/>
      <top/>
      <bottom style="thick">
        <color indexed="56"/>
      </bottom>
      <diagonal/>
    </border>
    <border>
      <left/>
      <right style="double">
        <color indexed="56"/>
      </right>
      <top/>
      <bottom style="thick">
        <color indexed="56"/>
      </bottom>
      <diagonal/>
    </border>
    <border>
      <left style="double">
        <color indexed="56"/>
      </left>
      <right/>
      <top style="thick">
        <color indexed="56"/>
      </top>
      <bottom/>
      <diagonal/>
    </border>
    <border>
      <left/>
      <right/>
      <top style="thick">
        <color indexed="56"/>
      </top>
      <bottom/>
      <diagonal/>
    </border>
    <border>
      <left/>
      <right style="double">
        <color indexed="56"/>
      </right>
      <top style="thick">
        <color indexed="56"/>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double">
        <color indexed="64"/>
      </top>
      <bottom style="thin">
        <color indexed="64"/>
      </bottom>
      <diagonal/>
    </border>
    <border>
      <left style="thick">
        <color indexed="64"/>
      </left>
      <right style="double">
        <color indexed="64"/>
      </right>
      <top style="double">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style="thick">
        <color indexed="64"/>
      </right>
      <top style="double">
        <color indexed="64"/>
      </top>
      <bottom style="double">
        <color indexed="64"/>
      </bottom>
      <diagonal/>
    </border>
    <border>
      <left style="thick">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double">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diagonal/>
    </border>
    <border>
      <left style="thick">
        <color indexed="64"/>
      </left>
      <right/>
      <top style="thick">
        <color indexed="64"/>
      </top>
      <bottom style="thick">
        <color indexed="64"/>
      </bottom>
      <diagonal/>
    </border>
    <border>
      <left style="thin">
        <color indexed="64"/>
      </left>
      <right style="thick">
        <color indexed="64"/>
      </right>
      <top/>
      <bottom/>
      <diagonal/>
    </border>
    <border>
      <left style="thick">
        <color indexed="64"/>
      </left>
      <right style="thin">
        <color indexed="64"/>
      </right>
      <top/>
      <bottom/>
      <diagonal/>
    </border>
    <border>
      <left style="thick">
        <color indexed="64"/>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right style="double">
        <color indexed="64"/>
      </right>
      <top style="thin">
        <color indexed="64"/>
      </top>
      <bottom style="thin">
        <color indexed="64"/>
      </bottom>
      <diagonal/>
    </border>
    <border>
      <left/>
      <right/>
      <top style="thick">
        <color indexed="64"/>
      </top>
      <bottom style="double">
        <color indexed="64"/>
      </bottom>
      <diagonal/>
    </border>
    <border>
      <left/>
      <right/>
      <top/>
      <bottom style="double">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43" fontId="43" fillId="0" borderId="0" applyFont="0" applyFill="0" applyBorder="0" applyAlignment="0" applyProtection="0"/>
    <xf numFmtId="44" fontId="43" fillId="0" borderId="0" applyFont="0" applyFill="0" applyBorder="0" applyAlignment="0" applyProtection="0"/>
    <xf numFmtId="44" fontId="52" fillId="0" borderId="0" applyFont="0" applyFill="0" applyBorder="0" applyAlignment="0" applyProtection="0"/>
    <xf numFmtId="167" fontId="1" fillId="0" borderId="1"/>
    <xf numFmtId="167" fontId="69" fillId="0" borderId="1"/>
    <xf numFmtId="167" fontId="43" fillId="0" borderId="1"/>
    <xf numFmtId="167" fontId="2" fillId="0" borderId="0" applyBorder="0"/>
    <xf numFmtId="0" fontId="3" fillId="0" borderId="2">
      <alignment vertical="center"/>
    </xf>
    <xf numFmtId="0" fontId="4" fillId="0" borderId="0" applyNumberFormat="0" applyFill="0" applyBorder="0" applyAlignment="0" applyProtection="0">
      <alignment vertical="top"/>
      <protection locked="0"/>
    </xf>
    <xf numFmtId="38" fontId="5" fillId="0" borderId="0"/>
    <xf numFmtId="173" fontId="22" fillId="0" borderId="0"/>
    <xf numFmtId="0" fontId="69" fillId="0" borderId="0"/>
    <xf numFmtId="0" fontId="43" fillId="0" borderId="0"/>
    <xf numFmtId="0" fontId="83" fillId="0" borderId="0"/>
    <xf numFmtId="0" fontId="6" fillId="0" borderId="0"/>
    <xf numFmtId="0" fontId="6" fillId="0" borderId="0"/>
    <xf numFmtId="9" fontId="43" fillId="0" borderId="0" applyFont="0" applyFill="0" applyBorder="0" applyAlignment="0" applyProtection="0"/>
    <xf numFmtId="9" fontId="52" fillId="0" borderId="0" applyFont="0" applyFill="0" applyBorder="0" applyAlignment="0" applyProtection="0"/>
    <xf numFmtId="171" fontId="3" fillId="2" borderId="3"/>
  </cellStyleXfs>
  <cellXfs count="1430">
    <xf numFmtId="0" fontId="0" fillId="0" borderId="0" xfId="0"/>
    <xf numFmtId="0" fontId="7" fillId="0" borderId="0" xfId="0" applyFont="1" applyProtection="1"/>
    <xf numFmtId="0" fontId="9" fillId="0" borderId="0" xfId="0" applyFont="1" applyBorder="1" applyProtection="1"/>
    <xf numFmtId="0" fontId="9" fillId="0" borderId="0" xfId="0" applyFont="1" applyProtection="1"/>
    <xf numFmtId="0" fontId="19" fillId="0" borderId="0" xfId="0" applyFont="1" applyProtection="1"/>
    <xf numFmtId="0" fontId="9" fillId="0" borderId="0" xfId="0" applyFont="1" applyBorder="1" applyAlignment="1" applyProtection="1">
      <alignment horizontal="center"/>
    </xf>
    <xf numFmtId="0" fontId="20" fillId="0" borderId="0" xfId="0" applyFont="1" applyBorder="1" applyProtection="1"/>
    <xf numFmtId="0" fontId="19" fillId="0" borderId="0" xfId="0" applyFont="1" applyBorder="1" applyProtection="1"/>
    <xf numFmtId="0" fontId="15" fillId="0" borderId="0" xfId="0" applyFont="1" applyBorder="1" applyProtection="1"/>
    <xf numFmtId="0" fontId="12" fillId="3" borderId="4" xfId="0" applyFont="1" applyFill="1" applyBorder="1" applyAlignment="1" applyProtection="1">
      <alignment horizontal="left"/>
    </xf>
    <xf numFmtId="0" fontId="12" fillId="3" borderId="5" xfId="0" applyFont="1" applyFill="1" applyBorder="1" applyAlignment="1" applyProtection="1">
      <alignment horizontal="centerContinuous"/>
    </xf>
    <xf numFmtId="0" fontId="12" fillId="3" borderId="6" xfId="0" applyFont="1" applyFill="1" applyBorder="1" applyAlignment="1" applyProtection="1">
      <alignment horizontal="left"/>
    </xf>
    <xf numFmtId="0" fontId="12" fillId="3" borderId="7" xfId="0" applyFont="1" applyFill="1" applyBorder="1" applyAlignment="1" applyProtection="1">
      <alignment horizontal="left"/>
    </xf>
    <xf numFmtId="0" fontId="12" fillId="3" borderId="8" xfId="0" applyFont="1" applyFill="1" applyBorder="1" applyAlignment="1" applyProtection="1">
      <alignment horizontal="centerContinuous"/>
    </xf>
    <xf numFmtId="0" fontId="12" fillId="3" borderId="9" xfId="0" applyFont="1" applyFill="1" applyBorder="1" applyAlignment="1" applyProtection="1">
      <alignment horizontal="left"/>
    </xf>
    <xf numFmtId="0" fontId="12" fillId="3" borderId="5" xfId="0" applyFont="1" applyFill="1" applyBorder="1" applyAlignment="1" applyProtection="1">
      <alignment horizontal="left"/>
    </xf>
    <xf numFmtId="0" fontId="12" fillId="3" borderId="6" xfId="0" applyFont="1" applyFill="1" applyBorder="1" applyAlignment="1" applyProtection="1">
      <alignment horizontal="center"/>
    </xf>
    <xf numFmtId="0" fontId="12" fillId="3" borderId="7" xfId="0" applyFont="1" applyFill="1" applyBorder="1" applyAlignment="1" applyProtection="1">
      <alignment horizontal="center"/>
    </xf>
    <xf numFmtId="0" fontId="12" fillId="3" borderId="5" xfId="0" applyFont="1" applyFill="1" applyBorder="1" applyAlignment="1" applyProtection="1">
      <alignment horizontal="center"/>
    </xf>
    <xf numFmtId="0" fontId="12" fillId="3" borderId="8" xfId="0" applyFont="1" applyFill="1" applyBorder="1" applyAlignment="1" applyProtection="1">
      <alignment horizontal="center" wrapText="1"/>
    </xf>
    <xf numFmtId="0" fontId="7" fillId="0" borderId="0" xfId="0" applyFont="1" applyBorder="1" applyProtection="1"/>
    <xf numFmtId="0" fontId="9" fillId="0" borderId="0" xfId="0" applyFont="1"/>
    <xf numFmtId="0" fontId="22" fillId="0" borderId="0" xfId="0" applyFont="1" applyProtection="1"/>
    <xf numFmtId="0" fontId="9" fillId="0" borderId="0" xfId="0" applyFont="1" applyBorder="1"/>
    <xf numFmtId="0" fontId="0" fillId="0" borderId="0" xfId="0" applyProtection="1"/>
    <xf numFmtId="0" fontId="9" fillId="0" borderId="0" xfId="16" applyFont="1" applyBorder="1"/>
    <xf numFmtId="0" fontId="9" fillId="0" borderId="0" xfId="16" applyFont="1" applyAlignment="1"/>
    <xf numFmtId="0" fontId="9" fillId="0" borderId="0" xfId="16" applyFont="1"/>
    <xf numFmtId="0" fontId="30" fillId="0" borderId="10" xfId="0" applyFont="1" applyFill="1" applyBorder="1"/>
    <xf numFmtId="0" fontId="22" fillId="0" borderId="10" xfId="0" applyFont="1" applyFill="1" applyBorder="1" applyAlignment="1">
      <alignment horizontal="left"/>
    </xf>
    <xf numFmtId="0" fontId="30" fillId="0" borderId="0" xfId="16" applyFont="1"/>
    <xf numFmtId="0" fontId="30" fillId="3" borderId="11" xfId="16" applyFont="1" applyFill="1" applyBorder="1" applyAlignment="1">
      <alignment horizontal="centerContinuous"/>
    </xf>
    <xf numFmtId="0" fontId="29" fillId="0" borderId="0" xfId="0" applyFont="1"/>
    <xf numFmtId="0" fontId="30" fillId="0" borderId="11" xfId="16" applyFont="1" applyBorder="1" applyAlignment="1">
      <alignment horizontal="center"/>
    </xf>
    <xf numFmtId="0" fontId="33" fillId="0" borderId="12" xfId="0" applyFont="1" applyBorder="1"/>
    <xf numFmtId="0" fontId="9" fillId="0" borderId="13" xfId="0" applyFont="1" applyBorder="1"/>
    <xf numFmtId="167" fontId="22" fillId="0" borderId="14" xfId="0" applyNumberFormat="1" applyFont="1" applyBorder="1"/>
    <xf numFmtId="167" fontId="22" fillId="0" borderId="15" xfId="0" applyNumberFormat="1" applyFont="1" applyBorder="1"/>
    <xf numFmtId="167" fontId="9" fillId="0" borderId="14" xfId="0" applyNumberFormat="1" applyFont="1" applyBorder="1"/>
    <xf numFmtId="167" fontId="9" fillId="0" borderId="15" xfId="0" applyNumberFormat="1" applyFont="1" applyBorder="1"/>
    <xf numFmtId="167" fontId="9" fillId="0" borderId="16" xfId="0" applyNumberFormat="1" applyFont="1" applyBorder="1"/>
    <xf numFmtId="0" fontId="9" fillId="0" borderId="10" xfId="0" applyFont="1" applyBorder="1"/>
    <xf numFmtId="0" fontId="9" fillId="0" borderId="17" xfId="0" applyFont="1" applyBorder="1"/>
    <xf numFmtId="6" fontId="22" fillId="0" borderId="14" xfId="0" applyNumberFormat="1" applyFont="1" applyBorder="1"/>
    <xf numFmtId="6" fontId="22" fillId="0" borderId="18" xfId="0" applyNumberFormat="1" applyFont="1" applyBorder="1"/>
    <xf numFmtId="6" fontId="22" fillId="0" borderId="16" xfId="0" applyNumberFormat="1" applyFont="1" applyBorder="1"/>
    <xf numFmtId="0" fontId="21" fillId="0" borderId="0" xfId="16" applyFont="1"/>
    <xf numFmtId="0" fontId="33" fillId="0" borderId="10" xfId="0" applyFont="1" applyBorder="1"/>
    <xf numFmtId="0" fontId="21" fillId="0" borderId="17" xfId="0" applyFont="1" applyBorder="1"/>
    <xf numFmtId="6" fontId="30" fillId="0" borderId="14" xfId="0" applyNumberFormat="1" applyFont="1" applyBorder="1"/>
    <xf numFmtId="6" fontId="30" fillId="0" borderId="16" xfId="0" applyNumberFormat="1" applyFont="1" applyBorder="1"/>
    <xf numFmtId="0" fontId="33" fillId="0" borderId="10" xfId="0" applyFont="1" applyBorder="1" applyAlignment="1">
      <alignment horizontal="left"/>
    </xf>
    <xf numFmtId="0" fontId="9" fillId="0" borderId="10" xfId="0" applyFont="1" applyBorder="1" applyAlignment="1">
      <alignment horizontal="left"/>
    </xf>
    <xf numFmtId="0" fontId="9" fillId="0" borderId="10" xfId="0" quotePrefix="1" applyFont="1" applyBorder="1" applyAlignment="1">
      <alignment horizontal="left"/>
    </xf>
    <xf numFmtId="0" fontId="21" fillId="0" borderId="10" xfId="0" applyFont="1" applyBorder="1"/>
    <xf numFmtId="6" fontId="30" fillId="0" borderId="18" xfId="0" applyNumberFormat="1" applyFont="1" applyBorder="1"/>
    <xf numFmtId="0" fontId="34" fillId="0" borderId="10" xfId="0" applyFont="1" applyBorder="1"/>
    <xf numFmtId="0" fontId="21" fillId="0" borderId="10" xfId="0" applyFont="1" applyBorder="1" applyAlignment="1">
      <alignment horizontal="left"/>
    </xf>
    <xf numFmtId="0" fontId="33" fillId="3" borderId="19" xfId="0" applyFont="1" applyFill="1" applyBorder="1"/>
    <xf numFmtId="0" fontId="21" fillId="3" borderId="20" xfId="0" applyFont="1" applyFill="1" applyBorder="1"/>
    <xf numFmtId="6" fontId="30" fillId="3" borderId="21" xfId="0" applyNumberFormat="1" applyFont="1" applyFill="1" applyBorder="1"/>
    <xf numFmtId="6" fontId="30" fillId="3" borderId="22" xfId="0" applyNumberFormat="1" applyFont="1" applyFill="1" applyBorder="1"/>
    <xf numFmtId="6" fontId="30" fillId="3" borderId="23" xfId="0" applyNumberFormat="1" applyFont="1" applyFill="1" applyBorder="1"/>
    <xf numFmtId="6" fontId="22" fillId="0" borderId="17" xfId="0" applyNumberFormat="1" applyFont="1" applyBorder="1"/>
    <xf numFmtId="0" fontId="21" fillId="0" borderId="0" xfId="0" applyFont="1" applyBorder="1"/>
    <xf numFmtId="0" fontId="8" fillId="0" borderId="10" xfId="0" applyFont="1" applyBorder="1"/>
    <xf numFmtId="6" fontId="22" fillId="0" borderId="10" xfId="0" applyNumberFormat="1" applyFont="1" applyBorder="1"/>
    <xf numFmtId="0" fontId="9" fillId="0" borderId="24" xfId="0" applyFont="1" applyBorder="1"/>
    <xf numFmtId="0" fontId="9" fillId="0" borderId="25" xfId="0" applyFont="1" applyBorder="1"/>
    <xf numFmtId="2" fontId="22" fillId="0" borderId="24" xfId="0" applyNumberFormat="1" applyFont="1" applyBorder="1" applyAlignment="1">
      <alignment horizontal="center"/>
    </xf>
    <xf numFmtId="0" fontId="22" fillId="0" borderId="25" xfId="0" applyFont="1" applyBorder="1" applyAlignment="1">
      <alignment horizontal="center"/>
    </xf>
    <xf numFmtId="0" fontId="35" fillId="0" borderId="0" xfId="0" applyFont="1" applyProtection="1"/>
    <xf numFmtId="6" fontId="22" fillId="4" borderId="16" xfId="16" applyNumberFormat="1" applyFont="1" applyFill="1" applyBorder="1" applyAlignment="1" applyProtection="1">
      <alignment horizontal="right"/>
      <protection locked="0"/>
    </xf>
    <xf numFmtId="0" fontId="22" fillId="0" borderId="0" xfId="16" applyFont="1" applyBorder="1" applyProtection="1"/>
    <xf numFmtId="0" fontId="30" fillId="3" borderId="26" xfId="16" applyFont="1" applyFill="1" applyBorder="1" applyAlignment="1" applyProtection="1">
      <alignment horizontal="centerContinuous"/>
    </xf>
    <xf numFmtId="0" fontId="30" fillId="3" borderId="27" xfId="16" applyFont="1" applyFill="1" applyBorder="1" applyAlignment="1" applyProtection="1">
      <alignment horizontal="centerContinuous"/>
    </xf>
    <xf numFmtId="0" fontId="22" fillId="3" borderId="27" xfId="16" applyFont="1" applyFill="1" applyBorder="1" applyAlignment="1" applyProtection="1">
      <alignment horizontal="centerContinuous"/>
    </xf>
    <xf numFmtId="0" fontId="22" fillId="3" borderId="28" xfId="16" applyFont="1" applyFill="1" applyBorder="1" applyAlignment="1" applyProtection="1">
      <alignment horizontal="centerContinuous"/>
    </xf>
    <xf numFmtId="0" fontId="30" fillId="0" borderId="0" xfId="16" applyFont="1" applyBorder="1" applyAlignment="1" applyProtection="1">
      <alignment horizontal="center"/>
    </xf>
    <xf numFmtId="0" fontId="30" fillId="3" borderId="29" xfId="16" applyFont="1" applyFill="1" applyBorder="1" applyAlignment="1" applyProtection="1">
      <alignment horizontal="center"/>
    </xf>
    <xf numFmtId="0" fontId="22" fillId="0" borderId="29" xfId="16" applyFont="1" applyBorder="1" applyAlignment="1" applyProtection="1">
      <alignment horizontal="center"/>
    </xf>
    <xf numFmtId="6" fontId="22" fillId="0" borderId="29" xfId="16" applyNumberFormat="1" applyFont="1" applyBorder="1" applyAlignment="1" applyProtection="1">
      <alignment horizontal="center"/>
    </xf>
    <xf numFmtId="6" fontId="22" fillId="0" borderId="29" xfId="0" applyNumberFormat="1" applyFont="1" applyBorder="1" applyProtection="1"/>
    <xf numFmtId="9" fontId="22" fillId="0" borderId="29" xfId="0" applyNumberFormat="1" applyFont="1" applyBorder="1" applyProtection="1"/>
    <xf numFmtId="9" fontId="30" fillId="4" borderId="29" xfId="16" applyNumberFormat="1" applyFont="1" applyFill="1" applyBorder="1" applyAlignment="1" applyProtection="1">
      <alignment horizontal="center"/>
      <protection locked="0"/>
    </xf>
    <xf numFmtId="0" fontId="0" fillId="0" borderId="0" xfId="0" applyAlignment="1"/>
    <xf numFmtId="0" fontId="9" fillId="0" borderId="0" xfId="0" applyFont="1" applyAlignment="1" applyProtection="1">
      <alignment horizontal="center"/>
    </xf>
    <xf numFmtId="169" fontId="36" fillId="0" borderId="0" xfId="0" applyNumberFormat="1" applyFont="1"/>
    <xf numFmtId="169" fontId="28" fillId="0" borderId="0" xfId="0" applyNumberFormat="1" applyFont="1"/>
    <xf numFmtId="0" fontId="0" fillId="0" borderId="0" xfId="0" applyAlignment="1" applyProtection="1"/>
    <xf numFmtId="0" fontId="0" fillId="0" borderId="30" xfId="0" applyBorder="1" applyProtection="1"/>
    <xf numFmtId="22" fontId="38" fillId="0" borderId="30" xfId="0" applyNumberFormat="1" applyFont="1" applyBorder="1" applyProtection="1"/>
    <xf numFmtId="0" fontId="0" fillId="0" borderId="0" xfId="0" applyAlignment="1" applyProtection="1">
      <alignment horizontal="center"/>
    </xf>
    <xf numFmtId="0" fontId="9" fillId="0" borderId="0" xfId="0" applyFont="1" applyAlignment="1">
      <alignment horizontal="center"/>
    </xf>
    <xf numFmtId="0" fontId="9" fillId="5" borderId="0" xfId="0" applyFont="1" applyFill="1" applyAlignment="1" applyProtection="1">
      <alignment horizontal="centerContinuous"/>
    </xf>
    <xf numFmtId="0" fontId="9" fillId="5" borderId="0" xfId="0" applyFont="1" applyFill="1" applyAlignment="1" applyProtection="1"/>
    <xf numFmtId="0" fontId="13" fillId="3" borderId="26" xfId="0" applyFont="1" applyFill="1" applyBorder="1" applyAlignment="1" applyProtection="1">
      <alignment horizontal="centerContinuous"/>
    </xf>
    <xf numFmtId="0" fontId="42" fillId="3" borderId="27" xfId="0" applyFont="1" applyFill="1" applyBorder="1" applyAlignment="1" applyProtection="1">
      <alignment horizontal="centerContinuous"/>
    </xf>
    <xf numFmtId="0" fontId="9" fillId="3" borderId="27" xfId="0" applyFont="1" applyFill="1" applyBorder="1" applyAlignment="1" applyProtection="1">
      <alignment horizontal="centerContinuous"/>
    </xf>
    <xf numFmtId="0" fontId="9" fillId="3" borderId="28" xfId="0" applyFont="1" applyFill="1" applyBorder="1" applyAlignment="1" applyProtection="1">
      <alignment horizontal="centerContinuous"/>
    </xf>
    <xf numFmtId="0" fontId="0" fillId="0" borderId="0" xfId="0" quotePrefix="1" applyNumberFormat="1"/>
    <xf numFmtId="0" fontId="22" fillId="5" borderId="27" xfId="0" applyFont="1" applyFill="1" applyBorder="1" applyAlignment="1" applyProtection="1">
      <alignment horizontal="left"/>
      <protection locked="0"/>
    </xf>
    <xf numFmtId="167" fontId="22" fillId="5" borderId="26" xfId="0" applyNumberFormat="1" applyFont="1" applyFill="1" applyBorder="1" applyAlignment="1" applyProtection="1">
      <alignment horizontal="left"/>
      <protection locked="0"/>
    </xf>
    <xf numFmtId="0" fontId="6" fillId="0" borderId="0" xfId="0" applyFont="1" applyProtection="1"/>
    <xf numFmtId="0" fontId="18" fillId="0" borderId="0" xfId="0" applyFont="1"/>
    <xf numFmtId="14" fontId="0" fillId="0" borderId="0" xfId="0" applyNumberFormat="1"/>
    <xf numFmtId="0" fontId="43" fillId="0" borderId="0" xfId="0" applyFont="1"/>
    <xf numFmtId="0" fontId="0" fillId="0" borderId="0" xfId="0" applyAlignment="1">
      <alignment wrapText="1"/>
    </xf>
    <xf numFmtId="0" fontId="40" fillId="5" borderId="0" xfId="0" applyFont="1" applyFill="1" applyBorder="1" applyAlignment="1" applyProtection="1">
      <alignment horizontal="left" wrapText="1"/>
    </xf>
    <xf numFmtId="0" fontId="6" fillId="6" borderId="31" xfId="0" applyFont="1" applyFill="1" applyBorder="1" applyAlignment="1" applyProtection="1">
      <alignment horizontal="justify" vertical="top" wrapText="1"/>
      <protection locked="0"/>
    </xf>
    <xf numFmtId="0" fontId="21" fillId="6" borderId="31" xfId="0" applyFont="1" applyFill="1" applyBorder="1" applyAlignment="1" applyProtection="1">
      <alignment horizontal="justify" vertical="top" wrapText="1"/>
      <protection locked="0"/>
    </xf>
    <xf numFmtId="14" fontId="21" fillId="6" borderId="31" xfId="0" applyNumberFormat="1" applyFont="1" applyFill="1" applyBorder="1" applyAlignment="1" applyProtection="1">
      <alignment horizontal="justify" vertical="top" wrapText="1"/>
      <protection locked="0"/>
    </xf>
    <xf numFmtId="0" fontId="6" fillId="6" borderId="32" xfId="0" applyFont="1" applyFill="1" applyBorder="1" applyAlignment="1" applyProtection="1">
      <alignment horizontal="justify" vertical="top" wrapText="1"/>
      <protection locked="0"/>
    </xf>
    <xf numFmtId="0" fontId="21" fillId="6" borderId="32" xfId="0" applyFont="1" applyFill="1" applyBorder="1" applyAlignment="1" applyProtection="1">
      <alignment horizontal="justify" vertical="top" wrapText="1"/>
      <protection locked="0"/>
    </xf>
    <xf numFmtId="14" fontId="21" fillId="6" borderId="32" xfId="0" applyNumberFormat="1" applyFont="1" applyFill="1" applyBorder="1" applyAlignment="1" applyProtection="1">
      <alignment horizontal="justify" vertical="top" wrapText="1"/>
      <protection locked="0"/>
    </xf>
    <xf numFmtId="0" fontId="9" fillId="7" borderId="0" xfId="0" applyFont="1" applyFill="1"/>
    <xf numFmtId="3" fontId="22" fillId="6" borderId="33" xfId="0" applyNumberFormat="1" applyFont="1" applyFill="1" applyBorder="1" applyAlignment="1" applyProtection="1">
      <alignment horizontal="center"/>
      <protection locked="0"/>
    </xf>
    <xf numFmtId="0" fontId="19" fillId="0" borderId="33" xfId="0" applyFont="1" applyBorder="1" applyAlignment="1" applyProtection="1">
      <alignment horizontal="center"/>
    </xf>
    <xf numFmtId="3" fontId="22" fillId="6" borderId="29" xfId="0" applyNumberFormat="1" applyFont="1" applyFill="1" applyBorder="1" applyAlignment="1" applyProtection="1">
      <alignment horizontal="center"/>
      <protection locked="0"/>
    </xf>
    <xf numFmtId="165" fontId="19" fillId="0" borderId="29" xfId="0" applyNumberFormat="1" applyFont="1" applyFill="1" applyBorder="1" applyAlignment="1" applyProtection="1">
      <alignment horizontal="center"/>
    </xf>
    <xf numFmtId="165" fontId="19" fillId="0" borderId="34" xfId="0" applyNumberFormat="1" applyFont="1" applyFill="1" applyBorder="1" applyAlignment="1" applyProtection="1">
      <alignment horizontal="center"/>
    </xf>
    <xf numFmtId="165" fontId="19" fillId="4" borderId="29" xfId="0" applyNumberFormat="1" applyFont="1" applyFill="1" applyBorder="1" applyAlignment="1" applyProtection="1">
      <alignment horizontal="center"/>
      <protection locked="0"/>
    </xf>
    <xf numFmtId="165" fontId="24" fillId="0" borderId="29" xfId="0" applyNumberFormat="1" applyFont="1" applyFill="1" applyBorder="1" applyAlignment="1" applyProtection="1">
      <alignment horizontal="center"/>
    </xf>
    <xf numFmtId="3" fontId="19" fillId="0" borderId="33" xfId="0" applyNumberFormat="1" applyFont="1" applyBorder="1" applyAlignment="1" applyProtection="1">
      <alignment horizontal="center"/>
    </xf>
    <xf numFmtId="3" fontId="19" fillId="0" borderId="29" xfId="0" applyNumberFormat="1" applyFont="1" applyFill="1" applyBorder="1" applyAlignment="1" applyProtection="1">
      <alignment horizontal="center"/>
    </xf>
    <xf numFmtId="3" fontId="24" fillId="0" borderId="29" xfId="0" applyNumberFormat="1" applyFont="1" applyFill="1" applyBorder="1" applyAlignment="1" applyProtection="1">
      <alignment horizontal="center"/>
    </xf>
    <xf numFmtId="168" fontId="21" fillId="6" borderId="35" xfId="0" applyNumberFormat="1" applyFont="1" applyFill="1" applyBorder="1" applyAlignment="1" applyProtection="1">
      <alignment horizontal="right"/>
      <protection locked="0"/>
    </xf>
    <xf numFmtId="167" fontId="22" fillId="6" borderId="35" xfId="0" applyNumberFormat="1" applyFont="1" applyFill="1" applyBorder="1" applyAlignment="1" applyProtection="1">
      <alignment horizontal="right"/>
      <protection locked="0"/>
    </xf>
    <xf numFmtId="0" fontId="9" fillId="6" borderId="36" xfId="0" applyFont="1" applyFill="1" applyBorder="1" applyAlignment="1" applyProtection="1">
      <alignment horizontal="left" wrapText="1"/>
      <protection locked="0"/>
    </xf>
    <xf numFmtId="168" fontId="21" fillId="6" borderId="29" xfId="0" applyNumberFormat="1" applyFont="1" applyFill="1" applyBorder="1" applyAlignment="1" applyProtection="1">
      <alignment horizontal="right"/>
      <protection locked="0"/>
    </xf>
    <xf numFmtId="167" fontId="22" fillId="6" borderId="29" xfId="0" applyNumberFormat="1" applyFont="1" applyFill="1" applyBorder="1" applyAlignment="1" applyProtection="1">
      <alignment horizontal="right"/>
      <protection locked="0"/>
    </xf>
    <xf numFmtId="0" fontId="9" fillId="6" borderId="37" xfId="0" applyFont="1" applyFill="1" applyBorder="1" applyAlignment="1" applyProtection="1">
      <alignment horizontal="left" wrapText="1"/>
      <protection locked="0"/>
    </xf>
    <xf numFmtId="167" fontId="22" fillId="6" borderId="38" xfId="0" applyNumberFormat="1" applyFont="1" applyFill="1" applyBorder="1" applyAlignment="1" applyProtection="1">
      <alignment horizontal="right"/>
      <protection locked="0"/>
    </xf>
    <xf numFmtId="0" fontId="9" fillId="6" borderId="39" xfId="0" applyFont="1" applyFill="1" applyBorder="1" applyAlignment="1" applyProtection="1">
      <alignment horizontal="left" wrapText="1"/>
      <protection locked="0"/>
    </xf>
    <xf numFmtId="0" fontId="9" fillId="6" borderId="40" xfId="0" applyFont="1" applyFill="1" applyBorder="1" applyAlignment="1" applyProtection="1">
      <alignment horizontal="left" wrapText="1"/>
      <protection locked="0"/>
    </xf>
    <xf numFmtId="0" fontId="6" fillId="6" borderId="29" xfId="0" applyFont="1" applyFill="1" applyBorder="1" applyAlignment="1" applyProtection="1">
      <alignment horizontal="left" vertical="center" wrapText="1"/>
      <protection locked="0"/>
    </xf>
    <xf numFmtId="0" fontId="9" fillId="6" borderId="29" xfId="0" applyFont="1" applyFill="1" applyBorder="1" applyAlignment="1" applyProtection="1">
      <alignment horizontal="left" vertical="center" wrapText="1"/>
      <protection locked="0"/>
    </xf>
    <xf numFmtId="0" fontId="9" fillId="0" borderId="0" xfId="16" applyFont="1" applyFill="1" applyBorder="1"/>
    <xf numFmtId="0" fontId="9" fillId="0" borderId="0" xfId="0" applyFont="1" applyFill="1"/>
    <xf numFmtId="0" fontId="9" fillId="7" borderId="0" xfId="0" applyFont="1" applyFill="1" applyBorder="1"/>
    <xf numFmtId="0" fontId="9" fillId="7" borderId="17" xfId="0" applyFont="1" applyFill="1" applyBorder="1"/>
    <xf numFmtId="0" fontId="32" fillId="6" borderId="27" xfId="16" applyFont="1" applyFill="1" applyBorder="1" applyProtection="1">
      <protection locked="0"/>
    </xf>
    <xf numFmtId="0" fontId="32" fillId="6" borderId="28" xfId="0" applyFont="1" applyFill="1" applyBorder="1" applyProtection="1">
      <protection locked="0"/>
    </xf>
    <xf numFmtId="168" fontId="22" fillId="6" borderId="41" xfId="16" applyNumberFormat="1" applyFont="1" applyFill="1" applyBorder="1" applyAlignment="1" applyProtection="1">
      <alignment horizontal="center"/>
      <protection locked="0"/>
    </xf>
    <xf numFmtId="0" fontId="9" fillId="6" borderId="42" xfId="16" applyFont="1" applyFill="1" applyBorder="1" applyProtection="1">
      <protection locked="0"/>
    </xf>
    <xf numFmtId="168" fontId="22" fillId="6" borderId="43" xfId="0" applyNumberFormat="1" applyFont="1" applyFill="1" applyBorder="1" applyAlignment="1" applyProtection="1">
      <alignment horizontal="center"/>
      <protection locked="0"/>
    </xf>
    <xf numFmtId="168" fontId="30" fillId="6" borderId="43" xfId="0" applyNumberFormat="1" applyFont="1" applyFill="1" applyBorder="1" applyAlignment="1" applyProtection="1">
      <alignment horizontal="center"/>
      <protection locked="0"/>
    </xf>
    <xf numFmtId="0" fontId="21" fillId="3" borderId="41" xfId="16" applyFont="1" applyFill="1" applyBorder="1" applyAlignment="1">
      <alignment horizontal="center"/>
    </xf>
    <xf numFmtId="0" fontId="21" fillId="6" borderId="29" xfId="0" applyFont="1" applyFill="1" applyBorder="1" applyAlignment="1" applyProtection="1">
      <alignment horizontal="center"/>
      <protection locked="0"/>
    </xf>
    <xf numFmtId="0" fontId="21" fillId="6" borderId="28" xfId="0" applyFont="1" applyFill="1" applyBorder="1" applyAlignment="1" applyProtection="1">
      <alignment horizontal="center"/>
    </xf>
    <xf numFmtId="0" fontId="21" fillId="8" borderId="44" xfId="0" applyFont="1" applyFill="1" applyBorder="1" applyAlignment="1" applyProtection="1">
      <alignment horizontal="center" vertical="center"/>
    </xf>
    <xf numFmtId="0" fontId="9" fillId="7" borderId="42" xfId="0" applyFont="1" applyFill="1" applyBorder="1" applyAlignment="1" applyProtection="1">
      <alignment horizontal="left"/>
    </xf>
    <xf numFmtId="0" fontId="9" fillId="7" borderId="27" xfId="0" applyFont="1" applyFill="1" applyBorder="1" applyAlignment="1" applyProtection="1">
      <alignment horizontal="left"/>
    </xf>
    <xf numFmtId="0" fontId="9" fillId="7" borderId="28" xfId="0" applyFont="1" applyFill="1" applyBorder="1" applyAlignment="1" applyProtection="1">
      <alignment horizontal="left"/>
    </xf>
    <xf numFmtId="0" fontId="6" fillId="7" borderId="42" xfId="0" applyFont="1" applyFill="1" applyBorder="1" applyAlignment="1" applyProtection="1">
      <alignment horizontal="left"/>
    </xf>
    <xf numFmtId="0" fontId="19" fillId="7" borderId="45" xfId="0" applyFont="1" applyFill="1" applyBorder="1" applyAlignment="1" applyProtection="1">
      <alignment horizontal="left"/>
    </xf>
    <xf numFmtId="0" fontId="19" fillId="7" borderId="29" xfId="0" applyFont="1" applyFill="1" applyBorder="1" applyAlignment="1" applyProtection="1">
      <alignment horizontal="left"/>
    </xf>
    <xf numFmtId="0" fontId="24" fillId="7" borderId="29" xfId="0" applyFont="1" applyFill="1" applyBorder="1" applyAlignment="1" applyProtection="1">
      <alignment horizontal="left"/>
    </xf>
    <xf numFmtId="0" fontId="19" fillId="7" borderId="33" xfId="0" applyFont="1" applyFill="1" applyBorder="1" applyAlignment="1" applyProtection="1">
      <alignment horizontal="left"/>
    </xf>
    <xf numFmtId="10" fontId="0" fillId="0" borderId="0" xfId="0" applyNumberFormat="1"/>
    <xf numFmtId="166" fontId="22" fillId="6" borderId="27" xfId="0" applyNumberFormat="1" applyFont="1" applyFill="1" applyBorder="1" applyAlignment="1" applyProtection="1">
      <alignment shrinkToFit="1"/>
      <protection locked="0"/>
    </xf>
    <xf numFmtId="166" fontId="22" fillId="6" borderId="46" xfId="0" applyNumberFormat="1" applyFont="1" applyFill="1" applyBorder="1" applyAlignment="1" applyProtection="1">
      <alignment shrinkToFit="1"/>
      <protection locked="0"/>
    </xf>
    <xf numFmtId="10" fontId="0" fillId="6" borderId="33" xfId="0" applyNumberFormat="1" applyFill="1" applyBorder="1" applyProtection="1">
      <protection locked="0"/>
    </xf>
    <xf numFmtId="0" fontId="0" fillId="6" borderId="33" xfId="0" applyFill="1" applyBorder="1" applyProtection="1">
      <protection locked="0"/>
    </xf>
    <xf numFmtId="0" fontId="0" fillId="6" borderId="47" xfId="0" applyFill="1" applyBorder="1" applyProtection="1">
      <protection locked="0"/>
    </xf>
    <xf numFmtId="10" fontId="0" fillId="6" borderId="29" xfId="0" applyNumberFormat="1" applyFill="1" applyBorder="1" applyProtection="1">
      <protection locked="0"/>
    </xf>
    <xf numFmtId="0" fontId="6" fillId="7" borderId="48" xfId="0" applyFont="1" applyFill="1" applyBorder="1"/>
    <xf numFmtId="0" fontId="6" fillId="7" borderId="29" xfId="0" applyFont="1" applyFill="1" applyBorder="1"/>
    <xf numFmtId="0" fontId="6" fillId="7" borderId="49" xfId="0" applyFont="1" applyFill="1" applyBorder="1"/>
    <xf numFmtId="0" fontId="6" fillId="7" borderId="34" xfId="0" applyFont="1" applyFill="1" applyBorder="1"/>
    <xf numFmtId="0" fontId="6" fillId="7" borderId="26" xfId="0" applyFont="1" applyFill="1" applyBorder="1"/>
    <xf numFmtId="0" fontId="6" fillId="7" borderId="28" xfId="0" applyFont="1" applyFill="1" applyBorder="1"/>
    <xf numFmtId="0" fontId="0" fillId="6" borderId="50" xfId="0" applyFill="1" applyBorder="1" applyProtection="1">
      <protection locked="0"/>
    </xf>
    <xf numFmtId="0" fontId="24" fillId="3" borderId="19" xfId="0" applyFont="1" applyFill="1" applyBorder="1" applyProtection="1"/>
    <xf numFmtId="0" fontId="0" fillId="7" borderId="0" xfId="0" applyFill="1"/>
    <xf numFmtId="167" fontId="6" fillId="6" borderId="45" xfId="16" applyNumberFormat="1" applyFont="1" applyFill="1" applyBorder="1" applyAlignment="1" applyProtection="1">
      <alignment horizontal="left"/>
      <protection locked="0"/>
    </xf>
    <xf numFmtId="168" fontId="6" fillId="6" borderId="29" xfId="16" applyNumberFormat="1" applyFont="1" applyFill="1" applyBorder="1" applyAlignment="1" applyProtection="1">
      <alignment horizontal="left"/>
      <protection locked="0"/>
    </xf>
    <xf numFmtId="14" fontId="6" fillId="6" borderId="29" xfId="16" applyNumberFormat="1" applyFont="1" applyFill="1" applyBorder="1" applyAlignment="1" applyProtection="1">
      <alignment horizontal="left"/>
      <protection locked="0"/>
    </xf>
    <xf numFmtId="170" fontId="6" fillId="6" borderId="29" xfId="16" applyNumberFormat="1" applyFont="1" applyFill="1" applyBorder="1" applyAlignment="1" applyProtection="1">
      <alignment horizontal="left"/>
      <protection locked="0"/>
    </xf>
    <xf numFmtId="3" fontId="6" fillId="6" borderId="29" xfId="16" applyNumberFormat="1" applyFont="1" applyFill="1" applyBorder="1" applyAlignment="1" applyProtection="1">
      <alignment horizontal="left"/>
      <protection locked="0"/>
    </xf>
    <xf numFmtId="168" fontId="21" fillId="7" borderId="29" xfId="0" applyNumberFormat="1" applyFont="1" applyFill="1" applyBorder="1" applyAlignment="1" applyProtection="1">
      <alignment horizontal="right"/>
    </xf>
    <xf numFmtId="0" fontId="6" fillId="7" borderId="51" xfId="0" applyFont="1" applyFill="1" applyBorder="1" applyAlignment="1" applyProtection="1">
      <alignment horizontal="left"/>
    </xf>
    <xf numFmtId="0" fontId="6" fillId="7" borderId="52" xfId="0" applyFont="1" applyFill="1" applyBorder="1" applyAlignment="1" applyProtection="1">
      <alignment horizontal="left"/>
    </xf>
    <xf numFmtId="0" fontId="6" fillId="7" borderId="53" xfId="0" applyFont="1" applyFill="1" applyBorder="1" applyAlignment="1" applyProtection="1">
      <alignment horizontal="left"/>
    </xf>
    <xf numFmtId="167" fontId="9" fillId="6" borderId="54" xfId="0" applyNumberFormat="1" applyFont="1" applyFill="1" applyBorder="1" applyAlignment="1" applyProtection="1">
      <alignment horizontal="center"/>
      <protection locked="0"/>
    </xf>
    <xf numFmtId="0" fontId="9" fillId="6" borderId="43" xfId="0" applyFont="1" applyFill="1" applyBorder="1" applyAlignment="1" applyProtection="1">
      <alignment horizontal="center"/>
      <protection locked="0"/>
    </xf>
    <xf numFmtId="167" fontId="9" fillId="6" borderId="55" xfId="0" applyNumberFormat="1" applyFont="1" applyFill="1" applyBorder="1" applyAlignment="1" applyProtection="1">
      <alignment horizontal="center"/>
      <protection locked="0"/>
    </xf>
    <xf numFmtId="167" fontId="9" fillId="6" borderId="56" xfId="0" applyNumberFormat="1" applyFont="1" applyFill="1" applyBorder="1" applyAlignment="1" applyProtection="1">
      <alignment horizontal="center"/>
      <protection locked="0"/>
    </xf>
    <xf numFmtId="0" fontId="9" fillId="6" borderId="57" xfId="0" applyFont="1" applyFill="1" applyBorder="1" applyAlignment="1" applyProtection="1">
      <alignment horizontal="center"/>
      <protection locked="0"/>
    </xf>
    <xf numFmtId="0" fontId="51" fillId="0" borderId="0" xfId="0" applyFont="1" applyAlignment="1">
      <alignment horizontal="center" vertical="center"/>
    </xf>
    <xf numFmtId="0" fontId="0" fillId="6" borderId="29" xfId="0" applyFill="1" applyBorder="1" applyAlignment="1" applyProtection="1">
      <protection locked="0"/>
    </xf>
    <xf numFmtId="15" fontId="6" fillId="9" borderId="29" xfId="0" applyNumberFormat="1" applyFont="1" applyFill="1" applyBorder="1" applyAlignment="1" applyProtection="1">
      <alignment horizontal="center"/>
      <protection locked="0"/>
    </xf>
    <xf numFmtId="15" fontId="6" fillId="9" borderId="33" xfId="0" applyNumberFormat="1" applyFont="1" applyFill="1" applyBorder="1" applyAlignment="1" applyProtection="1">
      <alignment horizontal="center"/>
      <protection locked="0"/>
    </xf>
    <xf numFmtId="15" fontId="9" fillId="9" borderId="29" xfId="0" applyNumberFormat="1" applyFont="1" applyFill="1" applyBorder="1" applyAlignment="1" applyProtection="1">
      <alignment horizontal="center"/>
      <protection locked="0"/>
    </xf>
    <xf numFmtId="15" fontId="9" fillId="9" borderId="33" xfId="0" applyNumberFormat="1" applyFont="1" applyFill="1" applyBorder="1" applyAlignment="1" applyProtection="1">
      <alignment horizontal="center"/>
      <protection locked="0"/>
    </xf>
    <xf numFmtId="15" fontId="6" fillId="9" borderId="58" xfId="0" applyNumberFormat="1" applyFont="1" applyFill="1" applyBorder="1" applyAlignment="1" applyProtection="1">
      <alignment horizontal="center"/>
      <protection locked="0"/>
    </xf>
    <xf numFmtId="0" fontId="83" fillId="6" borderId="29" xfId="14" applyFill="1" applyBorder="1" applyProtection="1">
      <protection locked="0"/>
    </xf>
    <xf numFmtId="0" fontId="83" fillId="6" borderId="29" xfId="14" applyFill="1" applyBorder="1" applyProtection="1">
      <protection locked="0"/>
    </xf>
    <xf numFmtId="0" fontId="83" fillId="6" borderId="29" xfId="14" applyFill="1" applyBorder="1" applyProtection="1">
      <protection locked="0"/>
    </xf>
    <xf numFmtId="0" fontId="83" fillId="6" borderId="38" xfId="14" applyFill="1" applyBorder="1" applyProtection="1">
      <protection locked="0"/>
    </xf>
    <xf numFmtId="0" fontId="7" fillId="12" borderId="0" xfId="0" applyFont="1" applyFill="1" applyProtection="1"/>
    <xf numFmtId="0" fontId="8" fillId="12" borderId="0" xfId="0" applyFont="1" applyFill="1" applyBorder="1" applyProtection="1"/>
    <xf numFmtId="0" fontId="9" fillId="12" borderId="0" xfId="0" applyFont="1" applyFill="1" applyBorder="1" applyProtection="1"/>
    <xf numFmtId="0" fontId="9" fillId="12" borderId="0" xfId="0" applyFont="1" applyFill="1" applyProtection="1"/>
    <xf numFmtId="0" fontId="12" fillId="12" borderId="0" xfId="0" applyFont="1" applyFill="1" applyBorder="1" applyAlignment="1" applyProtection="1">
      <alignment vertical="center"/>
    </xf>
    <xf numFmtId="0" fontId="8" fillId="12" borderId="0" xfId="0" applyFont="1" applyFill="1" applyBorder="1" applyAlignment="1" applyProtection="1">
      <alignment vertical="center"/>
    </xf>
    <xf numFmtId="0" fontId="11" fillId="12" borderId="0" xfId="0" quotePrefix="1" applyFont="1" applyFill="1" applyBorder="1" applyAlignment="1" applyProtection="1">
      <alignment horizontal="left" vertical="center"/>
    </xf>
    <xf numFmtId="0" fontId="7" fillId="12" borderId="0" xfId="0" applyFont="1" applyFill="1" applyBorder="1" applyAlignment="1" applyProtection="1">
      <alignment horizontal="right"/>
    </xf>
    <xf numFmtId="164" fontId="7" fillId="12" borderId="0" xfId="0" applyNumberFormat="1" applyFont="1" applyFill="1" applyBorder="1" applyAlignment="1" applyProtection="1">
      <alignment horizontal="left"/>
    </xf>
    <xf numFmtId="0" fontId="13" fillId="12" borderId="0" xfId="0" applyFont="1" applyFill="1" applyBorder="1" applyProtection="1"/>
    <xf numFmtId="0" fontId="14" fillId="12" borderId="0" xfId="0" applyFont="1" applyFill="1" applyBorder="1" applyAlignment="1" applyProtection="1">
      <alignment horizontal="right"/>
    </xf>
    <xf numFmtId="175" fontId="15" fillId="12" borderId="0" xfId="0" applyNumberFormat="1" applyFont="1" applyFill="1" applyBorder="1" applyAlignment="1" applyProtection="1">
      <alignment horizontal="left"/>
    </xf>
    <xf numFmtId="0" fontId="10" fillId="12" borderId="0" xfId="0" applyFont="1" applyFill="1" applyBorder="1" applyProtection="1"/>
    <xf numFmtId="0" fontId="16" fillId="12" borderId="0" xfId="0" applyFont="1" applyFill="1" applyBorder="1" applyAlignment="1" applyProtection="1">
      <alignment horizontal="left"/>
    </xf>
    <xf numFmtId="0" fontId="17" fillId="12" borderId="0" xfId="0" applyFont="1" applyFill="1" applyBorder="1" applyAlignment="1" applyProtection="1">
      <alignment horizontal="right"/>
    </xf>
    <xf numFmtId="0" fontId="18" fillId="12" borderId="0" xfId="0" applyFont="1" applyFill="1" applyBorder="1" applyProtection="1"/>
    <xf numFmtId="0" fontId="9" fillId="12" borderId="0" xfId="0" applyFont="1" applyFill="1" applyBorder="1" applyAlignment="1" applyProtection="1">
      <alignment horizontal="center"/>
    </xf>
    <xf numFmtId="0" fontId="20" fillId="12" borderId="0" xfId="0" applyFont="1" applyFill="1" applyBorder="1" applyProtection="1"/>
    <xf numFmtId="0" fontId="19" fillId="12" borderId="0" xfId="0" applyFont="1" applyFill="1" applyBorder="1" applyProtection="1"/>
    <xf numFmtId="0" fontId="9" fillId="13" borderId="0" xfId="15" applyFont="1" applyFill="1" applyAlignment="1">
      <alignment horizontal="left"/>
    </xf>
    <xf numFmtId="0" fontId="9" fillId="12" borderId="59" xfId="0" applyFont="1" applyFill="1" applyBorder="1" applyProtection="1"/>
    <xf numFmtId="0" fontId="9" fillId="12" borderId="60" xfId="0" applyFont="1" applyFill="1" applyBorder="1" applyProtection="1"/>
    <xf numFmtId="0" fontId="9" fillId="12" borderId="61" xfId="0" applyFont="1" applyFill="1" applyBorder="1" applyProtection="1"/>
    <xf numFmtId="0" fontId="19" fillId="12" borderId="61" xfId="0" applyFont="1" applyFill="1" applyBorder="1" applyProtection="1"/>
    <xf numFmtId="0" fontId="9" fillId="12" borderId="0" xfId="0" applyFont="1" applyFill="1"/>
    <xf numFmtId="0" fontId="9" fillId="12" borderId="0" xfId="0" applyFont="1" applyFill="1" applyAlignment="1">
      <alignment horizontal="left"/>
    </xf>
    <xf numFmtId="0" fontId="9" fillId="12" borderId="62" xfId="0" applyFont="1" applyFill="1" applyBorder="1" applyAlignment="1">
      <alignment horizontal="left"/>
    </xf>
    <xf numFmtId="0" fontId="7" fillId="12" borderId="63" xfId="0" applyFont="1" applyFill="1" applyBorder="1" applyProtection="1"/>
    <xf numFmtId="0" fontId="31" fillId="12" borderId="64" xfId="0" applyFont="1" applyFill="1" applyBorder="1" applyProtection="1"/>
    <xf numFmtId="0" fontId="22" fillId="12" borderId="64" xfId="0" applyFont="1" applyFill="1" applyBorder="1" applyProtection="1"/>
    <xf numFmtId="0" fontId="0" fillId="12" borderId="65" xfId="0" applyFill="1" applyBorder="1"/>
    <xf numFmtId="10" fontId="0" fillId="12" borderId="64" xfId="0" applyNumberFormat="1" applyFill="1" applyBorder="1"/>
    <xf numFmtId="0" fontId="0" fillId="12" borderId="64" xfId="0" applyFill="1" applyBorder="1"/>
    <xf numFmtId="0" fontId="0" fillId="12" borderId="66" xfId="0" applyFill="1" applyBorder="1"/>
    <xf numFmtId="0" fontId="0" fillId="12" borderId="63" xfId="0" applyFill="1" applyBorder="1"/>
    <xf numFmtId="0" fontId="0" fillId="12" borderId="0" xfId="0" applyFill="1" applyBorder="1"/>
    <xf numFmtId="10" fontId="48" fillId="12" borderId="38" xfId="0" applyNumberFormat="1" applyFont="1" applyFill="1" applyBorder="1" applyAlignment="1">
      <alignment horizontal="center" vertical="center" wrapText="1"/>
    </xf>
    <xf numFmtId="0" fontId="43" fillId="12" borderId="38" xfId="0" applyFont="1" applyFill="1" applyBorder="1" applyAlignment="1">
      <alignment horizontal="center" vertical="center" wrapText="1"/>
    </xf>
    <xf numFmtId="0" fontId="43" fillId="12" borderId="67" xfId="0" applyFont="1" applyFill="1" applyBorder="1" applyAlignment="1">
      <alignment horizontal="center" vertical="center" wrapText="1"/>
    </xf>
    <xf numFmtId="0" fontId="0" fillId="12" borderId="62" xfId="0" applyFill="1" applyBorder="1"/>
    <xf numFmtId="10" fontId="0" fillId="12" borderId="68" xfId="0" applyNumberFormat="1" applyFill="1" applyBorder="1"/>
    <xf numFmtId="0" fontId="0" fillId="12" borderId="68" xfId="0" applyFill="1" applyBorder="1"/>
    <xf numFmtId="0" fontId="0" fillId="12" borderId="69" xfId="0" applyFill="1" applyBorder="1"/>
    <xf numFmtId="0" fontId="0" fillId="12" borderId="70" xfId="0" applyFill="1" applyBorder="1"/>
    <xf numFmtId="0" fontId="0" fillId="12" borderId="71" xfId="0" applyFill="1" applyBorder="1"/>
    <xf numFmtId="0" fontId="22" fillId="12" borderId="70" xfId="0" applyFont="1" applyFill="1" applyBorder="1" applyProtection="1"/>
    <xf numFmtId="0" fontId="9" fillId="12" borderId="62" xfId="0" applyFont="1" applyFill="1" applyBorder="1" applyProtection="1"/>
    <xf numFmtId="0" fontId="22" fillId="12" borderId="62" xfId="0" applyFont="1" applyFill="1" applyBorder="1" applyProtection="1"/>
    <xf numFmtId="0" fontId="6" fillId="12" borderId="1" xfId="0" applyFont="1" applyFill="1" applyBorder="1" applyProtection="1"/>
    <xf numFmtId="0" fontId="22" fillId="12" borderId="1" xfId="0" applyFont="1" applyFill="1" applyBorder="1" applyProtection="1"/>
    <xf numFmtId="0" fontId="27" fillId="12" borderId="27" xfId="0" applyFont="1" applyFill="1" applyBorder="1" applyProtection="1"/>
    <xf numFmtId="0" fontId="22" fillId="12" borderId="27" xfId="0" applyFont="1" applyFill="1" applyBorder="1" applyProtection="1"/>
    <xf numFmtId="0" fontId="9" fillId="12" borderId="27" xfId="0" applyFont="1" applyFill="1" applyBorder="1" applyProtection="1"/>
    <xf numFmtId="0" fontId="9" fillId="12" borderId="46" xfId="0" applyFont="1" applyFill="1" applyBorder="1" applyProtection="1"/>
    <xf numFmtId="0" fontId="22" fillId="12" borderId="46" xfId="0" applyFont="1" applyFill="1" applyBorder="1" applyProtection="1"/>
    <xf numFmtId="0" fontId="9" fillId="12" borderId="1" xfId="0" applyFont="1" applyFill="1" applyBorder="1" applyProtection="1"/>
    <xf numFmtId="0" fontId="9" fillId="12" borderId="72" xfId="0" applyFont="1" applyFill="1" applyBorder="1" applyProtection="1"/>
    <xf numFmtId="0" fontId="22" fillId="12" borderId="72" xfId="0" applyFont="1" applyFill="1" applyBorder="1" applyProtection="1"/>
    <xf numFmtId="0" fontId="0" fillId="12" borderId="1" xfId="0" applyFill="1" applyBorder="1"/>
    <xf numFmtId="0" fontId="0" fillId="12" borderId="73" xfId="0" applyFill="1" applyBorder="1"/>
    <xf numFmtId="0" fontId="0" fillId="12" borderId="74" xfId="0" applyFill="1" applyBorder="1"/>
    <xf numFmtId="0" fontId="0" fillId="12" borderId="75" xfId="0" applyFill="1" applyBorder="1"/>
    <xf numFmtId="0" fontId="0" fillId="12" borderId="28" xfId="0" applyFill="1" applyBorder="1"/>
    <xf numFmtId="0" fontId="0" fillId="12" borderId="76" xfId="0" applyFill="1" applyBorder="1"/>
    <xf numFmtId="49" fontId="22" fillId="12" borderId="27" xfId="0" applyNumberFormat="1" applyFont="1" applyFill="1" applyBorder="1" applyProtection="1"/>
    <xf numFmtId="166" fontId="22" fillId="12" borderId="27" xfId="0" applyNumberFormat="1" applyFont="1" applyFill="1" applyBorder="1" applyAlignment="1" applyProtection="1">
      <alignment shrinkToFit="1"/>
    </xf>
    <xf numFmtId="49" fontId="22" fillId="12" borderId="46" xfId="0" applyNumberFormat="1" applyFont="1" applyFill="1" applyBorder="1" applyProtection="1"/>
    <xf numFmtId="10" fontId="0" fillId="12" borderId="33" xfId="0" applyNumberFormat="1" applyFill="1" applyBorder="1"/>
    <xf numFmtId="0" fontId="0" fillId="12" borderId="33" xfId="0" applyFill="1" applyBorder="1"/>
    <xf numFmtId="0" fontId="0" fillId="12" borderId="47" xfId="0" applyFill="1" applyBorder="1"/>
    <xf numFmtId="0" fontId="0" fillId="12" borderId="77" xfId="0" applyFill="1" applyBorder="1"/>
    <xf numFmtId="0" fontId="0" fillId="12" borderId="59" xfId="0" applyFill="1" applyBorder="1"/>
    <xf numFmtId="0" fontId="0" fillId="12" borderId="78" xfId="0" applyFill="1" applyBorder="1"/>
    <xf numFmtId="10" fontId="0" fillId="12" borderId="29" xfId="0" applyNumberFormat="1" applyFill="1" applyBorder="1"/>
    <xf numFmtId="0" fontId="0" fillId="12" borderId="29" xfId="0" applyFill="1" applyBorder="1"/>
    <xf numFmtId="0" fontId="0" fillId="12" borderId="79" xfId="0" applyFill="1" applyBorder="1"/>
    <xf numFmtId="10" fontId="0" fillId="12" borderId="58" xfId="0" applyNumberFormat="1" applyFill="1" applyBorder="1"/>
    <xf numFmtId="0" fontId="0" fillId="12" borderId="58" xfId="0" applyFill="1" applyBorder="1"/>
    <xf numFmtId="0" fontId="0" fillId="12" borderId="80" xfId="0" applyFill="1" applyBorder="1"/>
    <xf numFmtId="0" fontId="0" fillId="12" borderId="81" xfId="0" applyFill="1" applyBorder="1"/>
    <xf numFmtId="0" fontId="0" fillId="12" borderId="82" xfId="0" applyFill="1" applyBorder="1"/>
    <xf numFmtId="0" fontId="0" fillId="12" borderId="27" xfId="0" applyFill="1" applyBorder="1"/>
    <xf numFmtId="0" fontId="0" fillId="12" borderId="46" xfId="0" applyFill="1" applyBorder="1"/>
    <xf numFmtId="0" fontId="0" fillId="12" borderId="72" xfId="0" applyFill="1" applyBorder="1"/>
    <xf numFmtId="0" fontId="0" fillId="12" borderId="26" xfId="0" applyFill="1" applyBorder="1"/>
    <xf numFmtId="10" fontId="0" fillId="12" borderId="83" xfId="0" applyNumberFormat="1" applyFill="1" applyBorder="1"/>
    <xf numFmtId="0" fontId="0" fillId="12" borderId="83" xfId="0" applyFill="1" applyBorder="1"/>
    <xf numFmtId="0" fontId="0" fillId="12" borderId="84" xfId="0" applyFill="1" applyBorder="1"/>
    <xf numFmtId="10" fontId="0" fillId="12" borderId="74" xfId="0" applyNumberFormat="1" applyFill="1" applyBorder="1"/>
    <xf numFmtId="0" fontId="0" fillId="12" borderId="85" xfId="0" applyFill="1" applyBorder="1"/>
    <xf numFmtId="0" fontId="0" fillId="12" borderId="86" xfId="0" applyFill="1" applyBorder="1"/>
    <xf numFmtId="0" fontId="0" fillId="12" borderId="87" xfId="0" applyFill="1" applyBorder="1"/>
    <xf numFmtId="0" fontId="0" fillId="12" borderId="88" xfId="0" applyFill="1" applyBorder="1"/>
    <xf numFmtId="0" fontId="0" fillId="12" borderId="89" xfId="0" applyFill="1" applyBorder="1"/>
    <xf numFmtId="0" fontId="0" fillId="12" borderId="90" xfId="0" applyFill="1" applyBorder="1"/>
    <xf numFmtId="0" fontId="0" fillId="12" borderId="91" xfId="0" applyFill="1" applyBorder="1"/>
    <xf numFmtId="49" fontId="22" fillId="12" borderId="1" xfId="0" applyNumberFormat="1" applyFont="1" applyFill="1" applyBorder="1" applyAlignment="1" applyProtection="1">
      <alignment horizontal="center" vertical="top" wrapText="1"/>
    </xf>
    <xf numFmtId="166" fontId="22" fillId="12" borderId="1" xfId="0" applyNumberFormat="1" applyFont="1" applyFill="1" applyBorder="1" applyAlignment="1" applyProtection="1">
      <alignment shrinkToFit="1"/>
    </xf>
    <xf numFmtId="0" fontId="7" fillId="12" borderId="48" xfId="0" applyFont="1" applyFill="1" applyBorder="1" applyProtection="1"/>
    <xf numFmtId="0" fontId="9" fillId="12" borderId="29" xfId="0" applyFont="1" applyFill="1" applyBorder="1"/>
    <xf numFmtId="0" fontId="9" fillId="12" borderId="41" xfId="0" applyFont="1" applyFill="1" applyBorder="1"/>
    <xf numFmtId="0" fontId="9" fillId="12" borderId="48" xfId="0" applyFont="1" applyFill="1" applyBorder="1"/>
    <xf numFmtId="0" fontId="7" fillId="12" borderId="12" xfId="0" applyFont="1" applyFill="1" applyBorder="1" applyProtection="1"/>
    <xf numFmtId="0" fontId="9" fillId="12" borderId="10" xfId="0" applyFont="1" applyFill="1" applyBorder="1" applyProtection="1"/>
    <xf numFmtId="0" fontId="9" fillId="12" borderId="17" xfId="0" applyFont="1" applyFill="1" applyBorder="1" applyProtection="1"/>
    <xf numFmtId="165" fontId="24" fillId="12" borderId="0" xfId="0" applyNumberFormat="1" applyFont="1" applyFill="1" applyBorder="1" applyAlignment="1" applyProtection="1">
      <alignment horizontal="center"/>
    </xf>
    <xf numFmtId="0" fontId="15" fillId="12" borderId="0" xfId="0" applyFont="1" applyFill="1" applyBorder="1" applyProtection="1"/>
    <xf numFmtId="0" fontId="9" fillId="12" borderId="92" xfId="0" applyFont="1" applyFill="1" applyBorder="1"/>
    <xf numFmtId="0" fontId="9" fillId="12" borderId="93" xfId="0" applyFont="1" applyFill="1" applyBorder="1"/>
    <xf numFmtId="0" fontId="9" fillId="12" borderId="94" xfId="0" applyFont="1" applyFill="1" applyBorder="1" applyAlignment="1">
      <alignment horizontal="center" vertical="center"/>
    </xf>
    <xf numFmtId="0" fontId="22" fillId="12" borderId="95" xfId="0" applyFont="1" applyFill="1" applyBorder="1" applyAlignment="1">
      <alignment horizontal="left" vertical="center"/>
    </xf>
    <xf numFmtId="0" fontId="22" fillId="12" borderId="96" xfId="0" applyFont="1" applyFill="1" applyBorder="1" applyAlignment="1">
      <alignment vertical="center"/>
    </xf>
    <xf numFmtId="0" fontId="22" fillId="12" borderId="97" xfId="0" applyFont="1" applyFill="1" applyBorder="1" applyAlignment="1">
      <alignment vertical="center"/>
    </xf>
    <xf numFmtId="0" fontId="9" fillId="12" borderId="98" xfId="0" applyFont="1" applyFill="1" applyBorder="1" applyAlignment="1">
      <alignment horizontal="center" vertical="center"/>
    </xf>
    <xf numFmtId="0" fontId="9" fillId="12" borderId="99" xfId="0" applyFont="1" applyFill="1" applyBorder="1" applyAlignment="1">
      <alignment horizontal="center" vertical="center"/>
    </xf>
    <xf numFmtId="0" fontId="9" fillId="12" borderId="35" xfId="0" applyFont="1" applyFill="1" applyBorder="1" applyAlignment="1" applyProtection="1">
      <alignment horizontal="left" vertical="center" wrapText="1"/>
      <protection locked="0"/>
    </xf>
    <xf numFmtId="0" fontId="9" fillId="12" borderId="100" xfId="0" applyFont="1" applyFill="1" applyBorder="1" applyAlignment="1">
      <alignment horizontal="center" vertical="center"/>
    </xf>
    <xf numFmtId="0" fontId="6" fillId="12" borderId="33" xfId="0" applyFont="1" applyFill="1" applyBorder="1" applyAlignment="1" applyProtection="1">
      <alignment horizontal="left" vertical="center" wrapText="1"/>
      <protection locked="0"/>
    </xf>
    <xf numFmtId="0" fontId="6" fillId="12" borderId="29" xfId="0" applyFont="1" applyFill="1" applyBorder="1" applyAlignment="1" applyProtection="1">
      <alignment horizontal="left" vertical="center" wrapText="1"/>
      <protection locked="0"/>
    </xf>
    <xf numFmtId="0" fontId="9" fillId="12" borderId="101" xfId="0" applyFont="1" applyFill="1" applyBorder="1" applyAlignment="1">
      <alignment horizontal="center" vertical="center"/>
    </xf>
    <xf numFmtId="0" fontId="6" fillId="12" borderId="29" xfId="0" applyFont="1" applyFill="1" applyBorder="1" applyAlignment="1" applyProtection="1">
      <alignment horizontal="left" vertical="center" wrapText="1"/>
    </xf>
    <xf numFmtId="49" fontId="6" fillId="12" borderId="29" xfId="0" applyNumberFormat="1" applyFont="1" applyFill="1" applyBorder="1" applyAlignment="1" applyProtection="1">
      <alignment horizontal="left" vertical="center" wrapText="1"/>
    </xf>
    <xf numFmtId="0" fontId="9" fillId="12" borderId="102" xfId="0" applyFont="1" applyFill="1" applyBorder="1" applyAlignment="1">
      <alignment horizontal="center" vertical="center"/>
    </xf>
    <xf numFmtId="0" fontId="9" fillId="12" borderId="103" xfId="0" applyFont="1" applyFill="1" applyBorder="1" applyAlignment="1">
      <alignment horizontal="center"/>
    </xf>
    <xf numFmtId="0" fontId="9" fillId="12" borderId="104" xfId="0" applyFont="1" applyFill="1" applyBorder="1" applyAlignment="1">
      <alignment horizontal="center"/>
    </xf>
    <xf numFmtId="0" fontId="9" fillId="12" borderId="94" xfId="0" applyFont="1" applyFill="1" applyBorder="1" applyAlignment="1">
      <alignment horizontal="left"/>
    </xf>
    <xf numFmtId="0" fontId="20" fillId="12" borderId="0" xfId="0" applyFont="1" applyFill="1" applyAlignment="1" applyProtection="1">
      <alignment horizontal="center"/>
    </xf>
    <xf numFmtId="167" fontId="26" fillId="12" borderId="30" xfId="0" applyNumberFormat="1" applyFont="1" applyFill="1" applyBorder="1" applyAlignment="1" applyProtection="1">
      <alignment horizontal="left"/>
    </xf>
    <xf numFmtId="1" fontId="28" fillId="12" borderId="0" xfId="0" applyNumberFormat="1" applyFont="1" applyFill="1" applyProtection="1"/>
    <xf numFmtId="0" fontId="21" fillId="12" borderId="25" xfId="16" applyFont="1" applyFill="1" applyBorder="1" applyAlignment="1" applyProtection="1">
      <alignment horizontal="center"/>
    </xf>
    <xf numFmtId="0" fontId="9" fillId="12" borderId="43" xfId="0" applyFont="1" applyFill="1" applyBorder="1" applyAlignment="1" applyProtection="1">
      <alignment horizontal="center"/>
    </xf>
    <xf numFmtId="164" fontId="9" fillId="12" borderId="43" xfId="0" applyNumberFormat="1" applyFont="1" applyFill="1" applyBorder="1" applyAlignment="1" applyProtection="1">
      <alignment horizontal="center"/>
    </xf>
    <xf numFmtId="0" fontId="9" fillId="12" borderId="57" xfId="0" applyFont="1" applyFill="1" applyBorder="1" applyAlignment="1" applyProtection="1">
      <alignment horizontal="center"/>
    </xf>
    <xf numFmtId="0" fontId="9" fillId="12" borderId="105" xfId="0" applyFont="1" applyFill="1" applyBorder="1" applyAlignment="1" applyProtection="1">
      <alignment horizontal="center"/>
      <protection locked="0"/>
    </xf>
    <xf numFmtId="0" fontId="9" fillId="12" borderId="0" xfId="0" applyFont="1" applyFill="1" applyAlignment="1" applyProtection="1">
      <alignment horizontal="left"/>
    </xf>
    <xf numFmtId="0" fontId="15" fillId="12" borderId="0" xfId="0" applyFont="1" applyFill="1" applyBorder="1" applyAlignment="1" applyProtection="1">
      <alignment horizontal="left"/>
    </xf>
    <xf numFmtId="0" fontId="9" fillId="12" borderId="106" xfId="0" applyFont="1" applyFill="1" applyBorder="1" applyAlignment="1" applyProtection="1">
      <alignment horizontal="center"/>
    </xf>
    <xf numFmtId="0" fontId="9" fillId="12" borderId="103" xfId="0" applyFont="1" applyFill="1" applyBorder="1" applyProtection="1"/>
    <xf numFmtId="0" fontId="9" fillId="12" borderId="107" xfId="0" applyFont="1" applyFill="1" applyBorder="1" applyProtection="1"/>
    <xf numFmtId="0" fontId="8" fillId="12" borderId="108" xfId="0" applyFont="1" applyFill="1" applyBorder="1" applyProtection="1"/>
    <xf numFmtId="0" fontId="9" fillId="12" borderId="104" xfId="0" applyFont="1" applyFill="1" applyBorder="1" applyProtection="1"/>
    <xf numFmtId="0" fontId="9" fillId="12" borderId="109" xfId="0" applyFont="1" applyFill="1" applyBorder="1" applyProtection="1"/>
    <xf numFmtId="0" fontId="9" fillId="12" borderId="110" xfId="0" applyFont="1" applyFill="1" applyBorder="1" applyProtection="1"/>
    <xf numFmtId="0" fontId="8" fillId="12" borderId="110" xfId="0" applyFont="1" applyFill="1" applyBorder="1" applyProtection="1"/>
    <xf numFmtId="0" fontId="7" fillId="12" borderId="12" xfId="16" applyFont="1" applyFill="1" applyBorder="1" applyProtection="1"/>
    <xf numFmtId="0" fontId="21" fillId="12" borderId="19" xfId="16" applyFont="1" applyFill="1" applyBorder="1" applyProtection="1"/>
    <xf numFmtId="0" fontId="6" fillId="12" borderId="10" xfId="16" applyFont="1" applyFill="1" applyBorder="1" applyProtection="1"/>
    <xf numFmtId="0" fontId="7" fillId="12" borderId="12" xfId="0" applyFont="1" applyFill="1" applyBorder="1"/>
    <xf numFmtId="0" fontId="9" fillId="12" borderId="111" xfId="0" applyFont="1" applyFill="1" applyBorder="1"/>
    <xf numFmtId="0" fontId="15" fillId="12" borderId="13" xfId="0" applyFont="1" applyFill="1" applyBorder="1" applyProtection="1"/>
    <xf numFmtId="0" fontId="9" fillId="12" borderId="10" xfId="16" applyFont="1" applyFill="1" applyBorder="1"/>
    <xf numFmtId="0" fontId="13" fillId="12" borderId="12" xfId="16" applyFont="1" applyFill="1" applyBorder="1"/>
    <xf numFmtId="0" fontId="9" fillId="12" borderId="111" xfId="16" applyFont="1" applyFill="1" applyBorder="1"/>
    <xf numFmtId="0" fontId="9" fillId="12" borderId="13" xfId="16" applyFont="1" applyFill="1" applyBorder="1"/>
    <xf numFmtId="0" fontId="9" fillId="12" borderId="0" xfId="16" applyFont="1" applyFill="1" applyBorder="1"/>
    <xf numFmtId="0" fontId="9" fillId="12" borderId="17" xfId="16" applyFont="1" applyFill="1" applyBorder="1"/>
    <xf numFmtId="0" fontId="21" fillId="12" borderId="14" xfId="16" applyFont="1" applyFill="1" applyBorder="1" applyAlignment="1">
      <alignment horizontal="center"/>
    </xf>
    <xf numFmtId="0" fontId="21" fillId="12" borderId="41" xfId="16" applyFont="1" applyFill="1" applyBorder="1" applyAlignment="1">
      <alignment horizontal="center"/>
    </xf>
    <xf numFmtId="0" fontId="9" fillId="12" borderId="0" xfId="0" applyFont="1" applyFill="1" applyBorder="1"/>
    <xf numFmtId="0" fontId="9" fillId="12" borderId="17" xfId="0" applyFont="1" applyFill="1" applyBorder="1"/>
    <xf numFmtId="0" fontId="9" fillId="12" borderId="42" xfId="0" applyFont="1" applyFill="1" applyBorder="1" applyAlignment="1">
      <alignment horizontal="left"/>
    </xf>
    <xf numFmtId="0" fontId="9" fillId="12" borderId="27" xfId="16" applyFont="1" applyFill="1" applyBorder="1"/>
    <xf numFmtId="0" fontId="6" fillId="12" borderId="42" xfId="0" applyFont="1" applyFill="1" applyBorder="1" applyAlignment="1">
      <alignment horizontal="left"/>
    </xf>
    <xf numFmtId="0" fontId="9" fillId="12" borderId="28" xfId="16" applyFont="1" applyFill="1" applyBorder="1"/>
    <xf numFmtId="0" fontId="9" fillId="12" borderId="42" xfId="0" quotePrefix="1" applyFont="1" applyFill="1" applyBorder="1" applyAlignment="1">
      <alignment horizontal="left"/>
    </xf>
    <xf numFmtId="0" fontId="21" fillId="12" borderId="112" xfId="16" applyFont="1" applyFill="1" applyBorder="1"/>
    <xf numFmtId="0" fontId="9" fillId="12" borderId="113" xfId="16" applyFont="1" applyFill="1" applyBorder="1"/>
    <xf numFmtId="0" fontId="20" fillId="12" borderId="0" xfId="16" applyFont="1" applyFill="1" applyBorder="1"/>
    <xf numFmtId="0" fontId="9" fillId="12" borderId="75" xfId="0" applyFont="1" applyFill="1" applyBorder="1"/>
    <xf numFmtId="0" fontId="9" fillId="12" borderId="42" xfId="16" applyFont="1" applyFill="1" applyBorder="1"/>
    <xf numFmtId="0" fontId="22" fillId="12" borderId="27" xfId="16" applyFont="1" applyFill="1" applyBorder="1"/>
    <xf numFmtId="0" fontId="9" fillId="12" borderId="28" xfId="0" applyFont="1" applyFill="1" applyBorder="1"/>
    <xf numFmtId="0" fontId="6" fillId="12" borderId="42" xfId="16" applyFont="1" applyFill="1" applyBorder="1"/>
    <xf numFmtId="0" fontId="9" fillId="12" borderId="42" xfId="16" applyFont="1" applyFill="1" applyBorder="1" applyProtection="1">
      <protection locked="0"/>
    </xf>
    <xf numFmtId="0" fontId="32" fillId="12" borderId="27" xfId="16" applyFont="1" applyFill="1" applyBorder="1" applyProtection="1">
      <protection locked="0"/>
    </xf>
    <xf numFmtId="0" fontId="32" fillId="12" borderId="28" xfId="0" applyFont="1" applyFill="1" applyBorder="1" applyProtection="1">
      <protection locked="0"/>
    </xf>
    <xf numFmtId="0" fontId="21" fillId="12" borderId="10" xfId="16" applyFont="1" applyFill="1" applyBorder="1"/>
    <xf numFmtId="0" fontId="9" fillId="12" borderId="27" xfId="0" applyFont="1" applyFill="1" applyBorder="1"/>
    <xf numFmtId="0" fontId="21" fillId="12" borderId="24" xfId="16" applyFont="1" applyFill="1" applyBorder="1"/>
    <xf numFmtId="0" fontId="9" fillId="12" borderId="114" xfId="16" applyFont="1" applyFill="1" applyBorder="1"/>
    <xf numFmtId="0" fontId="9" fillId="12" borderId="114" xfId="0" applyFont="1" applyFill="1" applyBorder="1"/>
    <xf numFmtId="0" fontId="9" fillId="12" borderId="25" xfId="0" applyFont="1" applyFill="1" applyBorder="1"/>
    <xf numFmtId="0" fontId="20" fillId="12" borderId="10" xfId="16" applyFont="1" applyFill="1" applyBorder="1"/>
    <xf numFmtId="0" fontId="9" fillId="12" borderId="24" xfId="16" applyFont="1" applyFill="1" applyBorder="1"/>
    <xf numFmtId="0" fontId="9" fillId="12" borderId="13" xfId="0" applyFont="1" applyFill="1" applyBorder="1"/>
    <xf numFmtId="0" fontId="9" fillId="12" borderId="10" xfId="16" applyFont="1" applyFill="1" applyBorder="1" applyAlignment="1">
      <alignment horizontal="left"/>
    </xf>
    <xf numFmtId="0" fontId="21" fillId="12" borderId="43" xfId="16" applyFont="1" applyFill="1" applyBorder="1" applyAlignment="1">
      <alignment horizontal="center"/>
    </xf>
    <xf numFmtId="0" fontId="9" fillId="12" borderId="42" xfId="0" applyFont="1" applyFill="1" applyBorder="1" applyProtection="1"/>
    <xf numFmtId="0" fontId="21" fillId="12" borderId="42" xfId="0" applyFont="1" applyFill="1" applyBorder="1" applyProtection="1"/>
    <xf numFmtId="0" fontId="21" fillId="12" borderId="24" xfId="0" applyFont="1" applyFill="1" applyBorder="1"/>
    <xf numFmtId="0" fontId="7" fillId="12" borderId="115" xfId="0" applyFont="1" applyFill="1" applyBorder="1"/>
    <xf numFmtId="0" fontId="9" fillId="12" borderId="116" xfId="0" applyFont="1" applyFill="1" applyBorder="1" applyProtection="1"/>
    <xf numFmtId="0" fontId="18" fillId="12" borderId="0" xfId="0" applyFont="1" applyFill="1" applyBorder="1" applyAlignment="1" applyProtection="1">
      <alignment horizontal="center"/>
    </xf>
    <xf numFmtId="0" fontId="18" fillId="12" borderId="0" xfId="0" applyFont="1" applyFill="1" applyBorder="1" applyAlignment="1" applyProtection="1">
      <alignment horizontal="centerContinuous"/>
    </xf>
    <xf numFmtId="0" fontId="9" fillId="12" borderId="0" xfId="0" applyFont="1" applyFill="1" applyBorder="1" applyAlignment="1" applyProtection="1">
      <alignment horizontal="centerContinuous"/>
    </xf>
    <xf numFmtId="0" fontId="18" fillId="12" borderId="0" xfId="0" quotePrefix="1" applyFont="1" applyFill="1" applyBorder="1" applyAlignment="1" applyProtection="1">
      <alignment horizontal="right"/>
    </xf>
    <xf numFmtId="0" fontId="18" fillId="12" borderId="29" xfId="0" applyFont="1" applyFill="1" applyBorder="1" applyProtection="1"/>
    <xf numFmtId="0" fontId="9" fillId="12" borderId="29" xfId="0" applyFont="1" applyFill="1" applyBorder="1" applyProtection="1"/>
    <xf numFmtId="0" fontId="9" fillId="12" borderId="26" xfId="0" applyFont="1" applyFill="1" applyBorder="1" applyAlignment="1" applyProtection="1"/>
    <xf numFmtId="0" fontId="9" fillId="12" borderId="28" xfId="0" applyFont="1" applyFill="1" applyBorder="1" applyAlignment="1" applyProtection="1"/>
    <xf numFmtId="0" fontId="9" fillId="12" borderId="117" xfId="0" applyFont="1" applyFill="1" applyBorder="1" applyProtection="1"/>
    <xf numFmtId="0" fontId="13" fillId="12" borderId="62" xfId="0" applyFont="1" applyFill="1" applyBorder="1" applyProtection="1"/>
    <xf numFmtId="0" fontId="9" fillId="12" borderId="118" xfId="0" applyFont="1" applyFill="1" applyBorder="1" applyProtection="1"/>
    <xf numFmtId="15" fontId="9" fillId="12" borderId="0" xfId="0" applyNumberFormat="1" applyFont="1" applyFill="1" applyBorder="1" applyProtection="1"/>
    <xf numFmtId="15" fontId="32" fillId="12" borderId="0" xfId="0" applyNumberFormat="1" applyFont="1" applyFill="1" applyBorder="1" applyAlignment="1" applyProtection="1">
      <alignment horizontal="center"/>
    </xf>
    <xf numFmtId="171" fontId="32" fillId="12" borderId="0" xfId="0" applyNumberFormat="1" applyFont="1" applyFill="1" applyBorder="1" applyAlignment="1" applyProtection="1">
      <alignment horizontal="center"/>
    </xf>
    <xf numFmtId="0" fontId="50" fillId="12" borderId="0" xfId="0" applyFont="1" applyFill="1"/>
    <xf numFmtId="0" fontId="0" fillId="12" borderId="0" xfId="0" applyFill="1"/>
    <xf numFmtId="14" fontId="0" fillId="12" borderId="0" xfId="0" applyNumberFormat="1" applyFill="1"/>
    <xf numFmtId="0" fontId="18" fillId="12" borderId="0" xfId="0" applyFont="1" applyFill="1"/>
    <xf numFmtId="0" fontId="7" fillId="12" borderId="0" xfId="14" applyFont="1" applyFill="1" applyAlignment="1" applyProtection="1">
      <alignment horizontal="left"/>
    </xf>
    <xf numFmtId="0" fontId="8" fillId="12" borderId="0" xfId="14" applyFont="1" applyFill="1" applyBorder="1" applyAlignment="1" applyProtection="1">
      <alignment horizontal="left"/>
    </xf>
    <xf numFmtId="0" fontId="6" fillId="12" borderId="0" xfId="14" applyFont="1" applyFill="1" applyBorder="1" applyAlignment="1" applyProtection="1">
      <alignment horizontal="left"/>
    </xf>
    <xf numFmtId="0" fontId="83" fillId="12" borderId="0" xfId="14" applyFill="1"/>
    <xf numFmtId="0" fontId="83" fillId="12" borderId="119" xfId="14" applyFill="1" applyBorder="1"/>
    <xf numFmtId="0" fontId="83" fillId="12" borderId="120" xfId="14" applyFill="1" applyBorder="1"/>
    <xf numFmtId="0" fontId="83" fillId="12" borderId="27" xfId="14" applyFill="1" applyBorder="1"/>
    <xf numFmtId="0" fontId="83" fillId="12" borderId="43" xfId="14" applyFill="1" applyBorder="1"/>
    <xf numFmtId="0" fontId="65" fillId="12" borderId="0" xfId="14" applyFont="1" applyFill="1" applyAlignment="1">
      <alignment horizontal="center"/>
    </xf>
    <xf numFmtId="0" fontId="53" fillId="12" borderId="42" xfId="14" applyFont="1" applyFill="1" applyBorder="1" applyAlignment="1">
      <alignment horizontal="justify" vertical="center"/>
    </xf>
    <xf numFmtId="0" fontId="53" fillId="12" borderId="27" xfId="14" applyFont="1" applyFill="1" applyBorder="1" applyAlignment="1">
      <alignment horizontal="justify" vertical="center"/>
    </xf>
    <xf numFmtId="0" fontId="83" fillId="12" borderId="27" xfId="14" applyFill="1" applyBorder="1" applyProtection="1">
      <protection locked="0"/>
    </xf>
    <xf numFmtId="0" fontId="65" fillId="12" borderId="18" xfId="14" applyFont="1" applyFill="1" applyBorder="1" applyAlignment="1">
      <alignment horizontal="center"/>
    </xf>
    <xf numFmtId="0" fontId="54" fillId="12" borderId="27" xfId="14" applyFont="1" applyFill="1" applyBorder="1" applyAlignment="1">
      <alignment horizontal="justify"/>
    </xf>
    <xf numFmtId="0" fontId="51" fillId="12" borderId="18" xfId="0" applyFont="1" applyFill="1" applyBorder="1" applyAlignment="1">
      <alignment horizontal="center" vertical="center"/>
    </xf>
    <xf numFmtId="0" fontId="60" fillId="12" borderId="27" xfId="0" applyFont="1" applyFill="1" applyBorder="1" applyAlignment="1">
      <alignment horizontal="justify" vertical="center"/>
    </xf>
    <xf numFmtId="0" fontId="60" fillId="12" borderId="43" xfId="0" applyFont="1" applyFill="1" applyBorder="1" applyAlignment="1">
      <alignment horizontal="justify" vertical="center"/>
    </xf>
    <xf numFmtId="0" fontId="53" fillId="12" borderId="27" xfId="14" applyFont="1" applyFill="1" applyBorder="1" applyAlignment="1">
      <alignment wrapText="1"/>
    </xf>
    <xf numFmtId="0" fontId="83" fillId="12" borderId="27" xfId="14" applyFill="1" applyBorder="1" applyAlignment="1">
      <alignment wrapText="1"/>
    </xf>
    <xf numFmtId="0" fontId="53" fillId="12" borderId="121" xfId="14" applyFont="1" applyFill="1" applyBorder="1" applyAlignment="1">
      <alignment vertical="center" wrapText="1"/>
    </xf>
    <xf numFmtId="0" fontId="53" fillId="12" borderId="1" xfId="14" applyFont="1" applyFill="1" applyBorder="1" applyAlignment="1">
      <alignment vertical="center" wrapText="1"/>
    </xf>
    <xf numFmtId="0" fontId="55" fillId="12" borderId="18" xfId="0" applyFont="1" applyFill="1" applyBorder="1" applyAlignment="1">
      <alignment vertical="center" wrapText="1"/>
    </xf>
    <xf numFmtId="0" fontId="51" fillId="12" borderId="0" xfId="0" applyFont="1" applyFill="1" applyAlignment="1">
      <alignment horizontal="center" vertical="center"/>
    </xf>
    <xf numFmtId="0" fontId="83" fillId="12" borderId="113" xfId="14" applyFill="1" applyBorder="1" applyProtection="1">
      <protection locked="0"/>
    </xf>
    <xf numFmtId="0" fontId="83" fillId="12" borderId="105" xfId="14" applyFill="1" applyBorder="1"/>
    <xf numFmtId="0" fontId="51" fillId="12" borderId="122" xfId="0" applyFont="1" applyFill="1" applyBorder="1" applyAlignment="1">
      <alignment horizontal="center" vertical="center"/>
    </xf>
    <xf numFmtId="0" fontId="51" fillId="12" borderId="51" xfId="0" applyFont="1" applyFill="1" applyBorder="1" applyAlignment="1">
      <alignment horizontal="center" vertical="center"/>
    </xf>
    <xf numFmtId="0" fontId="51" fillId="12" borderId="24" xfId="0" applyFont="1" applyFill="1" applyBorder="1" applyAlignment="1">
      <alignment horizontal="center" vertical="center"/>
    </xf>
    <xf numFmtId="0" fontId="0" fillId="12" borderId="111" xfId="0" applyFill="1" applyBorder="1"/>
    <xf numFmtId="0" fontId="0" fillId="12" borderId="13" xfId="0" applyFill="1" applyBorder="1"/>
    <xf numFmtId="0" fontId="21" fillId="12" borderId="19" xfId="0" applyFont="1" applyFill="1" applyBorder="1" applyAlignment="1" applyProtection="1">
      <alignment vertical="top"/>
    </xf>
    <xf numFmtId="0" fontId="9" fillId="12" borderId="123" xfId="0" applyFont="1" applyFill="1" applyBorder="1" applyAlignment="1" applyProtection="1">
      <alignment vertical="top"/>
    </xf>
    <xf numFmtId="0" fontId="9" fillId="12" borderId="123" xfId="0" applyFont="1" applyFill="1" applyBorder="1" applyAlignment="1" applyProtection="1">
      <alignment horizontal="right" vertical="top"/>
    </xf>
    <xf numFmtId="0" fontId="39" fillId="12" borderId="123" xfId="0" applyFont="1" applyFill="1" applyBorder="1" applyAlignment="1" applyProtection="1">
      <alignment horizontal="center" vertical="center" wrapText="1"/>
    </xf>
    <xf numFmtId="0" fontId="9" fillId="12" borderId="123" xfId="0" applyFont="1" applyFill="1" applyBorder="1" applyProtection="1"/>
    <xf numFmtId="0" fontId="9" fillId="12" borderId="123" xfId="0" applyFont="1" applyFill="1" applyBorder="1" applyAlignment="1" applyProtection="1">
      <alignment horizontal="center" textRotation="90"/>
    </xf>
    <xf numFmtId="0" fontId="9" fillId="12" borderId="20" xfId="0" applyFont="1" applyFill="1" applyBorder="1" applyAlignment="1" applyProtection="1">
      <alignment horizontal="center" textRotation="90"/>
    </xf>
    <xf numFmtId="0" fontId="21" fillId="12" borderId="1" xfId="0" applyFont="1" applyFill="1" applyBorder="1" applyAlignment="1" applyProtection="1">
      <alignment vertical="top"/>
    </xf>
    <xf numFmtId="0" fontId="21" fillId="12" borderId="1" xfId="0" applyFont="1" applyFill="1" applyBorder="1" applyAlignment="1" applyProtection="1">
      <alignment horizontal="right" vertical="top"/>
    </xf>
    <xf numFmtId="0" fontId="9" fillId="12" borderId="1" xfId="0" applyFont="1" applyFill="1" applyBorder="1" applyAlignment="1" applyProtection="1">
      <alignment vertical="top"/>
    </xf>
    <xf numFmtId="0" fontId="21" fillId="12" borderId="1" xfId="0" applyFont="1" applyFill="1" applyBorder="1" applyAlignment="1" applyProtection="1">
      <alignment horizontal="center" vertical="top"/>
    </xf>
    <xf numFmtId="0" fontId="21" fillId="12" borderId="1" xfId="0" applyFont="1" applyFill="1" applyBorder="1" applyAlignment="1" applyProtection="1">
      <alignment wrapText="1"/>
    </xf>
    <xf numFmtId="0" fontId="21" fillId="12" borderId="27" xfId="0" applyFont="1" applyFill="1" applyBorder="1" applyAlignment="1" applyProtection="1">
      <alignment vertical="top"/>
    </xf>
    <xf numFmtId="0" fontId="21" fillId="12" borderId="27" xfId="0" applyFont="1" applyFill="1" applyBorder="1" applyAlignment="1" applyProtection="1">
      <alignment horizontal="right" vertical="top"/>
    </xf>
    <xf numFmtId="0" fontId="9" fillId="12" borderId="27" xfId="0" applyFont="1" applyFill="1" applyBorder="1" applyAlignment="1" applyProtection="1">
      <alignment vertical="top"/>
    </xf>
    <xf numFmtId="0" fontId="21" fillId="12" borderId="27" xfId="0" applyFont="1" applyFill="1" applyBorder="1" applyAlignment="1" applyProtection="1">
      <alignment horizontal="center" vertical="top"/>
    </xf>
    <xf numFmtId="0" fontId="21" fillId="12" borderId="27" xfId="0" applyFont="1" applyFill="1" applyBorder="1" applyAlignment="1" applyProtection="1">
      <alignment wrapText="1"/>
    </xf>
    <xf numFmtId="0" fontId="9" fillId="12" borderId="27" xfId="0" applyFont="1" applyFill="1" applyBorder="1" applyAlignment="1" applyProtection="1">
      <alignment horizontal="right" vertical="top"/>
    </xf>
    <xf numFmtId="0" fontId="9" fillId="12" borderId="27" xfId="0" applyFont="1" applyFill="1" applyBorder="1" applyAlignment="1" applyProtection="1">
      <alignment horizontal="center" vertical="top"/>
    </xf>
    <xf numFmtId="0" fontId="0" fillId="12" borderId="27" xfId="0" applyFill="1" applyBorder="1" applyAlignment="1" applyProtection="1">
      <alignment wrapText="1"/>
    </xf>
    <xf numFmtId="0" fontId="21" fillId="12" borderId="27" xfId="0" quotePrefix="1" applyFont="1" applyFill="1" applyBorder="1" applyAlignment="1" applyProtection="1">
      <alignment horizontal="center" vertical="top"/>
    </xf>
    <xf numFmtId="0" fontId="9" fillId="12" borderId="27" xfId="0" applyFont="1" applyFill="1" applyBorder="1" applyAlignment="1" applyProtection="1">
      <alignment wrapText="1"/>
    </xf>
    <xf numFmtId="0" fontId="6" fillId="12" borderId="27" xfId="0" applyFont="1" applyFill="1" applyBorder="1" applyAlignment="1" applyProtection="1">
      <alignment vertical="top"/>
    </xf>
    <xf numFmtId="0" fontId="6" fillId="12" borderId="27" xfId="0" applyFont="1" applyFill="1" applyBorder="1" applyAlignment="1" applyProtection="1">
      <alignment wrapText="1"/>
    </xf>
    <xf numFmtId="0" fontId="6" fillId="12" borderId="27" xfId="0" applyFont="1" applyFill="1" applyBorder="1" applyAlignment="1" applyProtection="1">
      <alignment horizontal="right" vertical="top"/>
    </xf>
    <xf numFmtId="0" fontId="6" fillId="12" borderId="27" xfId="0" quotePrefix="1" applyFont="1" applyFill="1" applyBorder="1" applyAlignment="1" applyProtection="1">
      <alignment horizontal="center" vertical="top"/>
    </xf>
    <xf numFmtId="0" fontId="6" fillId="12" borderId="27" xfId="0" applyFont="1" applyFill="1" applyBorder="1" applyProtection="1"/>
    <xf numFmtId="0" fontId="6" fillId="12" borderId="52" xfId="0" applyFont="1" applyFill="1" applyBorder="1" applyAlignment="1" applyProtection="1">
      <alignment vertical="top"/>
    </xf>
    <xf numFmtId="0" fontId="9" fillId="12" borderId="52" xfId="0" applyFont="1" applyFill="1" applyBorder="1" applyProtection="1"/>
    <xf numFmtId="0" fontId="6" fillId="12" borderId="52" xfId="0" quotePrefix="1" applyFont="1" applyFill="1" applyBorder="1" applyAlignment="1" applyProtection="1">
      <alignment horizontal="center" vertical="top"/>
    </xf>
    <xf numFmtId="0" fontId="6" fillId="12" borderId="52" xfId="0" applyFont="1" applyFill="1" applyBorder="1" applyProtection="1"/>
    <xf numFmtId="0" fontId="0" fillId="12" borderId="10" xfId="0" applyFill="1" applyBorder="1"/>
    <xf numFmtId="0" fontId="0" fillId="12" borderId="24" xfId="0" applyFill="1" applyBorder="1"/>
    <xf numFmtId="0" fontId="0" fillId="12" borderId="114" xfId="0" applyFill="1" applyBorder="1"/>
    <xf numFmtId="0" fontId="5" fillId="12" borderId="114" xfId="0" applyFont="1" applyFill="1" applyBorder="1" applyAlignment="1">
      <alignment wrapText="1"/>
    </xf>
    <xf numFmtId="0" fontId="0" fillId="12" borderId="17" xfId="0" applyFill="1" applyBorder="1"/>
    <xf numFmtId="0" fontId="0" fillId="12" borderId="25" xfId="0" applyFill="1" applyBorder="1"/>
    <xf numFmtId="0" fontId="0" fillId="12" borderId="120" xfId="0" applyFill="1" applyBorder="1" applyAlignment="1"/>
    <xf numFmtId="0" fontId="0" fillId="12" borderId="27" xfId="0" applyFill="1" applyBorder="1" applyAlignment="1"/>
    <xf numFmtId="0" fontId="0" fillId="12" borderId="43" xfId="0" applyFill="1" applyBorder="1"/>
    <xf numFmtId="0" fontId="0" fillId="12" borderId="42" xfId="0" applyFill="1" applyBorder="1"/>
    <xf numFmtId="0" fontId="43" fillId="12" borderId="42" xfId="0" applyFont="1" applyFill="1" applyBorder="1"/>
    <xf numFmtId="0" fontId="0" fillId="12" borderId="119" xfId="0" applyFill="1" applyBorder="1" applyAlignment="1"/>
    <xf numFmtId="0" fontId="0" fillId="12" borderId="42" xfId="0" applyFill="1" applyBorder="1" applyAlignment="1"/>
    <xf numFmtId="0" fontId="0" fillId="12" borderId="51" xfId="0" applyFill="1" applyBorder="1"/>
    <xf numFmtId="0" fontId="0" fillId="12" borderId="52" xfId="0" applyFill="1" applyBorder="1"/>
    <xf numFmtId="0" fontId="0" fillId="12" borderId="57" xfId="0" applyFill="1" applyBorder="1"/>
    <xf numFmtId="0" fontId="0" fillId="12" borderId="121" xfId="0" applyFill="1" applyBorder="1"/>
    <xf numFmtId="0" fontId="0" fillId="12" borderId="1" xfId="0" applyFill="1" applyBorder="1" applyAlignment="1">
      <alignment wrapText="1"/>
    </xf>
    <xf numFmtId="0" fontId="0" fillId="12" borderId="106" xfId="0" applyFill="1" applyBorder="1"/>
    <xf numFmtId="0" fontId="5" fillId="12" borderId="42" xfId="0" applyFont="1" applyFill="1" applyBorder="1" applyAlignment="1">
      <alignment horizontal="right"/>
    </xf>
    <xf numFmtId="0" fontId="0" fillId="12" borderId="112" xfId="0" applyFill="1" applyBorder="1"/>
    <xf numFmtId="0" fontId="0" fillId="12" borderId="113" xfId="0" applyFill="1" applyBorder="1"/>
    <xf numFmtId="0" fontId="43" fillId="12" borderId="63" xfId="0" applyFont="1" applyFill="1" applyBorder="1" applyAlignment="1">
      <alignment horizontal="center" vertical="center" wrapText="1"/>
    </xf>
    <xf numFmtId="0" fontId="43" fillId="12" borderId="64" xfId="0" applyFont="1" applyFill="1" applyBorder="1" applyAlignment="1">
      <alignment horizontal="center" vertical="center" wrapText="1"/>
    </xf>
    <xf numFmtId="0" fontId="43" fillId="12" borderId="66" xfId="0" applyFont="1" applyFill="1" applyBorder="1" applyAlignment="1">
      <alignment horizontal="center" vertical="center" wrapText="1"/>
    </xf>
    <xf numFmtId="0" fontId="9" fillId="14" borderId="59" xfId="0" applyFont="1" applyFill="1" applyBorder="1"/>
    <xf numFmtId="0" fontId="9" fillId="14" borderId="116" xfId="0" applyFont="1" applyFill="1" applyBorder="1"/>
    <xf numFmtId="0" fontId="19" fillId="14" borderId="33" xfId="0" applyFont="1" applyFill="1" applyBorder="1" applyAlignment="1" applyProtection="1">
      <alignment horizontal="center"/>
    </xf>
    <xf numFmtId="165" fontId="19" fillId="14" borderId="29" xfId="0" applyNumberFormat="1" applyFont="1" applyFill="1" applyBorder="1" applyAlignment="1" applyProtection="1">
      <alignment horizontal="center"/>
    </xf>
    <xf numFmtId="0" fontId="9" fillId="14" borderId="29" xfId="0" applyFont="1" applyFill="1" applyBorder="1" applyAlignment="1" applyProtection="1">
      <alignment horizontal="center"/>
    </xf>
    <xf numFmtId="167" fontId="9" fillId="14" borderId="29" xfId="0" applyNumberFormat="1" applyFont="1" applyFill="1" applyBorder="1" applyProtection="1"/>
    <xf numFmtId="0" fontId="9" fillId="14" borderId="93" xfId="0" applyFont="1" applyFill="1" applyBorder="1"/>
    <xf numFmtId="0" fontId="9" fillId="14" borderId="98" xfId="0" applyFont="1" applyFill="1" applyBorder="1"/>
    <xf numFmtId="168" fontId="22" fillId="14" borderId="41" xfId="16" applyNumberFormat="1" applyFont="1" applyFill="1" applyBorder="1" applyAlignment="1" applyProtection="1">
      <alignment horizontal="center"/>
    </xf>
    <xf numFmtId="168" fontId="22" fillId="14" borderId="41" xfId="16" applyNumberFormat="1" applyFont="1" applyFill="1" applyBorder="1" applyAlignment="1">
      <alignment horizontal="center"/>
    </xf>
    <xf numFmtId="168" fontId="30" fillId="14" borderId="127" xfId="16" applyNumberFormat="1" applyFont="1" applyFill="1" applyBorder="1" applyAlignment="1">
      <alignment horizontal="center"/>
    </xf>
    <xf numFmtId="168" fontId="22" fillId="14" borderId="122" xfId="16" applyNumberFormat="1" applyFont="1" applyFill="1" applyBorder="1" applyAlignment="1">
      <alignment horizontal="center"/>
    </xf>
    <xf numFmtId="168" fontId="30" fillId="14" borderId="122" xfId="16" applyNumberFormat="1" applyFont="1" applyFill="1" applyBorder="1" applyAlignment="1">
      <alignment horizontal="center"/>
    </xf>
    <xf numFmtId="168" fontId="30" fillId="14" borderId="105" xfId="16" applyNumberFormat="1" applyFont="1" applyFill="1" applyBorder="1" applyAlignment="1">
      <alignment horizontal="center"/>
    </xf>
    <xf numFmtId="0" fontId="83" fillId="14" borderId="41" xfId="14" applyFill="1" applyBorder="1"/>
    <xf numFmtId="0" fontId="0" fillId="14" borderId="41" xfId="0" applyFill="1" applyBorder="1"/>
    <xf numFmtId="0" fontId="83" fillId="14" borderId="128" xfId="14" applyFill="1" applyBorder="1"/>
    <xf numFmtId="0" fontId="21" fillId="14" borderId="29" xfId="0" applyFont="1" applyFill="1" applyBorder="1" applyAlignment="1" applyProtection="1">
      <alignment horizontal="center" vertical="center"/>
    </xf>
    <xf numFmtId="0" fontId="21" fillId="14" borderId="44" xfId="0" applyFont="1" applyFill="1" applyBorder="1" applyAlignment="1" applyProtection="1">
      <alignment horizontal="center" vertical="center"/>
    </xf>
    <xf numFmtId="0" fontId="9" fillId="14" borderId="29" xfId="0" applyFont="1" applyFill="1" applyBorder="1" applyProtection="1"/>
    <xf numFmtId="0" fontId="21" fillId="14" borderId="29" xfId="0" applyFont="1" applyFill="1" applyBorder="1" applyAlignment="1" applyProtection="1">
      <alignment horizontal="center"/>
    </xf>
    <xf numFmtId="0" fontId="0" fillId="14" borderId="28" xfId="0" applyFill="1" applyBorder="1"/>
    <xf numFmtId="176" fontId="0" fillId="14" borderId="29" xfId="0" applyNumberFormat="1" applyFill="1" applyBorder="1"/>
    <xf numFmtId="0" fontId="0" fillId="14" borderId="29" xfId="0" applyFill="1" applyBorder="1"/>
    <xf numFmtId="168" fontId="0" fillId="14" borderId="29" xfId="0" applyNumberFormat="1" applyFill="1" applyBorder="1"/>
    <xf numFmtId="168" fontId="0" fillId="14" borderId="26" xfId="0" applyNumberFormat="1" applyFill="1" applyBorder="1"/>
    <xf numFmtId="0" fontId="5" fillId="14" borderId="27" xfId="0" applyFont="1" applyFill="1" applyBorder="1" applyAlignment="1">
      <alignment horizontal="right"/>
    </xf>
    <xf numFmtId="0" fontId="5" fillId="14" borderId="42" xfId="0" applyFont="1" applyFill="1" applyBorder="1" applyAlignment="1">
      <alignment horizontal="right"/>
    </xf>
    <xf numFmtId="168" fontId="0" fillId="14" borderId="27" xfId="0" applyNumberFormat="1" applyFill="1" applyBorder="1"/>
    <xf numFmtId="168" fontId="43" fillId="14" borderId="129" xfId="0" applyNumberFormat="1" applyFont="1" applyFill="1" applyBorder="1"/>
    <xf numFmtId="168" fontId="0" fillId="14" borderId="83" xfId="0" applyNumberFormat="1" applyFill="1" applyBorder="1"/>
    <xf numFmtId="168" fontId="43" fillId="14" borderId="83" xfId="0" applyNumberFormat="1" applyFont="1" applyFill="1" applyBorder="1"/>
    <xf numFmtId="0" fontId="9" fillId="14" borderId="83" xfId="0" applyFont="1" applyFill="1" applyBorder="1" applyAlignment="1" applyProtection="1">
      <alignment horizontal="center"/>
    </xf>
    <xf numFmtId="167" fontId="9" fillId="14" borderId="83" xfId="0" applyNumberFormat="1" applyFont="1" applyFill="1" applyBorder="1" applyProtection="1"/>
    <xf numFmtId="0" fontId="0" fillId="14" borderId="84" xfId="0" applyFill="1" applyBorder="1" applyAlignment="1">
      <alignment horizontal="center"/>
    </xf>
    <xf numFmtId="168" fontId="43" fillId="14" borderId="130" xfId="0" applyNumberFormat="1" applyFont="1" applyFill="1" applyBorder="1"/>
    <xf numFmtId="168" fontId="43" fillId="14" borderId="29" xfId="0" applyNumberFormat="1" applyFont="1" applyFill="1" applyBorder="1"/>
    <xf numFmtId="0" fontId="0" fillId="14" borderId="79" xfId="0" applyFill="1" applyBorder="1" applyAlignment="1">
      <alignment horizontal="center"/>
    </xf>
    <xf numFmtId="168" fontId="43" fillId="14" borderId="131" xfId="0" applyNumberFormat="1" applyFont="1" applyFill="1" applyBorder="1"/>
    <xf numFmtId="168" fontId="0" fillId="14" borderId="58" xfId="0" applyNumberFormat="1" applyFill="1" applyBorder="1"/>
    <xf numFmtId="168" fontId="43" fillId="14" borderId="58" xfId="0" applyNumberFormat="1" applyFont="1" applyFill="1" applyBorder="1"/>
    <xf numFmtId="0" fontId="9" fillId="14" borderId="58" xfId="0" applyFont="1" applyFill="1" applyBorder="1" applyAlignment="1" applyProtection="1">
      <alignment horizontal="center"/>
    </xf>
    <xf numFmtId="167" fontId="9" fillId="14" borderId="58" xfId="0" applyNumberFormat="1" applyFont="1" applyFill="1" applyBorder="1" applyProtection="1"/>
    <xf numFmtId="0" fontId="0" fillId="14" borderId="80" xfId="0" applyFill="1" applyBorder="1" applyAlignment="1">
      <alignment horizontal="center"/>
    </xf>
    <xf numFmtId="0" fontId="70" fillId="12" borderId="115" xfId="0" applyFont="1" applyFill="1" applyBorder="1" applyProtection="1"/>
    <xf numFmtId="0" fontId="71" fillId="12" borderId="59" xfId="0" applyFont="1" applyFill="1" applyBorder="1" applyProtection="1"/>
    <xf numFmtId="0" fontId="19" fillId="12" borderId="59" xfId="0" applyFont="1" applyFill="1" applyBorder="1" applyProtection="1"/>
    <xf numFmtId="175" fontId="72" fillId="12" borderId="59" xfId="0" applyNumberFormat="1" applyFont="1" applyFill="1" applyBorder="1" applyProtection="1"/>
    <xf numFmtId="0" fontId="70" fillId="12" borderId="116" xfId="0" applyFont="1" applyFill="1" applyBorder="1" applyProtection="1"/>
    <xf numFmtId="0" fontId="73" fillId="0" borderId="0" xfId="0" quotePrefix="1" applyNumberFormat="1" applyFont="1"/>
    <xf numFmtId="0" fontId="19" fillId="12" borderId="60" xfId="0" applyFont="1" applyFill="1" applyBorder="1" applyProtection="1"/>
    <xf numFmtId="0" fontId="24" fillId="12" borderId="0" xfId="0" applyFont="1" applyFill="1" applyBorder="1" applyProtection="1"/>
    <xf numFmtId="0" fontId="73" fillId="0" borderId="0" xfId="0" quotePrefix="1" applyNumberFormat="1" applyFont="1" applyFill="1" applyAlignment="1">
      <alignment horizontal="center"/>
    </xf>
    <xf numFmtId="0" fontId="19" fillId="12" borderId="0" xfId="0" applyFont="1" applyFill="1" applyBorder="1" applyAlignment="1" applyProtection="1">
      <alignment horizontal="center"/>
    </xf>
    <xf numFmtId="0" fontId="74" fillId="12" borderId="0" xfId="0" applyFont="1" applyFill="1" applyBorder="1" applyProtection="1"/>
    <xf numFmtId="0" fontId="73" fillId="0" borderId="0" xfId="0" applyFont="1"/>
    <xf numFmtId="0" fontId="73" fillId="0" borderId="0" xfId="0" applyFont="1" applyAlignment="1">
      <alignment horizontal="center" vertical="center" wrapText="1"/>
    </xf>
    <xf numFmtId="0" fontId="19" fillId="0" borderId="0" xfId="0" applyFont="1" applyAlignment="1" applyProtection="1">
      <alignment horizontal="center" vertical="center" wrapText="1"/>
    </xf>
    <xf numFmtId="0" fontId="19" fillId="0" borderId="0" xfId="0" quotePrefix="1" applyFont="1" applyAlignment="1" applyProtection="1">
      <alignment horizontal="center" vertical="center" wrapText="1"/>
    </xf>
    <xf numFmtId="0" fontId="24" fillId="3" borderId="123" xfId="0" applyFont="1" applyFill="1" applyBorder="1" applyProtection="1"/>
    <xf numFmtId="0" fontId="19" fillId="3" borderId="132" xfId="0" applyFont="1" applyFill="1" applyBorder="1" applyProtection="1"/>
    <xf numFmtId="0" fontId="19" fillId="3" borderId="123" xfId="0" applyFont="1" applyFill="1" applyBorder="1" applyProtection="1"/>
    <xf numFmtId="0" fontId="19" fillId="3" borderId="20" xfId="0" applyFont="1" applyFill="1" applyBorder="1" applyProtection="1"/>
    <xf numFmtId="0" fontId="75" fillId="0" borderId="0" xfId="0" quotePrefix="1" applyNumberFormat="1" applyFont="1"/>
    <xf numFmtId="168" fontId="19" fillId="0" borderId="0" xfId="0" applyNumberFormat="1" applyFont="1" applyProtection="1"/>
    <xf numFmtId="168" fontId="73" fillId="0" borderId="0" xfId="0" quotePrefix="1" applyNumberFormat="1" applyFont="1"/>
    <xf numFmtId="0" fontId="19" fillId="7" borderId="26" xfId="0" applyFont="1" applyFill="1" applyBorder="1" applyAlignment="1" applyProtection="1">
      <alignment horizontal="left"/>
    </xf>
    <xf numFmtId="0" fontId="19" fillId="7" borderId="27" xfId="0" applyFont="1" applyFill="1" applyBorder="1" applyAlignment="1" applyProtection="1">
      <alignment horizontal="left"/>
    </xf>
    <xf numFmtId="0" fontId="19" fillId="7" borderId="28" xfId="0" applyFont="1" applyFill="1" applyBorder="1" applyAlignment="1" applyProtection="1">
      <alignment horizontal="left"/>
    </xf>
    <xf numFmtId="0" fontId="35" fillId="12" borderId="61" xfId="0" applyFont="1" applyFill="1" applyBorder="1" applyProtection="1"/>
    <xf numFmtId="0" fontId="73" fillId="0" borderId="0" xfId="0" applyNumberFormat="1" applyFont="1"/>
    <xf numFmtId="49" fontId="35" fillId="0" borderId="0" xfId="0" applyNumberFormat="1" applyFont="1" applyBorder="1" applyProtection="1"/>
    <xf numFmtId="0" fontId="77" fillId="12" borderId="114" xfId="0" applyFont="1" applyFill="1" applyBorder="1" applyAlignment="1" applyProtection="1">
      <alignment horizontal="center"/>
    </xf>
    <xf numFmtId="0" fontId="19" fillId="3" borderId="132" xfId="0" applyFont="1" applyFill="1" applyBorder="1" applyAlignment="1" applyProtection="1">
      <alignment horizontal="left"/>
    </xf>
    <xf numFmtId="0" fontId="19" fillId="3" borderId="123" xfId="0" applyFont="1" applyFill="1" applyBorder="1" applyAlignment="1" applyProtection="1">
      <alignment horizontal="left"/>
    </xf>
    <xf numFmtId="0" fontId="19" fillId="3" borderId="20" xfId="0" applyFont="1" applyFill="1" applyBorder="1" applyAlignment="1" applyProtection="1">
      <alignment horizontal="left"/>
    </xf>
    <xf numFmtId="0" fontId="74" fillId="7" borderId="0" xfId="0" applyFont="1" applyFill="1" applyBorder="1" applyAlignment="1" applyProtection="1">
      <alignment horizontal="left"/>
    </xf>
    <xf numFmtId="0" fontId="19" fillId="7" borderId="0" xfId="0" applyFont="1" applyFill="1" applyBorder="1" applyAlignment="1" applyProtection="1">
      <alignment horizontal="left"/>
    </xf>
    <xf numFmtId="0" fontId="19" fillId="7" borderId="120" xfId="0" applyFont="1" applyFill="1" applyBorder="1" applyAlignment="1" applyProtection="1">
      <alignment horizontal="center"/>
    </xf>
    <xf numFmtId="0" fontId="19" fillId="7" borderId="133" xfId="0" applyFont="1" applyFill="1" applyBorder="1" applyAlignment="1" applyProtection="1">
      <alignment horizontal="center"/>
    </xf>
    <xf numFmtId="0" fontId="19" fillId="7" borderId="27" xfId="0" applyFont="1" applyFill="1" applyBorder="1" applyAlignment="1" applyProtection="1">
      <alignment horizontal="center"/>
    </xf>
    <xf numFmtId="0" fontId="19" fillId="7" borderId="28" xfId="0" applyFont="1" applyFill="1" applyBorder="1" applyAlignment="1" applyProtection="1">
      <alignment horizontal="center"/>
    </xf>
    <xf numFmtId="0" fontId="74" fillId="12" borderId="0" xfId="0" applyFont="1" applyFill="1" applyBorder="1" applyAlignment="1" applyProtection="1">
      <alignment horizontal="left"/>
    </xf>
    <xf numFmtId="0" fontId="19" fillId="12" borderId="0" xfId="0" applyFont="1" applyFill="1" applyBorder="1" applyAlignment="1" applyProtection="1">
      <alignment horizontal="left"/>
    </xf>
    <xf numFmtId="0" fontId="19" fillId="7" borderId="134" xfId="0" applyFont="1" applyFill="1" applyBorder="1" applyAlignment="1" applyProtection="1">
      <alignment horizontal="center"/>
    </xf>
    <xf numFmtId="0" fontId="19" fillId="7" borderId="1" xfId="0" applyFont="1" applyFill="1" applyBorder="1" applyAlignment="1" applyProtection="1">
      <alignment horizontal="center"/>
    </xf>
    <xf numFmtId="0" fontId="19" fillId="7" borderId="75" xfId="0" applyFont="1" applyFill="1" applyBorder="1" applyAlignment="1" applyProtection="1">
      <alignment horizontal="center"/>
    </xf>
    <xf numFmtId="0" fontId="19" fillId="7" borderId="62" xfId="0" applyFont="1" applyFill="1" applyBorder="1" applyProtection="1"/>
    <xf numFmtId="0" fontId="9" fillId="15" borderId="0" xfId="0" applyFont="1" applyFill="1" applyAlignment="1">
      <alignment horizontal="left"/>
    </xf>
    <xf numFmtId="0" fontId="9" fillId="15" borderId="0" xfId="0" applyFont="1" applyFill="1"/>
    <xf numFmtId="0" fontId="70" fillId="12" borderId="12" xfId="0" applyFont="1" applyFill="1" applyBorder="1" applyProtection="1"/>
    <xf numFmtId="0" fontId="19" fillId="12" borderId="111" xfId="0" applyFont="1" applyFill="1" applyBorder="1" applyProtection="1"/>
    <xf numFmtId="0" fontId="24" fillId="12" borderId="111" xfId="0" applyFont="1" applyFill="1" applyBorder="1" applyProtection="1"/>
    <xf numFmtId="0" fontId="19" fillId="12" borderId="13" xfId="0" applyFont="1" applyFill="1" applyBorder="1" applyProtection="1"/>
    <xf numFmtId="0" fontId="19" fillId="12" borderId="10" xfId="0" applyFont="1" applyFill="1" applyBorder="1" applyProtection="1"/>
    <xf numFmtId="0" fontId="19" fillId="3" borderId="23" xfId="0" applyFont="1" applyFill="1" applyBorder="1" applyAlignment="1" applyProtection="1">
      <alignment horizontal="center" wrapText="1"/>
    </xf>
    <xf numFmtId="0" fontId="19" fillId="3" borderId="135" xfId="0" applyFont="1" applyFill="1" applyBorder="1" applyAlignment="1" applyProtection="1">
      <alignment horizontal="center" wrapText="1"/>
    </xf>
    <xf numFmtId="0" fontId="19" fillId="3" borderId="132" xfId="0" applyFont="1" applyFill="1" applyBorder="1" applyAlignment="1" applyProtection="1">
      <alignment horizontal="center" wrapText="1"/>
    </xf>
    <xf numFmtId="0" fontId="19" fillId="3" borderId="21" xfId="0" applyFont="1" applyFill="1" applyBorder="1" applyAlignment="1" applyProtection="1">
      <alignment horizontal="center" wrapText="1"/>
    </xf>
    <xf numFmtId="0" fontId="19" fillId="3" borderId="123" xfId="0" applyFont="1" applyFill="1" applyBorder="1" applyAlignment="1" applyProtection="1">
      <alignment horizontal="center" wrapText="1"/>
    </xf>
    <xf numFmtId="0" fontId="19" fillId="3" borderId="20" xfId="0" applyFont="1" applyFill="1" applyBorder="1" applyAlignment="1" applyProtection="1">
      <alignment horizontal="center" wrapText="1"/>
    </xf>
    <xf numFmtId="0" fontId="19" fillId="3" borderId="136" xfId="0" applyFont="1" applyFill="1" applyBorder="1" applyAlignment="1" applyProtection="1">
      <alignment horizontal="center" wrapText="1"/>
    </xf>
    <xf numFmtId="0" fontId="19" fillId="3" borderId="45" xfId="0" applyFont="1" applyFill="1" applyBorder="1" applyAlignment="1" applyProtection="1">
      <alignment horizontal="center" wrapText="1"/>
    </xf>
    <xf numFmtId="0" fontId="19" fillId="12" borderId="17" xfId="0" applyFont="1" applyFill="1" applyBorder="1" applyProtection="1"/>
    <xf numFmtId="0" fontId="19" fillId="0" borderId="0" xfId="0" applyFont="1" applyAlignment="1" applyProtection="1">
      <alignment wrapText="1"/>
    </xf>
    <xf numFmtId="174" fontId="19" fillId="6" borderId="33" xfId="0" applyNumberFormat="1" applyFont="1" applyFill="1" applyBorder="1" applyAlignment="1" applyProtection="1">
      <alignment horizontal="center"/>
      <protection locked="0"/>
    </xf>
    <xf numFmtId="3" fontId="19" fillId="6" borderId="33" xfId="0" applyNumberFormat="1" applyFont="1" applyFill="1" applyBorder="1" applyAlignment="1" applyProtection="1">
      <alignment horizontal="center"/>
      <protection locked="0"/>
    </xf>
    <xf numFmtId="168" fontId="73" fillId="14" borderId="27" xfId="0" applyNumberFormat="1" applyFont="1" applyFill="1" applyBorder="1" applyProtection="1"/>
    <xf numFmtId="0" fontId="74" fillId="12" borderId="0" xfId="0" applyFont="1" applyFill="1" applyBorder="1" applyAlignment="1" applyProtection="1">
      <alignment horizontal="center"/>
    </xf>
    <xf numFmtId="168" fontId="19" fillId="6" borderId="45" xfId="0" applyNumberFormat="1" applyFont="1" applyFill="1" applyBorder="1" applyAlignment="1" applyProtection="1">
      <alignment horizontal="right"/>
      <protection locked="0"/>
    </xf>
    <xf numFmtId="174" fontId="19" fillId="6" borderId="29" xfId="0" applyNumberFormat="1" applyFont="1" applyFill="1" applyBorder="1" applyAlignment="1" applyProtection="1">
      <alignment horizontal="center"/>
      <protection locked="0"/>
    </xf>
    <xf numFmtId="3" fontId="19" fillId="6" borderId="29" xfId="0" applyNumberFormat="1" applyFont="1" applyFill="1" applyBorder="1" applyAlignment="1" applyProtection="1">
      <alignment horizontal="center"/>
      <protection locked="0"/>
    </xf>
    <xf numFmtId="168" fontId="19" fillId="6" borderId="29" xfId="0" applyNumberFormat="1" applyFont="1" applyFill="1" applyBorder="1" applyAlignment="1" applyProtection="1">
      <alignment horizontal="right"/>
      <protection locked="0"/>
    </xf>
    <xf numFmtId="167" fontId="19" fillId="6" borderId="29" xfId="0" applyNumberFormat="1" applyFont="1" applyFill="1" applyBorder="1" applyAlignment="1" applyProtection="1">
      <alignment horizontal="center"/>
      <protection locked="0"/>
    </xf>
    <xf numFmtId="168" fontId="19" fillId="6" borderId="34" xfId="0" applyNumberFormat="1" applyFont="1" applyFill="1" applyBorder="1" applyAlignment="1" applyProtection="1">
      <alignment horizontal="right"/>
      <protection locked="0"/>
    </xf>
    <xf numFmtId="165" fontId="24" fillId="14" borderId="29" xfId="0" applyNumberFormat="1" applyFont="1" applyFill="1" applyBorder="1" applyAlignment="1" applyProtection="1">
      <alignment horizontal="center"/>
    </xf>
    <xf numFmtId="3" fontId="24" fillId="14" borderId="29" xfId="0" applyNumberFormat="1" applyFont="1" applyFill="1" applyBorder="1" applyAlignment="1" applyProtection="1">
      <alignment horizontal="center"/>
    </xf>
    <xf numFmtId="3" fontId="24" fillId="14" borderId="26" xfId="0" applyNumberFormat="1" applyFont="1" applyFill="1" applyBorder="1" applyAlignment="1" applyProtection="1">
      <alignment horizontal="center"/>
    </xf>
    <xf numFmtId="167" fontId="24" fillId="14" borderId="29" xfId="0" applyNumberFormat="1" applyFont="1" applyFill="1" applyBorder="1" applyAlignment="1" applyProtection="1">
      <alignment horizontal="center"/>
    </xf>
    <xf numFmtId="0" fontId="35" fillId="12" borderId="0" xfId="0" applyFont="1" applyFill="1" applyBorder="1" applyProtection="1"/>
    <xf numFmtId="0" fontId="70" fillId="12" borderId="10" xfId="0" applyFont="1" applyFill="1" applyBorder="1" applyProtection="1"/>
    <xf numFmtId="0" fontId="78" fillId="12" borderId="0" xfId="0" applyFont="1" applyFill="1" applyBorder="1" applyAlignment="1" applyProtection="1">
      <alignment horizontal="center"/>
    </xf>
    <xf numFmtId="0" fontId="78" fillId="12" borderId="0" xfId="0" applyFont="1" applyFill="1" applyBorder="1" applyAlignment="1" applyProtection="1"/>
    <xf numFmtId="0" fontId="71" fillId="12" borderId="0" xfId="0" applyFont="1" applyFill="1" applyBorder="1" applyAlignment="1" applyProtection="1">
      <alignment horizontal="center"/>
    </xf>
    <xf numFmtId="0" fontId="19" fillId="3" borderId="137" xfId="0" applyFont="1" applyFill="1" applyBorder="1" applyAlignment="1" applyProtection="1">
      <alignment horizontal="center" wrapText="1"/>
    </xf>
    <xf numFmtId="0" fontId="79" fillId="12" borderId="0" xfId="0" applyFont="1" applyFill="1" applyBorder="1" applyAlignment="1" applyProtection="1">
      <alignment horizontal="center"/>
    </xf>
    <xf numFmtId="0" fontId="19" fillId="6" borderId="138" xfId="0" applyFont="1" applyFill="1" applyBorder="1" applyAlignment="1" applyProtection="1">
      <alignment horizontal="center"/>
      <protection locked="0"/>
    </xf>
    <xf numFmtId="0" fontId="19" fillId="6" borderId="139" xfId="0" applyFont="1" applyFill="1" applyBorder="1" applyAlignment="1" applyProtection="1">
      <alignment horizontal="center"/>
      <protection locked="0"/>
    </xf>
    <xf numFmtId="0" fontId="19" fillId="6" borderId="140" xfId="0" applyFont="1" applyFill="1" applyBorder="1" applyAlignment="1" applyProtection="1">
      <alignment horizontal="center"/>
      <protection locked="0"/>
    </xf>
    <xf numFmtId="0" fontId="19" fillId="14" borderId="35" xfId="0" applyFont="1" applyFill="1" applyBorder="1" applyAlignment="1" applyProtection="1">
      <alignment horizontal="center"/>
    </xf>
    <xf numFmtId="3" fontId="19" fillId="14" borderId="35" xfId="0" applyNumberFormat="1" applyFont="1" applyFill="1" applyBorder="1" applyAlignment="1" applyProtection="1">
      <alignment horizontal="center"/>
    </xf>
    <xf numFmtId="3" fontId="24" fillId="14" borderId="33" xfId="0" applyNumberFormat="1" applyFont="1" applyFill="1" applyBorder="1" applyAlignment="1" applyProtection="1">
      <alignment horizontal="center"/>
    </xf>
    <xf numFmtId="9" fontId="35" fillId="12" borderId="0" xfId="0" applyNumberFormat="1" applyFont="1" applyFill="1" applyBorder="1" applyProtection="1"/>
    <xf numFmtId="167" fontId="19" fillId="3" borderId="20" xfId="0" applyNumberFormat="1" applyFont="1" applyFill="1" applyBorder="1" applyAlignment="1" applyProtection="1">
      <alignment horizontal="center" wrapText="1"/>
    </xf>
    <xf numFmtId="3" fontId="19" fillId="6" borderId="138" xfId="0" applyNumberFormat="1" applyFont="1" applyFill="1" applyBorder="1" applyAlignment="1" applyProtection="1">
      <alignment horizontal="center"/>
      <protection locked="0"/>
    </xf>
    <xf numFmtId="3" fontId="19" fillId="6" borderId="139" xfId="0" applyNumberFormat="1" applyFont="1" applyFill="1" applyBorder="1" applyAlignment="1" applyProtection="1">
      <alignment horizontal="center"/>
      <protection locked="0"/>
    </xf>
    <xf numFmtId="4" fontId="79" fillId="12" borderId="0" xfId="0" applyNumberFormat="1" applyFont="1" applyFill="1" applyBorder="1" applyAlignment="1" applyProtection="1">
      <alignment horizontal="center"/>
    </xf>
    <xf numFmtId="3" fontId="19" fillId="6" borderId="140" xfId="0" applyNumberFormat="1" applyFont="1" applyFill="1" applyBorder="1" applyAlignment="1" applyProtection="1">
      <alignment horizontal="center"/>
      <protection locked="0"/>
    </xf>
    <xf numFmtId="167" fontId="24" fillId="14" borderId="33" xfId="0" applyNumberFormat="1" applyFont="1" applyFill="1" applyBorder="1" applyAlignment="1" applyProtection="1">
      <alignment horizontal="center"/>
    </xf>
    <xf numFmtId="0" fontId="78" fillId="12" borderId="0" xfId="0" applyFont="1" applyFill="1" applyBorder="1" applyProtection="1"/>
    <xf numFmtId="3" fontId="19" fillId="3" borderId="23" xfId="0" applyNumberFormat="1" applyFont="1" applyFill="1" applyBorder="1" applyAlignment="1" applyProtection="1">
      <alignment horizontal="center" wrapText="1"/>
    </xf>
    <xf numFmtId="3" fontId="19" fillId="3" borderId="135" xfId="0" applyNumberFormat="1" applyFont="1" applyFill="1" applyBorder="1" applyAlignment="1" applyProtection="1">
      <alignment horizontal="center" wrapText="1"/>
    </xf>
    <xf numFmtId="3" fontId="19" fillId="3" borderId="132" xfId="0" applyNumberFormat="1" applyFont="1" applyFill="1" applyBorder="1" applyAlignment="1" applyProtection="1">
      <alignment horizontal="center" wrapText="1"/>
    </xf>
    <xf numFmtId="3" fontId="19" fillId="3" borderId="20" xfId="0" applyNumberFormat="1" applyFont="1" applyFill="1" applyBorder="1" applyAlignment="1" applyProtection="1">
      <alignment horizontal="center" wrapText="1"/>
    </xf>
    <xf numFmtId="0" fontId="72" fillId="12" borderId="0" xfId="0" applyFont="1" applyFill="1" applyBorder="1" applyProtection="1"/>
    <xf numFmtId="3" fontId="19" fillId="0" borderId="50" xfId="0" applyNumberFormat="1" applyFont="1" applyBorder="1" applyAlignment="1" applyProtection="1">
      <alignment horizontal="right"/>
    </xf>
    <xf numFmtId="3" fontId="19" fillId="0" borderId="26" xfId="0" applyNumberFormat="1" applyFont="1" applyBorder="1" applyAlignment="1" applyProtection="1">
      <alignment horizontal="right"/>
    </xf>
    <xf numFmtId="4" fontId="24" fillId="12" borderId="0" xfId="0" applyNumberFormat="1" applyFont="1" applyFill="1" applyBorder="1" applyAlignment="1" applyProtection="1">
      <alignment horizontal="center"/>
    </xf>
    <xf numFmtId="0" fontId="19" fillId="12" borderId="24" xfId="0" applyFont="1" applyFill="1" applyBorder="1" applyProtection="1"/>
    <xf numFmtId="0" fontId="19" fillId="12" borderId="114" xfId="0" applyFont="1" applyFill="1" applyBorder="1" applyProtection="1"/>
    <xf numFmtId="0" fontId="19" fillId="12" borderId="25" xfId="0" applyFont="1" applyFill="1" applyBorder="1" applyProtection="1"/>
    <xf numFmtId="0" fontId="0" fillId="0" borderId="0" xfId="0" applyAlignment="1">
      <alignment horizontal="left"/>
    </xf>
    <xf numFmtId="0" fontId="43" fillId="0" borderId="0" xfId="0" applyFont="1" applyFill="1" applyBorder="1" applyAlignment="1">
      <alignment horizontal="left"/>
    </xf>
    <xf numFmtId="0" fontId="0" fillId="0" borderId="0" xfId="0" applyFill="1" applyBorder="1" applyAlignment="1">
      <alignment horizontal="left"/>
    </xf>
    <xf numFmtId="0" fontId="21" fillId="12" borderId="111" xfId="16" applyFont="1" applyFill="1" applyBorder="1" applyProtection="1"/>
    <xf numFmtId="0" fontId="6" fillId="12" borderId="111" xfId="16" applyFont="1" applyFill="1" applyBorder="1" applyProtection="1"/>
    <xf numFmtId="0" fontId="6" fillId="0" borderId="0" xfId="0" applyFont="1" applyBorder="1" applyProtection="1"/>
    <xf numFmtId="0" fontId="6" fillId="12" borderId="123" xfId="16" applyFont="1" applyFill="1" applyBorder="1" applyProtection="1"/>
    <xf numFmtId="0" fontId="6" fillId="12" borderId="20" xfId="16" applyFont="1" applyFill="1" applyBorder="1" applyProtection="1"/>
    <xf numFmtId="0" fontId="43" fillId="12" borderId="17" xfId="0" applyFont="1" applyFill="1" applyBorder="1" applyProtection="1"/>
    <xf numFmtId="168" fontId="6" fillId="14" borderId="29" xfId="16" applyNumberFormat="1" applyFont="1" applyFill="1" applyBorder="1" applyAlignment="1" applyProtection="1">
      <alignment horizontal="left"/>
    </xf>
    <xf numFmtId="167" fontId="6" fillId="12" borderId="0" xfId="16" applyNumberFormat="1" applyFont="1" applyFill="1" applyBorder="1" applyAlignment="1" applyProtection="1">
      <alignment horizontal="center"/>
    </xf>
    <xf numFmtId="0" fontId="6" fillId="12" borderId="0" xfId="16" applyFont="1" applyFill="1" applyBorder="1" applyProtection="1"/>
    <xf numFmtId="0" fontId="6" fillId="14" borderId="45" xfId="16" applyFont="1" applyFill="1" applyBorder="1" applyAlignment="1" applyProtection="1">
      <alignment horizontal="left"/>
    </xf>
    <xf numFmtId="167" fontId="6" fillId="14" borderId="29" xfId="16" applyNumberFormat="1" applyFont="1" applyFill="1" applyBorder="1" applyAlignment="1" applyProtection="1">
      <alignment horizontal="left"/>
    </xf>
    <xf numFmtId="0" fontId="43" fillId="12" borderId="10" xfId="0" applyFont="1" applyFill="1" applyBorder="1" applyProtection="1"/>
    <xf numFmtId="170" fontId="6" fillId="14" borderId="29" xfId="16" applyNumberFormat="1" applyFont="1" applyFill="1" applyBorder="1" applyAlignment="1" applyProtection="1">
      <alignment horizontal="left"/>
    </xf>
    <xf numFmtId="167" fontId="6" fillId="14" borderId="29" xfId="0" applyNumberFormat="1" applyFont="1" applyFill="1" applyBorder="1" applyAlignment="1" applyProtection="1">
      <alignment horizontal="left"/>
    </xf>
    <xf numFmtId="0" fontId="6" fillId="12" borderId="10" xfId="0" applyFont="1" applyFill="1" applyBorder="1" applyProtection="1"/>
    <xf numFmtId="0" fontId="6" fillId="12" borderId="17" xfId="0" applyFont="1" applyFill="1" applyBorder="1" applyProtection="1"/>
    <xf numFmtId="0" fontId="6" fillId="12" borderId="0" xfId="0" applyFont="1" applyFill="1" applyBorder="1" applyProtection="1"/>
    <xf numFmtId="0" fontId="6" fillId="12" borderId="24" xfId="0" applyFont="1" applyFill="1" applyBorder="1" applyProtection="1"/>
    <xf numFmtId="0" fontId="6" fillId="12" borderId="114" xfId="0" applyFont="1" applyFill="1" applyBorder="1" applyProtection="1"/>
    <xf numFmtId="0" fontId="6" fillId="12" borderId="25" xfId="0" applyFont="1" applyFill="1" applyBorder="1" applyProtection="1"/>
    <xf numFmtId="0" fontId="70" fillId="12" borderId="0" xfId="0" applyFont="1" applyFill="1"/>
    <xf numFmtId="0" fontId="19" fillId="12" borderId="0" xfId="0" applyFont="1" applyFill="1"/>
    <xf numFmtId="0" fontId="19" fillId="0" borderId="0" xfId="0" applyFont="1" applyAlignment="1">
      <alignment horizontal="left"/>
    </xf>
    <xf numFmtId="0" fontId="24" fillId="12" borderId="0" xfId="16" applyFont="1" applyFill="1" applyBorder="1"/>
    <xf numFmtId="0" fontId="24" fillId="12" borderId="0" xfId="0" applyFont="1" applyFill="1" applyBorder="1"/>
    <xf numFmtId="0" fontId="19" fillId="12" borderId="0" xfId="0" applyFont="1" applyFill="1" applyBorder="1"/>
    <xf numFmtId="0" fontId="19" fillId="12" borderId="0" xfId="16" applyFont="1" applyFill="1" applyBorder="1"/>
    <xf numFmtId="0" fontId="24" fillId="12" borderId="142" xfId="16" applyFont="1" applyFill="1" applyBorder="1" applyAlignment="1" applyProtection="1">
      <alignment horizontal="center"/>
    </xf>
    <xf numFmtId="0" fontId="24" fillId="12" borderId="124" xfId="16" applyFont="1" applyFill="1" applyBorder="1" applyAlignment="1" applyProtection="1">
      <alignment horizontal="center" wrapText="1"/>
      <protection locked="0"/>
    </xf>
    <xf numFmtId="0" fontId="24" fillId="12" borderId="124" xfId="16" applyFont="1" applyFill="1" applyBorder="1" applyAlignment="1" applyProtection="1">
      <alignment horizontal="center"/>
      <protection locked="0"/>
    </xf>
    <xf numFmtId="6" fontId="24" fillId="12" borderId="142" xfId="16" applyNumberFormat="1" applyFont="1" applyFill="1" applyBorder="1" applyAlignment="1" applyProtection="1">
      <alignment horizontal="right"/>
    </xf>
    <xf numFmtId="6" fontId="24" fillId="12" borderId="143" xfId="16" applyNumberFormat="1" applyFont="1" applyFill="1" applyBorder="1" applyAlignment="1" applyProtection="1">
      <alignment horizontal="right"/>
    </xf>
    <xf numFmtId="0" fontId="19" fillId="12" borderId="142" xfId="0" applyFont="1" applyFill="1" applyBorder="1"/>
    <xf numFmtId="0" fontId="24" fillId="12" borderId="48" xfId="0" applyFont="1" applyFill="1" applyBorder="1"/>
    <xf numFmtId="0" fontId="19" fillId="12" borderId="29" xfId="0" applyFont="1" applyFill="1" applyBorder="1"/>
    <xf numFmtId="0" fontId="19" fillId="12" borderId="26" xfId="16" applyFont="1" applyFill="1" applyBorder="1"/>
    <xf numFmtId="6" fontId="24" fillId="12" borderId="144" xfId="16" applyNumberFormat="1" applyFont="1" applyFill="1" applyBorder="1" applyAlignment="1" applyProtection="1">
      <alignment horizontal="right"/>
    </xf>
    <xf numFmtId="6" fontId="24" fillId="12" borderId="54" xfId="16" applyNumberFormat="1" applyFont="1" applyFill="1" applyBorder="1" applyAlignment="1" applyProtection="1">
      <alignment horizontal="right"/>
    </xf>
    <xf numFmtId="0" fontId="19" fillId="12" borderId="144" xfId="0" applyFont="1" applyFill="1" applyBorder="1"/>
    <xf numFmtId="0" fontId="80" fillId="12" borderId="144" xfId="16" applyFont="1" applyFill="1" applyBorder="1" applyAlignment="1" applyProtection="1">
      <alignment horizontal="right"/>
    </xf>
    <xf numFmtId="0" fontId="80" fillId="12" borderId="54" xfId="16" applyFont="1" applyFill="1" applyBorder="1" applyAlignment="1" applyProtection="1">
      <alignment horizontal="right"/>
    </xf>
    <xf numFmtId="0" fontId="19" fillId="12" borderId="48" xfId="0" applyFont="1" applyFill="1" applyBorder="1"/>
    <xf numFmtId="167" fontId="80" fillId="12" borderId="144" xfId="16" applyNumberFormat="1" applyFont="1" applyFill="1" applyBorder="1" applyAlignment="1" applyProtection="1">
      <alignment horizontal="right"/>
    </xf>
    <xf numFmtId="167" fontId="80" fillId="12" borderId="54" xfId="16" applyNumberFormat="1" applyFont="1" applyFill="1" applyBorder="1" applyAlignment="1" applyProtection="1">
      <alignment horizontal="right"/>
    </xf>
    <xf numFmtId="0" fontId="19" fillId="12" borderId="29" xfId="0" quotePrefix="1" applyFont="1" applyFill="1" applyBorder="1" applyAlignment="1">
      <alignment horizontal="left"/>
    </xf>
    <xf numFmtId="6" fontId="19" fillId="4" borderId="144" xfId="16" applyNumberFormat="1" applyFont="1" applyFill="1" applyBorder="1" applyAlignment="1" applyProtection="1">
      <alignment horizontal="right"/>
      <protection locked="0"/>
    </xf>
    <xf numFmtId="6" fontId="19" fillId="14" borderId="54" xfId="16" applyNumberFormat="1" applyFont="1" applyFill="1" applyBorder="1" applyAlignment="1" applyProtection="1">
      <alignment horizontal="right"/>
      <protection locked="0"/>
    </xf>
    <xf numFmtId="6" fontId="19" fillId="6" borderId="54" xfId="16" applyNumberFormat="1" applyFont="1" applyFill="1" applyBorder="1" applyAlignment="1" applyProtection="1">
      <alignment horizontal="right"/>
      <protection locked="0"/>
    </xf>
    <xf numFmtId="6" fontId="24" fillId="0" borderId="56" xfId="16" applyNumberFormat="1" applyFont="1" applyBorder="1" applyAlignment="1" applyProtection="1">
      <alignment horizontal="right"/>
    </xf>
    <xf numFmtId="6" fontId="24" fillId="14" borderId="54" xfId="16" applyNumberFormat="1" applyFont="1" applyFill="1" applyBorder="1" applyAlignment="1" applyProtection="1">
      <alignment horizontal="right"/>
    </xf>
    <xf numFmtId="10" fontId="71" fillId="14" borderId="56" xfId="0" applyNumberFormat="1" applyFont="1" applyFill="1" applyBorder="1"/>
    <xf numFmtId="6" fontId="80" fillId="0" borderId="144" xfId="16" applyNumberFormat="1" applyFont="1" applyBorder="1" applyAlignment="1" applyProtection="1">
      <alignment horizontal="right"/>
    </xf>
    <xf numFmtId="6" fontId="80" fillId="12" borderId="54" xfId="16" applyNumberFormat="1" applyFont="1" applyFill="1" applyBorder="1" applyAlignment="1" applyProtection="1">
      <alignment horizontal="right"/>
    </xf>
    <xf numFmtId="10" fontId="71" fillId="12" borderId="26" xfId="16" applyNumberFormat="1" applyFont="1" applyFill="1" applyBorder="1" applyProtection="1">
      <protection locked="0"/>
    </xf>
    <xf numFmtId="0" fontId="19" fillId="12" borderId="41" xfId="16" applyFont="1" applyFill="1" applyBorder="1"/>
    <xf numFmtId="6" fontId="19" fillId="0" borderId="56" xfId="16" applyNumberFormat="1" applyFont="1" applyBorder="1" applyAlignment="1" applyProtection="1">
      <alignment horizontal="right"/>
      <protection locked="0"/>
    </xf>
    <xf numFmtId="6" fontId="24" fillId="0" borderId="144" xfId="16" applyNumberFormat="1" applyFont="1" applyBorder="1" applyAlignment="1" applyProtection="1">
      <alignment horizontal="right"/>
      <protection locked="0"/>
    </xf>
    <xf numFmtId="6" fontId="24" fillId="14" borderId="54" xfId="16" applyNumberFormat="1" applyFont="1" applyFill="1" applyBorder="1" applyAlignment="1" applyProtection="1">
      <alignment horizontal="right"/>
      <protection locked="0"/>
    </xf>
    <xf numFmtId="0" fontId="70" fillId="12" borderId="48" xfId="0" applyFont="1" applyFill="1" applyBorder="1"/>
    <xf numFmtId="0" fontId="24" fillId="12" borderId="48" xfId="0" applyFont="1" applyFill="1" applyBorder="1" applyAlignment="1"/>
    <xf numFmtId="0" fontId="19" fillId="12" borderId="48" xfId="0" applyFont="1" applyFill="1" applyBorder="1" applyAlignment="1">
      <alignment horizontal="right"/>
    </xf>
    <xf numFmtId="6" fontId="19" fillId="0" borderId="56" xfId="16" applyNumberFormat="1" applyFont="1" applyBorder="1" applyAlignment="1" applyProtection="1">
      <alignment horizontal="right"/>
    </xf>
    <xf numFmtId="6" fontId="19" fillId="14" borderId="54" xfId="16" applyNumberFormat="1" applyFont="1" applyFill="1" applyBorder="1" applyAlignment="1" applyProtection="1">
      <alignment horizontal="right"/>
    </xf>
    <xf numFmtId="6" fontId="24" fillId="0" borderId="144" xfId="16" applyNumberFormat="1" applyFont="1" applyBorder="1" applyAlignment="1" applyProtection="1">
      <alignment horizontal="right"/>
    </xf>
    <xf numFmtId="10" fontId="71" fillId="14" borderId="144" xfId="0" applyNumberFormat="1" applyFont="1" applyFill="1" applyBorder="1"/>
    <xf numFmtId="0" fontId="71" fillId="12" borderId="48" xfId="0" applyFont="1" applyFill="1" applyBorder="1"/>
    <xf numFmtId="6" fontId="19" fillId="0" borderId="144" xfId="16" applyNumberFormat="1" applyFont="1" applyBorder="1" applyAlignment="1" applyProtection="1">
      <alignment horizontal="right"/>
    </xf>
    <xf numFmtId="6" fontId="19" fillId="0" borderId="124" xfId="16" applyNumberFormat="1" applyFont="1" applyBorder="1" applyAlignment="1" applyProtection="1">
      <alignment horizontal="right"/>
    </xf>
    <xf numFmtId="10" fontId="71" fillId="14" borderId="124" xfId="0" applyNumberFormat="1" applyFont="1" applyFill="1" applyBorder="1"/>
    <xf numFmtId="0" fontId="19" fillId="12" borderId="26" xfId="0" applyFont="1" applyFill="1" applyBorder="1"/>
    <xf numFmtId="0" fontId="19" fillId="0" borderId="0" xfId="0" applyFont="1"/>
    <xf numFmtId="0" fontId="19" fillId="12" borderId="27" xfId="0" applyFont="1" applyFill="1" applyBorder="1"/>
    <xf numFmtId="0" fontId="72" fillId="14" borderId="0" xfId="0" applyFont="1" applyFill="1" applyBorder="1" applyProtection="1"/>
    <xf numFmtId="0" fontId="24" fillId="0" borderId="142" xfId="16" applyFont="1" applyFill="1" applyBorder="1" applyAlignment="1" applyProtection="1">
      <alignment horizontal="center"/>
    </xf>
    <xf numFmtId="0" fontId="24" fillId="12" borderId="54" xfId="16" applyFont="1" applyFill="1" applyBorder="1" applyAlignment="1" applyProtection="1">
      <alignment horizontal="center"/>
    </xf>
    <xf numFmtId="0" fontId="24" fillId="0" borderId="124" xfId="16" applyFont="1" applyFill="1" applyBorder="1" applyAlignment="1" applyProtection="1">
      <alignment horizontal="center"/>
      <protection locked="0"/>
    </xf>
    <xf numFmtId="0" fontId="24" fillId="12" borderId="54" xfId="16" applyFont="1" applyFill="1" applyBorder="1" applyAlignment="1" applyProtection="1">
      <alignment horizontal="center"/>
      <protection locked="0"/>
    </xf>
    <xf numFmtId="6" fontId="80" fillId="0" borderId="142" xfId="16" applyNumberFormat="1" applyFont="1" applyBorder="1" applyAlignment="1" applyProtection="1">
      <alignment horizontal="right"/>
    </xf>
    <xf numFmtId="6" fontId="80" fillId="0" borderId="144" xfId="16" applyNumberFormat="1" applyFont="1" applyBorder="1" applyAlignment="1" applyProtection="1">
      <alignment horizontal="right"/>
      <protection locked="0"/>
    </xf>
    <xf numFmtId="6" fontId="80" fillId="12" borderId="54" xfId="16" applyNumberFormat="1" applyFont="1" applyFill="1" applyBorder="1" applyAlignment="1" applyProtection="1">
      <alignment horizontal="right"/>
      <protection locked="0"/>
    </xf>
    <xf numFmtId="10" fontId="71" fillId="12" borderId="144" xfId="0" applyNumberFormat="1" applyFont="1" applyFill="1" applyBorder="1"/>
    <xf numFmtId="0" fontId="24" fillId="12" borderId="29" xfId="0" applyFont="1" applyFill="1" applyBorder="1"/>
    <xf numFmtId="0" fontId="24" fillId="12" borderId="41" xfId="16" applyFont="1" applyFill="1" applyBorder="1"/>
    <xf numFmtId="6" fontId="24" fillId="3" borderId="11" xfId="16" applyNumberFormat="1" applyFont="1" applyFill="1" applyBorder="1" applyAlignment="1" applyProtection="1">
      <alignment horizontal="right"/>
    </xf>
    <xf numFmtId="6" fontId="24" fillId="0" borderId="144" xfId="16" applyNumberFormat="1" applyFont="1" applyFill="1" applyBorder="1" applyAlignment="1" applyProtection="1">
      <alignment horizontal="right"/>
    </xf>
    <xf numFmtId="6" fontId="24" fillId="12" borderId="41" xfId="16" applyNumberFormat="1" applyFont="1" applyFill="1" applyBorder="1"/>
    <xf numFmtId="6" fontId="19" fillId="0" borderId="144" xfId="16" applyNumberFormat="1" applyFont="1" applyFill="1" applyBorder="1" applyAlignment="1" applyProtection="1">
      <alignment horizontal="right"/>
    </xf>
    <xf numFmtId="6" fontId="19" fillId="12" borderId="54" xfId="16" applyNumberFormat="1" applyFont="1" applyFill="1" applyBorder="1" applyAlignment="1" applyProtection="1">
      <alignment horizontal="right"/>
    </xf>
    <xf numFmtId="0" fontId="24" fillId="12" borderId="48" xfId="0" quotePrefix="1" applyFont="1" applyFill="1" applyBorder="1" applyAlignment="1">
      <alignment horizontal="left"/>
    </xf>
    <xf numFmtId="167" fontId="80" fillId="0" borderId="144" xfId="16" applyNumberFormat="1" applyFont="1" applyBorder="1" applyAlignment="1" applyProtection="1">
      <alignment horizontal="right"/>
    </xf>
    <xf numFmtId="6" fontId="35" fillId="0" borderId="144" xfId="16" applyNumberFormat="1" applyFont="1" applyBorder="1" applyAlignment="1" applyProtection="1">
      <alignment horizontal="right"/>
    </xf>
    <xf numFmtId="6" fontId="35" fillId="12" borderId="54" xfId="16" applyNumberFormat="1" applyFont="1" applyFill="1" applyBorder="1" applyAlignment="1" applyProtection="1">
      <alignment horizontal="right"/>
    </xf>
    <xf numFmtId="6" fontId="35" fillId="7" borderId="144" xfId="16" applyNumberFormat="1" applyFont="1" applyFill="1" applyBorder="1" applyAlignment="1" applyProtection="1">
      <alignment horizontal="right"/>
    </xf>
    <xf numFmtId="9" fontId="81" fillId="12" borderId="0" xfId="16" applyNumberFormat="1" applyFont="1" applyFill="1" applyBorder="1"/>
    <xf numFmtId="10" fontId="71" fillId="12" borderId="26" xfId="16" applyNumberFormat="1" applyFont="1" applyFill="1" applyBorder="1"/>
    <xf numFmtId="9" fontId="35" fillId="0" borderId="0" xfId="0" applyNumberFormat="1" applyFont="1" applyProtection="1">
      <protection locked="0"/>
    </xf>
    <xf numFmtId="0" fontId="19" fillId="12" borderId="48" xfId="0" applyFont="1" applyFill="1" applyBorder="1" applyAlignment="1">
      <alignment horizontal="left"/>
    </xf>
    <xf numFmtId="0" fontId="82" fillId="12" borderId="29" xfId="0" applyFont="1" applyFill="1" applyBorder="1"/>
    <xf numFmtId="4" fontId="19" fillId="0" borderId="124" xfId="16" applyNumberFormat="1" applyFont="1" applyBorder="1" applyAlignment="1" applyProtection="1">
      <alignment horizontal="right"/>
    </xf>
    <xf numFmtId="4" fontId="19" fillId="14" borderId="125" xfId="16" applyNumberFormat="1" applyFont="1" applyFill="1" applyBorder="1" applyAlignment="1" applyProtection="1">
      <alignment horizontal="right"/>
    </xf>
    <xf numFmtId="0" fontId="19" fillId="12" borderId="124" xfId="0" applyFont="1" applyFill="1" applyBorder="1"/>
    <xf numFmtId="0" fontId="19" fillId="12" borderId="10" xfId="0" applyFont="1" applyFill="1" applyBorder="1"/>
    <xf numFmtId="0" fontId="19" fillId="12" borderId="28" xfId="0" applyFont="1" applyFill="1" applyBorder="1"/>
    <xf numFmtId="0" fontId="72" fillId="12" borderId="17" xfId="0" applyFont="1" applyFill="1" applyBorder="1" applyProtection="1"/>
    <xf numFmtId="0" fontId="19" fillId="12" borderId="17" xfId="0" applyFont="1" applyFill="1" applyBorder="1"/>
    <xf numFmtId="0" fontId="19" fillId="12" borderId="24" xfId="0" applyFont="1" applyFill="1" applyBorder="1"/>
    <xf numFmtId="0" fontId="19" fillId="12" borderId="145" xfId="0" applyFont="1" applyFill="1" applyBorder="1"/>
    <xf numFmtId="0" fontId="19" fillId="12" borderId="34" xfId="0" applyFont="1" applyFill="1" applyBorder="1"/>
    <xf numFmtId="0" fontId="19" fillId="12" borderId="146" xfId="0" applyFont="1" applyFill="1" applyBorder="1"/>
    <xf numFmtId="0" fontId="19" fillId="12" borderId="114" xfId="0" applyFont="1" applyFill="1" applyBorder="1"/>
    <xf numFmtId="0" fontId="19" fillId="12" borderId="25" xfId="0" applyFont="1" applyFill="1" applyBorder="1"/>
    <xf numFmtId="0" fontId="83" fillId="15" borderId="28" xfId="14" applyFill="1" applyBorder="1" applyProtection="1">
      <protection locked="0"/>
    </xf>
    <xf numFmtId="0" fontId="0" fillId="15" borderId="28" xfId="0" applyFill="1" applyBorder="1" applyAlignment="1" applyProtection="1">
      <protection locked="0"/>
    </xf>
    <xf numFmtId="0" fontId="21" fillId="6" borderId="28" xfId="0" applyFont="1" applyFill="1" applyBorder="1" applyAlignment="1" applyProtection="1">
      <alignment horizontal="center"/>
      <protection locked="0"/>
    </xf>
    <xf numFmtId="0" fontId="0" fillId="14" borderId="27" xfId="0" applyFill="1" applyBorder="1"/>
    <xf numFmtId="176" fontId="0" fillId="14" borderId="27" xfId="0" applyNumberFormat="1" applyFill="1" applyBorder="1"/>
    <xf numFmtId="177" fontId="0" fillId="14" borderId="27" xfId="0" applyNumberFormat="1" applyFill="1" applyBorder="1"/>
    <xf numFmtId="177" fontId="43" fillId="14" borderId="27" xfId="0" applyNumberFormat="1" applyFont="1" applyFill="1" applyBorder="1" applyAlignment="1">
      <alignment horizontal="right"/>
    </xf>
    <xf numFmtId="168" fontId="43" fillId="14" borderId="27" xfId="0" applyNumberFormat="1" applyFont="1" applyFill="1" applyBorder="1"/>
    <xf numFmtId="0" fontId="0" fillId="14" borderId="27" xfId="0" applyFill="1" applyBorder="1" applyAlignment="1">
      <alignment horizontal="right"/>
    </xf>
    <xf numFmtId="0" fontId="75" fillId="0" borderId="0" xfId="0" applyNumberFormat="1" applyFont="1"/>
    <xf numFmtId="168" fontId="22" fillId="6" borderId="38" xfId="0" applyNumberFormat="1" applyFont="1" applyFill="1" applyBorder="1" applyAlignment="1" applyProtection="1">
      <alignment horizontal="right"/>
      <protection locked="0"/>
    </xf>
    <xf numFmtId="168" fontId="22" fillId="6" borderId="141" xfId="0" applyNumberFormat="1" applyFont="1" applyFill="1" applyBorder="1" applyAlignment="1" applyProtection="1">
      <alignment horizontal="right"/>
      <protection locked="0"/>
    </xf>
    <xf numFmtId="0" fontId="43" fillId="12" borderId="1" xfId="0" applyFont="1" applyFill="1" applyBorder="1"/>
    <xf numFmtId="0" fontId="43" fillId="12" borderId="27" xfId="0" applyFont="1" applyFill="1" applyBorder="1"/>
    <xf numFmtId="0" fontId="43" fillId="12" borderId="27" xfId="0" quotePrefix="1" applyFont="1" applyFill="1" applyBorder="1"/>
    <xf numFmtId="0" fontId="0" fillId="0" borderId="0" xfId="0" applyFill="1"/>
    <xf numFmtId="0" fontId="6" fillId="12" borderId="42" xfId="16" applyFont="1" applyFill="1" applyBorder="1" applyProtection="1">
      <protection locked="0"/>
    </xf>
    <xf numFmtId="0" fontId="6" fillId="6" borderId="37" xfId="0" applyFont="1" applyFill="1" applyBorder="1" applyAlignment="1" applyProtection="1">
      <alignment horizontal="left" wrapText="1"/>
      <protection locked="0"/>
    </xf>
    <xf numFmtId="0" fontId="6" fillId="6" borderId="39" xfId="0" applyFont="1" applyFill="1" applyBorder="1" applyAlignment="1" applyProtection="1">
      <alignment horizontal="left" wrapText="1"/>
      <protection locked="0"/>
    </xf>
    <xf numFmtId="0" fontId="6" fillId="6" borderId="42" xfId="16" applyFont="1" applyFill="1" applyBorder="1" applyProtection="1">
      <protection locked="0"/>
    </xf>
    <xf numFmtId="168" fontId="0" fillId="0" borderId="0" xfId="0" applyNumberFormat="1"/>
    <xf numFmtId="0" fontId="0" fillId="0" borderId="26" xfId="0" applyBorder="1"/>
    <xf numFmtId="168" fontId="0" fillId="0" borderId="27" xfId="0" applyNumberFormat="1" applyBorder="1"/>
    <xf numFmtId="0" fontId="0" fillId="0" borderId="27" xfId="0" applyBorder="1" applyAlignment="1">
      <alignment horizontal="center"/>
    </xf>
    <xf numFmtId="0" fontId="0" fillId="0" borderId="28" xfId="0" applyBorder="1" applyAlignment="1">
      <alignment horizontal="center"/>
    </xf>
    <xf numFmtId="168" fontId="0" fillId="0" borderId="26" xfId="0" applyNumberFormat="1" applyBorder="1"/>
    <xf numFmtId="0" fontId="0" fillId="0" borderId="26" xfId="0" applyBorder="1" applyAlignment="1">
      <alignment wrapText="1"/>
    </xf>
    <xf numFmtId="168" fontId="0" fillId="0" borderId="27" xfId="0" applyNumberFormat="1" applyBorder="1" applyAlignment="1">
      <alignment vertical="center"/>
    </xf>
    <xf numFmtId="0" fontId="19" fillId="18" borderId="0" xfId="0" applyFont="1" applyFill="1" applyProtection="1"/>
    <xf numFmtId="0" fontId="19" fillId="19" borderId="28" xfId="0" applyFont="1" applyFill="1" applyBorder="1" applyAlignment="1" applyProtection="1">
      <alignment horizontal="center"/>
    </xf>
    <xf numFmtId="0" fontId="19" fillId="19" borderId="120" xfId="0" applyFont="1" applyFill="1" applyBorder="1" applyAlignment="1" applyProtection="1">
      <alignment horizontal="center"/>
    </xf>
    <xf numFmtId="0" fontId="19" fillId="20" borderId="60" xfId="0" applyFont="1" applyFill="1" applyBorder="1" applyProtection="1"/>
    <xf numFmtId="0" fontId="19" fillId="20" borderId="192" xfId="0" applyFont="1" applyFill="1" applyBorder="1" applyProtection="1"/>
    <xf numFmtId="0" fontId="19" fillId="20" borderId="193" xfId="0" applyFont="1" applyFill="1" applyBorder="1" applyProtection="1"/>
    <xf numFmtId="0" fontId="19" fillId="20" borderId="61" xfId="0" applyFont="1" applyFill="1" applyBorder="1" applyProtection="1"/>
    <xf numFmtId="0" fontId="19" fillId="20" borderId="191" xfId="0" applyFont="1" applyFill="1" applyBorder="1" applyProtection="1"/>
    <xf numFmtId="0" fontId="19" fillId="20" borderId="194" xfId="0" applyFont="1" applyFill="1" applyBorder="1" applyProtection="1"/>
    <xf numFmtId="0" fontId="19" fillId="20" borderId="62" xfId="0" applyFont="1" applyFill="1" applyBorder="1" applyProtection="1"/>
    <xf numFmtId="3" fontId="19" fillId="14" borderId="134" xfId="0" applyNumberFormat="1" applyFont="1" applyFill="1" applyBorder="1" applyAlignment="1" applyProtection="1">
      <alignment horizontal="center"/>
      <protection hidden="1"/>
    </xf>
    <xf numFmtId="3" fontId="19" fillId="14" borderId="26" xfId="0" applyNumberFormat="1" applyFont="1" applyFill="1" applyBorder="1" applyAlignment="1" applyProtection="1">
      <alignment horizontal="center"/>
      <protection hidden="1"/>
    </xf>
    <xf numFmtId="3" fontId="24" fillId="14" borderId="26" xfId="0" applyNumberFormat="1" applyFont="1" applyFill="1" applyBorder="1" applyAlignment="1" applyProtection="1">
      <alignment horizontal="center"/>
      <protection hidden="1"/>
    </xf>
    <xf numFmtId="168" fontId="73" fillId="14" borderId="27" xfId="0" applyNumberFormat="1" applyFont="1" applyFill="1" applyBorder="1" applyProtection="1">
      <protection hidden="1"/>
    </xf>
    <xf numFmtId="167" fontId="19" fillId="14" borderId="29" xfId="0" applyNumberFormat="1" applyFont="1" applyFill="1" applyBorder="1" applyAlignment="1" applyProtection="1">
      <alignment horizontal="center"/>
      <protection hidden="1"/>
    </xf>
    <xf numFmtId="167" fontId="24" fillId="14" borderId="29" xfId="0" applyNumberFormat="1" applyFont="1" applyFill="1" applyBorder="1" applyAlignment="1" applyProtection="1">
      <alignment horizontal="center"/>
      <protection hidden="1"/>
    </xf>
    <xf numFmtId="3" fontId="19" fillId="14" borderId="29" xfId="0" applyNumberFormat="1" applyFont="1" applyFill="1" applyBorder="1" applyAlignment="1" applyProtection="1">
      <alignment horizontal="center"/>
      <protection hidden="1"/>
    </xf>
    <xf numFmtId="3" fontId="19" fillId="14" borderId="141" xfId="0" applyNumberFormat="1" applyFont="1" applyFill="1" applyBorder="1" applyAlignment="1" applyProtection="1">
      <alignment horizontal="center"/>
      <protection hidden="1"/>
    </xf>
    <xf numFmtId="167" fontId="19" fillId="14" borderId="141" xfId="0" applyNumberFormat="1" applyFont="1" applyFill="1" applyBorder="1" applyAlignment="1" applyProtection="1">
      <alignment horizontal="center"/>
      <protection hidden="1"/>
    </xf>
    <xf numFmtId="174" fontId="19" fillId="14" borderId="29" xfId="0" applyNumberFormat="1" applyFont="1" applyFill="1" applyBorder="1" applyProtection="1">
      <protection hidden="1"/>
    </xf>
    <xf numFmtId="174" fontId="19" fillId="14" borderId="34" xfId="0" applyNumberFormat="1" applyFont="1" applyFill="1" applyBorder="1" applyProtection="1">
      <protection hidden="1"/>
    </xf>
    <xf numFmtId="167" fontId="19" fillId="14" borderId="45" xfId="0" applyNumberFormat="1" applyFont="1" applyFill="1" applyBorder="1" applyProtection="1">
      <protection hidden="1"/>
    </xf>
    <xf numFmtId="167" fontId="19" fillId="14" borderId="33" xfId="0" applyNumberFormat="1" applyFont="1" applyFill="1" applyBorder="1" applyProtection="1">
      <protection hidden="1"/>
    </xf>
    <xf numFmtId="167" fontId="19" fillId="14" borderId="33" xfId="0" applyNumberFormat="1" applyFont="1" applyFill="1" applyBorder="1" applyAlignment="1" applyProtection="1">
      <alignment horizontal="center"/>
      <protection hidden="1"/>
    </xf>
    <xf numFmtId="0" fontId="19" fillId="14" borderId="29" xfId="0" applyFont="1" applyFill="1" applyBorder="1" applyAlignment="1" applyProtection="1">
      <alignment horizontal="center"/>
      <protection hidden="1"/>
    </xf>
    <xf numFmtId="167" fontId="19" fillId="14" borderId="29" xfId="0" applyNumberFormat="1" applyFont="1" applyFill="1" applyBorder="1" applyProtection="1">
      <protection hidden="1"/>
    </xf>
    <xf numFmtId="167" fontId="19" fillId="14" borderId="34" xfId="0" applyNumberFormat="1" applyFont="1" applyFill="1" applyBorder="1" applyProtection="1">
      <protection hidden="1"/>
    </xf>
    <xf numFmtId="0" fontId="19" fillId="12" borderId="61" xfId="0" applyFont="1" applyFill="1" applyBorder="1" applyProtection="1">
      <protection hidden="1"/>
    </xf>
    <xf numFmtId="0" fontId="19" fillId="12" borderId="61" xfId="0" applyFont="1" applyFill="1" applyBorder="1" applyAlignment="1" applyProtection="1">
      <alignment wrapText="1"/>
      <protection hidden="1"/>
    </xf>
    <xf numFmtId="0" fontId="19" fillId="12" borderId="61" xfId="0" applyFont="1" applyFill="1" applyBorder="1" applyAlignment="1" applyProtection="1">
      <alignment wrapText="1"/>
    </xf>
    <xf numFmtId="0" fontId="6" fillId="12" borderId="111" xfId="16" applyFont="1" applyFill="1" applyBorder="1" applyAlignment="1" applyProtection="1">
      <alignment horizontal="left"/>
    </xf>
    <xf numFmtId="164" fontId="25" fillId="0" borderId="0" xfId="0" applyNumberFormat="1" applyFont="1" applyAlignment="1" applyProtection="1">
      <alignment horizontal="left"/>
    </xf>
    <xf numFmtId="164" fontId="22" fillId="12" borderId="64" xfId="0" applyNumberFormat="1" applyFont="1" applyFill="1" applyBorder="1" applyAlignment="1" applyProtection="1">
      <alignment horizontal="left"/>
    </xf>
    <xf numFmtId="0" fontId="9" fillId="12" borderId="111" xfId="16" applyFont="1" applyFill="1" applyBorder="1" applyAlignment="1">
      <alignment horizontal="left"/>
    </xf>
    <xf numFmtId="0" fontId="9" fillId="12" borderId="111" xfId="0" applyFont="1" applyFill="1" applyBorder="1" applyAlignment="1">
      <alignment horizontal="left"/>
    </xf>
    <xf numFmtId="0" fontId="0" fillId="12" borderId="0" xfId="0" applyFill="1" applyAlignment="1">
      <alignment horizontal="left"/>
    </xf>
    <xf numFmtId="164" fontId="22" fillId="0" borderId="0" xfId="0" applyNumberFormat="1" applyFont="1" applyAlignment="1">
      <alignment horizontal="left"/>
    </xf>
    <xf numFmtId="167" fontId="13" fillId="14" borderId="124" xfId="16" applyNumberFormat="1" applyFont="1" applyFill="1" applyBorder="1" applyAlignment="1" applyProtection="1">
      <alignment horizontal="center"/>
      <protection hidden="1"/>
    </xf>
    <xf numFmtId="167" fontId="9" fillId="14" borderId="125" xfId="0" applyNumberFormat="1" applyFont="1" applyFill="1" applyBorder="1" applyAlignment="1" applyProtection="1">
      <alignment horizontal="center"/>
      <protection hidden="1"/>
    </xf>
    <xf numFmtId="167" fontId="8" fillId="14" borderId="126" xfId="0" applyNumberFormat="1" applyFont="1" applyFill="1" applyBorder="1" applyAlignment="1" applyProtection="1">
      <alignment horizontal="left"/>
      <protection hidden="1"/>
    </xf>
    <xf numFmtId="167" fontId="9" fillId="14" borderId="94" xfId="0" applyNumberFormat="1" applyFont="1" applyFill="1" applyBorder="1" applyAlignment="1" applyProtection="1">
      <alignment horizontal="left"/>
      <protection hidden="1"/>
    </xf>
    <xf numFmtId="0" fontId="86" fillId="12" borderId="195" xfId="0" applyFont="1" applyFill="1" applyBorder="1"/>
    <xf numFmtId="0" fontId="0" fillId="12" borderId="195" xfId="0" applyFill="1" applyBorder="1"/>
    <xf numFmtId="0" fontId="50" fillId="12" borderId="195" xfId="0" applyFont="1" applyFill="1" applyBorder="1"/>
    <xf numFmtId="0" fontId="43" fillId="12" borderId="195" xfId="0" applyFont="1" applyFill="1" applyBorder="1"/>
    <xf numFmtId="0" fontId="43" fillId="21" borderId="195" xfId="0" applyFont="1" applyFill="1" applyBorder="1" applyProtection="1">
      <protection locked="0"/>
    </xf>
    <xf numFmtId="0" fontId="43" fillId="21" borderId="199" xfId="0" applyFont="1" applyFill="1" applyBorder="1" applyProtection="1">
      <protection locked="0"/>
    </xf>
    <xf numFmtId="0" fontId="0" fillId="12" borderId="198" xfId="0" applyFill="1" applyBorder="1"/>
    <xf numFmtId="0" fontId="43" fillId="0" borderId="0" xfId="0" applyFont="1" applyProtection="1">
      <protection hidden="1"/>
    </xf>
    <xf numFmtId="0" fontId="0" fillId="0" borderId="0" xfId="0" applyProtection="1">
      <protection hidden="1"/>
    </xf>
    <xf numFmtId="0" fontId="0" fillId="12" borderId="197" xfId="0" applyFill="1" applyBorder="1"/>
    <xf numFmtId="0" fontId="43" fillId="12" borderId="195" xfId="0" applyFont="1" applyFill="1" applyBorder="1" applyProtection="1"/>
    <xf numFmtId="0" fontId="0" fillId="21" borderId="197" xfId="0" applyFill="1" applyBorder="1" applyProtection="1">
      <protection locked="0"/>
    </xf>
    <xf numFmtId="0" fontId="0" fillId="21" borderId="195" xfId="0" applyFill="1" applyBorder="1" applyProtection="1">
      <protection locked="0"/>
    </xf>
    <xf numFmtId="0" fontId="89" fillId="0" borderId="0" xfId="0" applyFont="1"/>
    <xf numFmtId="0" fontId="89" fillId="19" borderId="130" xfId="0" applyFont="1" applyFill="1" applyBorder="1" applyAlignment="1">
      <alignment horizontal="center" vertical="center" wrapText="1"/>
    </xf>
    <xf numFmtId="0" fontId="89" fillId="19" borderId="195" xfId="0" applyFont="1" applyFill="1" applyBorder="1" applyAlignment="1">
      <alignment horizontal="center" vertical="center" wrapText="1"/>
    </xf>
    <xf numFmtId="0" fontId="89" fillId="19" borderId="195" xfId="0" applyFont="1" applyFill="1" applyBorder="1" applyAlignment="1">
      <alignment horizontal="center" vertical="center"/>
    </xf>
    <xf numFmtId="0" fontId="89" fillId="19" borderId="150" xfId="0" applyFont="1" applyFill="1" applyBorder="1" applyAlignment="1">
      <alignment horizontal="center" vertical="center" wrapText="1"/>
    </xf>
    <xf numFmtId="0" fontId="89" fillId="23" borderId="130" xfId="0" applyFont="1" applyFill="1" applyBorder="1" applyAlignment="1" applyProtection="1">
      <alignment wrapText="1"/>
      <protection locked="0"/>
    </xf>
    <xf numFmtId="0" fontId="89" fillId="23" borderId="195" xfId="0" applyFont="1" applyFill="1" applyBorder="1" applyAlignment="1" applyProtection="1">
      <alignment wrapText="1"/>
      <protection locked="0"/>
    </xf>
    <xf numFmtId="0" fontId="89" fillId="23" borderId="195" xfId="0" applyFont="1" applyFill="1" applyBorder="1" applyProtection="1">
      <protection locked="0"/>
    </xf>
    <xf numFmtId="0" fontId="89" fillId="23" borderId="150" xfId="0" applyFont="1" applyFill="1" applyBorder="1" applyAlignment="1" applyProtection="1">
      <alignment wrapText="1"/>
      <protection locked="0"/>
    </xf>
    <xf numFmtId="0" fontId="89" fillId="23" borderId="131" xfId="0" applyFont="1" applyFill="1" applyBorder="1" applyAlignment="1" applyProtection="1">
      <alignment wrapText="1"/>
      <protection locked="0"/>
    </xf>
    <xf numFmtId="0" fontId="89" fillId="23" borderId="58" xfId="0" applyFont="1" applyFill="1" applyBorder="1" applyAlignment="1" applyProtection="1">
      <alignment wrapText="1"/>
      <protection locked="0"/>
    </xf>
    <xf numFmtId="0" fontId="89" fillId="23" borderId="58" xfId="0" applyFont="1" applyFill="1" applyBorder="1" applyProtection="1">
      <protection locked="0"/>
    </xf>
    <xf numFmtId="0" fontId="89" fillId="23" borderId="202" xfId="0" applyFont="1" applyFill="1" applyBorder="1" applyAlignment="1" applyProtection="1">
      <alignment wrapText="1"/>
      <protection locked="0"/>
    </xf>
    <xf numFmtId="0" fontId="89" fillId="0" borderId="0" xfId="0" applyFont="1" applyAlignment="1">
      <alignment wrapText="1"/>
    </xf>
    <xf numFmtId="167" fontId="73" fillId="0" borderId="0" xfId="0" applyNumberFormat="1" applyFont="1"/>
    <xf numFmtId="168" fontId="90" fillId="0" borderId="0" xfId="0" applyNumberFormat="1" applyFont="1"/>
    <xf numFmtId="0" fontId="0" fillId="0" borderId="195" xfId="0" applyBorder="1"/>
    <xf numFmtId="0" fontId="84" fillId="17" borderId="195" xfId="9" applyFont="1" applyFill="1" applyBorder="1" applyAlignment="1" applyProtection="1">
      <alignment horizontal="center" vertical="center" wrapText="1"/>
    </xf>
    <xf numFmtId="168" fontId="0" fillId="0" borderId="195" xfId="0" applyNumberFormat="1" applyBorder="1"/>
    <xf numFmtId="0" fontId="0" fillId="0" borderId="195" xfId="0" applyBorder="1" applyAlignment="1">
      <alignment horizontal="center"/>
    </xf>
    <xf numFmtId="0" fontId="85" fillId="0" borderId="195" xfId="0" applyFont="1" applyBorder="1"/>
    <xf numFmtId="0" fontId="85" fillId="0" borderId="195" xfId="0" applyFont="1" applyFill="1" applyBorder="1"/>
    <xf numFmtId="0" fontId="0" fillId="0" borderId="195" xfId="0" applyFill="1" applyBorder="1"/>
    <xf numFmtId="168" fontId="22" fillId="6" borderId="203" xfId="0" applyNumberFormat="1" applyFont="1" applyFill="1" applyBorder="1" applyAlignment="1" applyProtection="1">
      <alignment horizontal="center"/>
      <protection locked="0"/>
    </xf>
    <xf numFmtId="5" fontId="6" fillId="14" borderId="29" xfId="16" applyNumberFormat="1" applyFont="1" applyFill="1" applyBorder="1" applyAlignment="1" applyProtection="1">
      <alignment horizontal="left"/>
    </xf>
    <xf numFmtId="0" fontId="9" fillId="0" borderId="0" xfId="0" applyFont="1" applyAlignment="1">
      <alignment wrapText="1"/>
    </xf>
    <xf numFmtId="0" fontId="9" fillId="0" borderId="0" xfId="0" applyFont="1" applyAlignment="1" applyProtection="1">
      <alignment wrapText="1"/>
    </xf>
    <xf numFmtId="175" fontId="37" fillId="12" borderId="64" xfId="0" applyNumberFormat="1" applyFont="1" applyFill="1" applyBorder="1" applyAlignment="1" applyProtection="1"/>
    <xf numFmtId="175" fontId="37" fillId="12" borderId="0" xfId="0" applyNumberFormat="1" applyFont="1" applyFill="1" applyBorder="1" applyAlignment="1" applyProtection="1"/>
    <xf numFmtId="6" fontId="9" fillId="0" borderId="0" xfId="0" applyNumberFormat="1" applyFont="1" applyProtection="1"/>
    <xf numFmtId="5" fontId="19" fillId="14" borderId="54" xfId="16" applyNumberFormat="1" applyFont="1" applyFill="1" applyBorder="1" applyAlignment="1" applyProtection="1">
      <alignment horizontal="right"/>
      <protection locked="0"/>
    </xf>
    <xf numFmtId="0" fontId="1" fillId="21" borderId="195" xfId="0" applyFont="1" applyFill="1" applyBorder="1" applyProtection="1">
      <protection locked="0"/>
    </xf>
    <xf numFmtId="0" fontId="0" fillId="0" borderId="27" xfId="0" applyBorder="1" applyAlignment="1">
      <alignment horizontal="center"/>
    </xf>
    <xf numFmtId="0" fontId="0" fillId="0" borderId="28" xfId="0" applyBorder="1" applyAlignment="1">
      <alignment horizontal="center"/>
    </xf>
    <xf numFmtId="0" fontId="1" fillId="0" borderId="0" xfId="0" applyFont="1"/>
    <xf numFmtId="0" fontId="5" fillId="0" borderId="195" xfId="0" applyFont="1" applyBorder="1"/>
    <xf numFmtId="0" fontId="19" fillId="0" borderId="195" xfId="0" applyFont="1" applyBorder="1" applyProtection="1"/>
    <xf numFmtId="0" fontId="5" fillId="0" borderId="195" xfId="0" applyFont="1" applyBorder="1" applyAlignment="1">
      <alignment wrapText="1"/>
    </xf>
    <xf numFmtId="0" fontId="19" fillId="0" borderId="195" xfId="0" applyFont="1" applyBorder="1" applyAlignment="1" applyProtection="1">
      <alignment wrapText="1"/>
    </xf>
    <xf numFmtId="0" fontId="1" fillId="0" borderId="195" xfId="0" applyFont="1" applyBorder="1"/>
    <xf numFmtId="0" fontId="19" fillId="0" borderId="195" xfId="0" applyFont="1" applyBorder="1" applyAlignment="1" applyProtection="1">
      <alignment horizontal="center" wrapText="1"/>
    </xf>
    <xf numFmtId="0" fontId="5" fillId="0" borderId="195" xfId="0" applyFont="1" applyBorder="1" applyAlignment="1">
      <alignment horizontal="center" wrapText="1"/>
    </xf>
    <xf numFmtId="0" fontId="0" fillId="0" borderId="0" xfId="0" applyBorder="1"/>
    <xf numFmtId="0" fontId="0" fillId="0" borderId="26" xfId="0" applyBorder="1" applyAlignment="1">
      <alignment horizontal="center" wrapText="1"/>
    </xf>
    <xf numFmtId="168" fontId="0" fillId="0" borderId="0" xfId="0" applyNumberFormat="1" applyBorder="1"/>
    <xf numFmtId="0" fontId="0" fillId="0" borderId="0" xfId="0" applyBorder="1" applyAlignment="1">
      <alignment horizontal="center"/>
    </xf>
    <xf numFmtId="0" fontId="0" fillId="0" borderId="0" xfId="0" applyBorder="1" applyAlignment="1">
      <alignment wrapText="1"/>
    </xf>
    <xf numFmtId="0" fontId="1" fillId="0" borderId="0" xfId="0" applyFont="1" applyAlignment="1">
      <alignment vertical="center"/>
    </xf>
    <xf numFmtId="0" fontId="1" fillId="0" borderId="0" xfId="0" applyFont="1" applyBorder="1"/>
    <xf numFmtId="0" fontId="91" fillId="12" borderId="0" xfId="0" applyFont="1" applyFill="1" applyBorder="1" applyAlignment="1" applyProtection="1">
      <alignment vertical="center"/>
    </xf>
    <xf numFmtId="0" fontId="73" fillId="0" borderId="0" xfId="0" applyNumberFormat="1" applyFont="1" applyAlignment="1">
      <alignment horizontal="center" vertical="center" wrapText="1"/>
    </xf>
    <xf numFmtId="0" fontId="0" fillId="0" borderId="0" xfId="0" applyNumberFormat="1"/>
    <xf numFmtId="0" fontId="0" fillId="24" borderId="0" xfId="0" applyNumberFormat="1" applyFill="1"/>
    <xf numFmtId="0" fontId="13" fillId="14" borderId="29" xfId="0" applyFont="1" applyFill="1" applyBorder="1" applyAlignment="1" applyProtection="1">
      <alignment horizontal="left"/>
      <protection hidden="1"/>
    </xf>
    <xf numFmtId="0" fontId="41" fillId="12" borderId="199" xfId="0" applyFont="1" applyFill="1" applyBorder="1" applyAlignment="1" applyProtection="1">
      <alignment horizontal="center" vertical="center" wrapText="1"/>
    </xf>
    <xf numFmtId="0" fontId="41" fillId="12" borderId="206" xfId="0" applyFont="1" applyFill="1" applyBorder="1" applyAlignment="1" applyProtection="1">
      <alignment horizontal="center" vertical="center" wrapText="1"/>
    </xf>
    <xf numFmtId="0" fontId="41" fillId="12" borderId="207" xfId="0" applyFont="1" applyFill="1" applyBorder="1" applyAlignment="1" applyProtection="1">
      <alignment horizontal="center" vertical="center" wrapText="1"/>
    </xf>
    <xf numFmtId="0" fontId="41" fillId="12" borderId="147" xfId="0" applyFont="1" applyFill="1" applyBorder="1" applyAlignment="1" applyProtection="1">
      <alignment horizontal="center" vertical="center" wrapText="1"/>
    </xf>
    <xf numFmtId="0" fontId="41" fillId="12" borderId="148" xfId="0" applyFont="1" applyFill="1" applyBorder="1" applyAlignment="1" applyProtection="1">
      <alignment horizontal="center" vertical="center" wrapText="1"/>
    </xf>
    <xf numFmtId="0" fontId="41" fillId="12" borderId="149" xfId="0" applyFont="1" applyFill="1" applyBorder="1" applyAlignment="1" applyProtection="1">
      <alignment horizontal="center" vertical="center" wrapText="1"/>
    </xf>
    <xf numFmtId="0" fontId="19" fillId="7" borderId="26" xfId="0" applyFont="1" applyFill="1" applyBorder="1" applyAlignment="1" applyProtection="1">
      <alignment horizontal="left"/>
    </xf>
    <xf numFmtId="0" fontId="19" fillId="7" borderId="27" xfId="0" applyFont="1" applyFill="1" applyBorder="1" applyAlignment="1" applyProtection="1">
      <alignment horizontal="left"/>
    </xf>
    <xf numFmtId="0" fontId="19" fillId="7" borderId="28" xfId="0" applyFont="1" applyFill="1" applyBorder="1" applyAlignment="1" applyProtection="1">
      <alignment horizontal="left"/>
    </xf>
    <xf numFmtId="0" fontId="19" fillId="6" borderId="26" xfId="0" applyFont="1" applyFill="1" applyBorder="1" applyAlignment="1" applyProtection="1">
      <alignment horizontal="left"/>
      <protection locked="0"/>
    </xf>
    <xf numFmtId="0" fontId="19" fillId="6" borderId="27" xfId="0" applyFont="1" applyFill="1" applyBorder="1" applyAlignment="1" applyProtection="1">
      <alignment horizontal="left"/>
      <protection locked="0"/>
    </xf>
    <xf numFmtId="0" fontId="19" fillId="6" borderId="28" xfId="0" applyFont="1" applyFill="1" applyBorder="1" applyAlignment="1" applyProtection="1">
      <alignment horizontal="left"/>
      <protection locked="0"/>
    </xf>
    <xf numFmtId="0" fontId="24" fillId="14" borderId="26" xfId="0" applyFont="1" applyFill="1" applyBorder="1" applyAlignment="1" applyProtection="1">
      <alignment horizontal="left"/>
    </xf>
    <xf numFmtId="0" fontId="24" fillId="14" borderId="27" xfId="0" applyFont="1" applyFill="1" applyBorder="1" applyAlignment="1" applyProtection="1">
      <alignment horizontal="left"/>
    </xf>
    <xf numFmtId="0" fontId="24" fillId="14" borderId="28" xfId="0" applyFont="1" applyFill="1" applyBorder="1" applyAlignment="1" applyProtection="1">
      <alignment horizontal="left"/>
    </xf>
    <xf numFmtId="0" fontId="24" fillId="7" borderId="26" xfId="0" applyFont="1" applyFill="1" applyBorder="1" applyAlignment="1" applyProtection="1">
      <alignment horizontal="left"/>
    </xf>
    <xf numFmtId="0" fontId="24" fillId="7" borderId="27" xfId="0" applyFont="1" applyFill="1" applyBorder="1" applyAlignment="1" applyProtection="1">
      <alignment horizontal="left"/>
    </xf>
    <xf numFmtId="0" fontId="24" fillId="7" borderId="28" xfId="0" applyFont="1" applyFill="1" applyBorder="1" applyAlignment="1" applyProtection="1">
      <alignment horizontal="left"/>
    </xf>
    <xf numFmtId="0" fontId="19" fillId="7" borderId="0" xfId="0" applyFont="1" applyFill="1" applyAlignment="1" applyProtection="1">
      <alignment horizontal="center"/>
    </xf>
    <xf numFmtId="0" fontId="77" fillId="6" borderId="146" xfId="0" applyFont="1" applyFill="1" applyBorder="1" applyAlignment="1" applyProtection="1">
      <alignment horizontal="center"/>
      <protection locked="0"/>
    </xf>
    <xf numFmtId="0" fontId="77" fillId="6" borderId="113" xfId="0" applyFont="1" applyFill="1" applyBorder="1" applyAlignment="1" applyProtection="1">
      <alignment horizontal="center"/>
      <protection locked="0"/>
    </xf>
    <xf numFmtId="0" fontId="77" fillId="6" borderId="145" xfId="0" applyFont="1" applyFill="1" applyBorder="1" applyAlignment="1" applyProtection="1">
      <alignment horizontal="center"/>
      <protection locked="0"/>
    </xf>
    <xf numFmtId="0" fontId="24" fillId="6" borderId="26" xfId="0" applyFont="1" applyFill="1" applyBorder="1" applyAlignment="1" applyProtection="1">
      <alignment horizontal="left"/>
      <protection locked="0"/>
    </xf>
    <xf numFmtId="0" fontId="24" fillId="6" borderId="27" xfId="0" applyFont="1" applyFill="1" applyBorder="1" applyAlignment="1" applyProtection="1">
      <alignment horizontal="left"/>
      <protection locked="0"/>
    </xf>
    <xf numFmtId="0" fontId="24" fillId="6" borderId="28" xfId="0" applyFont="1" applyFill="1" applyBorder="1" applyAlignment="1" applyProtection="1">
      <alignment horizontal="left"/>
      <protection locked="0"/>
    </xf>
    <xf numFmtId="0" fontId="19" fillId="6" borderId="26" xfId="0" applyFont="1" applyFill="1" applyBorder="1" applyAlignment="1" applyProtection="1">
      <alignment horizontal="right"/>
      <protection locked="0"/>
    </xf>
    <xf numFmtId="0" fontId="19" fillId="6" borderId="27" xfId="0" applyFont="1" applyFill="1" applyBorder="1" applyAlignment="1" applyProtection="1">
      <alignment horizontal="right"/>
      <protection locked="0"/>
    </xf>
    <xf numFmtId="0" fontId="19" fillId="6" borderId="28" xfId="0" applyFont="1" applyFill="1" applyBorder="1" applyAlignment="1" applyProtection="1">
      <alignment horizontal="right"/>
      <protection locked="0"/>
    </xf>
    <xf numFmtId="166" fontId="19" fillId="6" borderId="26" xfId="0" applyNumberFormat="1" applyFont="1" applyFill="1" applyBorder="1" applyAlignment="1" applyProtection="1">
      <alignment horizontal="left" shrinkToFit="1"/>
      <protection locked="0"/>
    </xf>
    <xf numFmtId="166" fontId="19" fillId="6" borderId="27" xfId="0" applyNumberFormat="1" applyFont="1" applyFill="1" applyBorder="1" applyAlignment="1" applyProtection="1">
      <alignment horizontal="left" shrinkToFit="1"/>
      <protection locked="0"/>
    </xf>
    <xf numFmtId="166" fontId="19" fillId="6" borderId="28" xfId="0" applyNumberFormat="1" applyFont="1" applyFill="1" applyBorder="1" applyAlignment="1" applyProtection="1">
      <alignment horizontal="left" shrinkToFit="1"/>
      <protection locked="0"/>
    </xf>
    <xf numFmtId="0" fontId="19" fillId="6" borderId="134" xfId="0" applyFont="1" applyFill="1" applyBorder="1" applyAlignment="1" applyProtection="1">
      <alignment horizontal="left"/>
      <protection locked="0"/>
    </xf>
    <xf numFmtId="0" fontId="19" fillId="6" borderId="120" xfId="0" applyFont="1" applyFill="1" applyBorder="1" applyAlignment="1" applyProtection="1">
      <alignment horizontal="left"/>
      <protection locked="0"/>
    </xf>
    <xf numFmtId="0" fontId="19" fillId="6" borderId="133" xfId="0" applyFont="1" applyFill="1" applyBorder="1" applyAlignment="1" applyProtection="1">
      <alignment horizontal="left"/>
      <protection locked="0"/>
    </xf>
    <xf numFmtId="0" fontId="19" fillId="6" borderId="199" xfId="0" applyFont="1" applyFill="1" applyBorder="1" applyAlignment="1" applyProtection="1">
      <alignment horizontal="left"/>
      <protection locked="0"/>
    </xf>
    <xf numFmtId="0" fontId="19" fillId="6" borderId="206" xfId="0" applyFont="1" applyFill="1" applyBorder="1" applyAlignment="1" applyProtection="1">
      <alignment horizontal="left"/>
      <protection locked="0"/>
    </xf>
    <xf numFmtId="0" fontId="19" fillId="6" borderId="207" xfId="0" applyFont="1" applyFill="1" applyBorder="1" applyAlignment="1" applyProtection="1">
      <alignment horizontal="left"/>
      <protection locked="0"/>
    </xf>
    <xf numFmtId="0" fontId="76" fillId="6" borderId="26" xfId="9" applyFont="1" applyFill="1" applyBorder="1" applyAlignment="1" applyProtection="1">
      <alignment horizontal="left"/>
      <protection locked="0"/>
    </xf>
    <xf numFmtId="0" fontId="19" fillId="6" borderId="26" xfId="0" applyFont="1" applyFill="1" applyBorder="1" applyAlignment="1" applyProtection="1">
      <alignment horizontal="center"/>
      <protection locked="0"/>
    </xf>
    <xf numFmtId="0" fontId="19" fillId="6" borderId="27" xfId="0" applyFont="1" applyFill="1" applyBorder="1" applyAlignment="1" applyProtection="1">
      <alignment horizontal="center"/>
      <protection locked="0"/>
    </xf>
    <xf numFmtId="0" fontId="19" fillId="6" borderId="28" xfId="0" applyFont="1" applyFill="1" applyBorder="1" applyAlignment="1" applyProtection="1">
      <alignment horizontal="center"/>
      <protection locked="0"/>
    </xf>
    <xf numFmtId="167" fontId="24" fillId="6" borderId="134" xfId="0" applyNumberFormat="1" applyFont="1" applyFill="1" applyBorder="1" applyAlignment="1" applyProtection="1">
      <alignment horizontal="right"/>
      <protection locked="0"/>
    </xf>
    <xf numFmtId="167" fontId="24" fillId="6" borderId="120" xfId="0" applyNumberFormat="1" applyFont="1" applyFill="1" applyBorder="1" applyAlignment="1" applyProtection="1">
      <alignment horizontal="right"/>
      <protection locked="0"/>
    </xf>
    <xf numFmtId="167" fontId="24" fillId="6" borderId="133" xfId="0" applyNumberFormat="1" applyFont="1" applyFill="1" applyBorder="1" applyAlignment="1" applyProtection="1">
      <alignment horizontal="right"/>
      <protection locked="0"/>
    </xf>
    <xf numFmtId="0" fontId="77" fillId="6" borderId="26" xfId="0" applyFont="1" applyFill="1" applyBorder="1" applyAlignment="1" applyProtection="1">
      <alignment horizontal="center"/>
      <protection locked="0"/>
    </xf>
    <xf numFmtId="0" fontId="77" fillId="6" borderId="27" xfId="0" applyFont="1" applyFill="1" applyBorder="1" applyAlignment="1" applyProtection="1">
      <alignment horizontal="center"/>
      <protection locked="0"/>
    </xf>
    <xf numFmtId="0" fontId="77" fillId="6" borderId="28" xfId="0" applyFont="1" applyFill="1" applyBorder="1" applyAlignment="1" applyProtection="1">
      <alignment horizontal="center"/>
      <protection locked="0"/>
    </xf>
    <xf numFmtId="0" fontId="73" fillId="7" borderId="27" xfId="0" applyFont="1" applyFill="1" applyBorder="1" applyAlignment="1">
      <alignment horizontal="left"/>
    </xf>
    <xf numFmtId="0" fontId="73" fillId="7" borderId="28" xfId="0" applyFont="1" applyFill="1" applyBorder="1" applyAlignment="1">
      <alignment horizontal="left"/>
    </xf>
    <xf numFmtId="14" fontId="19" fillId="6" borderId="26" xfId="0" applyNumberFormat="1" applyFont="1" applyFill="1" applyBorder="1" applyAlignment="1" applyProtection="1">
      <alignment horizontal="left"/>
      <protection locked="0"/>
    </xf>
    <xf numFmtId="14" fontId="19" fillId="6" borderId="27" xfId="0" applyNumberFormat="1" applyFont="1" applyFill="1" applyBorder="1" applyAlignment="1" applyProtection="1">
      <alignment horizontal="left"/>
      <protection locked="0"/>
    </xf>
    <xf numFmtId="14" fontId="19" fillId="6" borderId="28" xfId="0" applyNumberFormat="1" applyFont="1" applyFill="1" applyBorder="1" applyAlignment="1" applyProtection="1">
      <alignment horizontal="left"/>
      <protection locked="0"/>
    </xf>
    <xf numFmtId="0" fontId="19" fillId="7" borderId="146" xfId="0" applyFont="1" applyFill="1" applyBorder="1" applyAlignment="1" applyProtection="1">
      <alignment horizontal="left"/>
    </xf>
    <xf numFmtId="0" fontId="73" fillId="7" borderId="113" xfId="0" applyFont="1" applyFill="1" applyBorder="1" applyAlignment="1">
      <alignment horizontal="left"/>
    </xf>
    <xf numFmtId="0" fontId="73" fillId="7" borderId="145" xfId="0" applyFont="1" applyFill="1" applyBorder="1" applyAlignment="1">
      <alignment horizontal="left"/>
    </xf>
    <xf numFmtId="0" fontId="73" fillId="7" borderId="0" xfId="0" applyNumberFormat="1" applyFont="1" applyFill="1" applyAlignment="1">
      <alignment horizontal="center"/>
    </xf>
    <xf numFmtId="0" fontId="19" fillId="7" borderId="50" xfId="0" applyFont="1" applyFill="1" applyBorder="1" applyAlignment="1" applyProtection="1">
      <alignment horizontal="left"/>
    </xf>
    <xf numFmtId="0" fontId="19" fillId="7" borderId="1" xfId="0" applyFont="1" applyFill="1" applyBorder="1" applyAlignment="1" applyProtection="1">
      <alignment horizontal="left"/>
    </xf>
    <xf numFmtId="0" fontId="19" fillId="7" borderId="75" xfId="0" applyFont="1" applyFill="1" applyBorder="1" applyAlignment="1" applyProtection="1">
      <alignment horizontal="left"/>
    </xf>
    <xf numFmtId="0" fontId="19" fillId="6" borderId="50" xfId="0" applyFont="1" applyFill="1" applyBorder="1" applyAlignment="1" applyProtection="1">
      <alignment horizontal="left"/>
      <protection locked="0"/>
    </xf>
    <xf numFmtId="0" fontId="19" fillId="6" borderId="1" xfId="0" applyFont="1" applyFill="1" applyBorder="1" applyAlignment="1" applyProtection="1">
      <alignment horizontal="left"/>
      <protection locked="0"/>
    </xf>
    <xf numFmtId="0" fontId="19" fillId="6" borderId="75" xfId="0" applyFont="1" applyFill="1" applyBorder="1" applyAlignment="1" applyProtection="1">
      <alignment horizontal="left"/>
      <protection locked="0"/>
    </xf>
    <xf numFmtId="0" fontId="19" fillId="12" borderId="60" xfId="0" applyFont="1" applyFill="1" applyBorder="1" applyAlignment="1" applyProtection="1">
      <alignment horizontal="left"/>
    </xf>
    <xf numFmtId="0" fontId="19" fillId="12" borderId="0" xfId="0" applyFont="1" applyFill="1" applyBorder="1" applyAlignment="1" applyProtection="1">
      <alignment horizontal="left"/>
    </xf>
    <xf numFmtId="0" fontId="19" fillId="0" borderId="0" xfId="0" applyFont="1" applyAlignment="1" applyProtection="1">
      <alignment horizontal="center"/>
    </xf>
    <xf numFmtId="0" fontId="0" fillId="0" borderId="27" xfId="0" applyBorder="1" applyAlignment="1">
      <alignment horizontal="center"/>
    </xf>
    <xf numFmtId="0" fontId="0" fillId="0" borderId="28" xfId="0" applyBorder="1" applyAlignment="1">
      <alignment horizontal="center"/>
    </xf>
    <xf numFmtId="168" fontId="19" fillId="14" borderId="50" xfId="0" applyNumberFormat="1" applyFont="1" applyFill="1" applyBorder="1" applyAlignment="1" applyProtection="1">
      <alignment horizontal="center"/>
      <protection hidden="1"/>
    </xf>
    <xf numFmtId="0" fontId="19" fillId="14" borderId="1" xfId="0" applyFont="1" applyFill="1" applyBorder="1" applyAlignment="1" applyProtection="1">
      <alignment horizontal="center"/>
      <protection hidden="1"/>
    </xf>
    <xf numFmtId="168" fontId="19" fillId="14" borderId="26" xfId="0" applyNumberFormat="1" applyFont="1" applyFill="1" applyBorder="1" applyAlignment="1" applyProtection="1">
      <alignment horizontal="center"/>
      <protection hidden="1"/>
    </xf>
    <xf numFmtId="0" fontId="19" fillId="14" borderId="27" xfId="0" applyFont="1" applyFill="1" applyBorder="1" applyAlignment="1" applyProtection="1">
      <alignment horizontal="center"/>
      <protection hidden="1"/>
    </xf>
    <xf numFmtId="0" fontId="24" fillId="3" borderId="19" xfId="0" applyFont="1" applyFill="1" applyBorder="1" applyProtection="1"/>
    <xf numFmtId="0" fontId="24" fillId="3" borderId="123" xfId="0" applyFont="1" applyFill="1" applyBorder="1" applyProtection="1"/>
    <xf numFmtId="0" fontId="24" fillId="3" borderId="20" xfId="0" applyFont="1" applyFill="1" applyBorder="1" applyProtection="1"/>
    <xf numFmtId="0" fontId="19" fillId="7" borderId="177" xfId="0" applyFont="1" applyFill="1" applyBorder="1" applyAlignment="1" applyProtection="1">
      <alignment horizontal="left"/>
    </xf>
    <xf numFmtId="0" fontId="19" fillId="7" borderId="52" xfId="0" applyFont="1" applyFill="1" applyBorder="1" applyAlignment="1" applyProtection="1">
      <alignment horizontal="left"/>
    </xf>
    <xf numFmtId="0" fontId="24" fillId="7" borderId="166" xfId="0" applyFont="1" applyFill="1" applyBorder="1" applyAlignment="1" applyProtection="1">
      <alignment horizontal="left"/>
    </xf>
    <xf numFmtId="0" fontId="24" fillId="7" borderId="114" xfId="0" applyFont="1" applyFill="1" applyBorder="1" applyAlignment="1" applyProtection="1">
      <alignment horizontal="left"/>
    </xf>
    <xf numFmtId="14" fontId="19" fillId="6" borderId="134" xfId="0" applyNumberFormat="1" applyFont="1" applyFill="1" applyBorder="1" applyAlignment="1" applyProtection="1">
      <alignment horizontal="left"/>
      <protection locked="0"/>
    </xf>
    <xf numFmtId="14" fontId="19" fillId="6" borderId="120" xfId="0" applyNumberFormat="1" applyFont="1" applyFill="1" applyBorder="1" applyAlignment="1" applyProtection="1">
      <alignment horizontal="left"/>
      <protection locked="0"/>
    </xf>
    <xf numFmtId="14" fontId="19" fillId="6" borderId="133" xfId="0" applyNumberFormat="1" applyFont="1" applyFill="1" applyBorder="1" applyAlignment="1" applyProtection="1">
      <alignment horizontal="left"/>
      <protection locked="0"/>
    </xf>
    <xf numFmtId="168" fontId="19" fillId="6" borderId="199" xfId="0" applyNumberFormat="1" applyFont="1" applyFill="1" applyBorder="1" applyAlignment="1" applyProtection="1">
      <alignment horizontal="left"/>
      <protection locked="0"/>
    </xf>
    <xf numFmtId="168" fontId="19" fillId="6" borderId="206" xfId="0" applyNumberFormat="1" applyFont="1" applyFill="1" applyBorder="1" applyAlignment="1" applyProtection="1">
      <alignment horizontal="left"/>
      <protection locked="0"/>
    </xf>
    <xf numFmtId="168" fontId="19" fillId="6" borderId="207" xfId="0" applyNumberFormat="1" applyFont="1" applyFill="1" applyBorder="1" applyAlignment="1" applyProtection="1">
      <alignment horizontal="left"/>
      <protection locked="0"/>
    </xf>
    <xf numFmtId="167" fontId="19" fillId="6" borderId="199" xfId="0" applyNumberFormat="1" applyFont="1" applyFill="1" applyBorder="1" applyAlignment="1" applyProtection="1">
      <alignment horizontal="left"/>
      <protection locked="0"/>
    </xf>
    <xf numFmtId="167" fontId="19" fillId="6" borderId="206" xfId="0" applyNumberFormat="1" applyFont="1" applyFill="1" applyBorder="1" applyAlignment="1" applyProtection="1">
      <alignment horizontal="left"/>
      <protection locked="0"/>
    </xf>
    <xf numFmtId="167" fontId="19" fillId="6" borderId="207" xfId="0" applyNumberFormat="1" applyFont="1" applyFill="1" applyBorder="1" applyAlignment="1" applyProtection="1">
      <alignment horizontal="left"/>
      <protection locked="0"/>
    </xf>
    <xf numFmtId="175" fontId="37" fillId="0" borderId="0" xfId="0" applyNumberFormat="1" applyFont="1" applyBorder="1" applyAlignment="1" applyProtection="1">
      <alignment horizontal="center"/>
    </xf>
    <xf numFmtId="0" fontId="9" fillId="0" borderId="24" xfId="0" applyFont="1" applyBorder="1" applyAlignment="1" applyProtection="1">
      <alignment horizontal="left" wrapText="1"/>
    </xf>
    <xf numFmtId="0" fontId="9" fillId="0" borderId="114" xfId="0" applyFont="1" applyBorder="1" applyAlignment="1" applyProtection="1">
      <alignment horizontal="left" wrapText="1"/>
    </xf>
    <xf numFmtId="0" fontId="9" fillId="0" borderId="165" xfId="0" applyFont="1" applyBorder="1" applyAlignment="1" applyProtection="1">
      <alignment horizontal="left" wrapText="1"/>
    </xf>
    <xf numFmtId="0" fontId="22" fillId="4" borderId="166" xfId="0" applyFont="1" applyFill="1" applyBorder="1" applyAlignment="1" applyProtection="1">
      <alignment horizontal="left"/>
      <protection locked="0"/>
    </xf>
    <xf numFmtId="0" fontId="22" fillId="4" borderId="114" xfId="0" applyFont="1" applyFill="1" applyBorder="1" applyAlignment="1" applyProtection="1">
      <alignment horizontal="left"/>
      <protection locked="0"/>
    </xf>
    <xf numFmtId="0" fontId="22" fillId="4" borderId="167" xfId="0" applyFont="1" applyFill="1" applyBorder="1" applyAlignment="1" applyProtection="1">
      <alignment horizontal="left"/>
      <protection locked="0"/>
    </xf>
    <xf numFmtId="0" fontId="27" fillId="10" borderId="104" xfId="0" applyFont="1" applyFill="1" applyBorder="1" applyAlignment="1" applyProtection="1">
      <alignment horizontal="center"/>
    </xf>
    <xf numFmtId="0" fontId="27" fillId="10" borderId="109" xfId="0" applyFont="1" applyFill="1" applyBorder="1" applyAlignment="1" applyProtection="1">
      <alignment horizontal="center"/>
    </xf>
    <xf numFmtId="0" fontId="27" fillId="10" borderId="94" xfId="0" applyFont="1" applyFill="1" applyBorder="1" applyAlignment="1" applyProtection="1">
      <alignment horizontal="center"/>
    </xf>
    <xf numFmtId="0" fontId="6" fillId="7" borderId="112" xfId="0" applyFont="1" applyFill="1" applyBorder="1" applyAlignment="1" applyProtection="1">
      <alignment horizontal="left" wrapText="1"/>
    </xf>
    <xf numFmtId="0" fontId="6" fillId="7" borderId="113" xfId="0" applyFont="1" applyFill="1" applyBorder="1" applyAlignment="1" applyProtection="1">
      <alignment horizontal="left" wrapText="1"/>
    </xf>
    <xf numFmtId="0" fontId="6" fillId="7" borderId="145" xfId="0" applyFont="1" applyFill="1" applyBorder="1" applyAlignment="1" applyProtection="1">
      <alignment horizontal="left" wrapText="1"/>
    </xf>
    <xf numFmtId="0" fontId="27" fillId="7" borderId="159" xfId="0" applyFont="1" applyFill="1" applyBorder="1" applyAlignment="1" applyProtection="1">
      <alignment horizontal="center"/>
      <protection hidden="1"/>
    </xf>
    <xf numFmtId="0" fontId="27" fillId="7" borderId="27" xfId="0" applyFont="1" applyFill="1" applyBorder="1" applyAlignment="1" applyProtection="1">
      <alignment horizontal="center"/>
      <protection hidden="1"/>
    </xf>
    <xf numFmtId="0" fontId="22" fillId="6" borderId="26" xfId="0" applyFont="1" applyFill="1" applyBorder="1" applyAlignment="1" applyProtection="1">
      <alignment horizontal="left"/>
      <protection locked="0"/>
    </xf>
    <xf numFmtId="0" fontId="22" fillId="6" borderId="27" xfId="0" applyFont="1" applyFill="1" applyBorder="1" applyAlignment="1" applyProtection="1">
      <alignment horizontal="left"/>
      <protection locked="0"/>
    </xf>
    <xf numFmtId="0" fontId="22" fillId="6" borderId="146" xfId="0" applyFont="1" applyFill="1" applyBorder="1" applyAlignment="1" applyProtection="1">
      <alignment horizontal="left"/>
      <protection locked="0"/>
    </xf>
    <xf numFmtId="0" fontId="22" fillId="6" borderId="113" xfId="0" applyFont="1" applyFill="1" applyBorder="1" applyAlignment="1" applyProtection="1">
      <alignment horizontal="left"/>
      <protection locked="0"/>
    </xf>
    <xf numFmtId="0" fontId="27" fillId="7" borderId="163" xfId="0" applyFont="1" applyFill="1" applyBorder="1" applyAlignment="1" applyProtection="1">
      <alignment horizontal="center"/>
      <protection hidden="1"/>
    </xf>
    <xf numFmtId="0" fontId="27" fillId="7" borderId="113" xfId="0" applyFont="1" applyFill="1" applyBorder="1" applyAlignment="1" applyProtection="1">
      <alignment horizontal="center"/>
      <protection hidden="1"/>
    </xf>
    <xf numFmtId="0" fontId="27" fillId="7" borderId="164" xfId="0" applyFont="1" applyFill="1" applyBorder="1" applyAlignment="1" applyProtection="1">
      <alignment horizontal="center"/>
      <protection hidden="1"/>
    </xf>
    <xf numFmtId="0" fontId="9" fillId="7" borderId="42" xfId="0" applyFont="1" applyFill="1" applyBorder="1" applyAlignment="1" applyProtection="1">
      <alignment horizontal="left"/>
    </xf>
    <xf numFmtId="0" fontId="9" fillId="7" borderId="27" xfId="0" applyFont="1" applyFill="1" applyBorder="1" applyAlignment="1" applyProtection="1">
      <alignment horizontal="left"/>
    </xf>
    <xf numFmtId="0" fontId="9" fillId="7" borderId="28" xfId="0" applyFont="1" applyFill="1" applyBorder="1" applyAlignment="1" applyProtection="1">
      <alignment horizontal="left"/>
    </xf>
    <xf numFmtId="0" fontId="6" fillId="7" borderId="42" xfId="0" applyFont="1" applyFill="1" applyBorder="1" applyAlignment="1" applyProtection="1">
      <alignment horizontal="left"/>
    </xf>
    <xf numFmtId="0" fontId="6" fillId="7" borderId="27" xfId="0" applyFont="1" applyFill="1" applyBorder="1" applyAlignment="1" applyProtection="1">
      <alignment horizontal="left"/>
    </xf>
    <xf numFmtId="0" fontId="6" fillId="7" borderId="28" xfId="0" applyFont="1" applyFill="1" applyBorder="1" applyAlignment="1" applyProtection="1">
      <alignment horizontal="left"/>
    </xf>
    <xf numFmtId="0" fontId="22" fillId="6" borderId="160" xfId="0" applyFont="1" applyFill="1" applyBorder="1" applyAlignment="1" applyProtection="1">
      <alignment horizontal="left"/>
      <protection locked="0"/>
    </xf>
    <xf numFmtId="2" fontId="22" fillId="14" borderId="26" xfId="0" applyNumberFormat="1" applyFont="1" applyFill="1" applyBorder="1" applyAlignment="1" applyProtection="1">
      <alignment horizontal="left"/>
      <protection hidden="1"/>
    </xf>
    <xf numFmtId="2" fontId="22" fillId="14" borderId="27" xfId="0" applyNumberFormat="1" applyFont="1" applyFill="1" applyBorder="1" applyAlignment="1" applyProtection="1">
      <alignment horizontal="left"/>
      <protection hidden="1"/>
    </xf>
    <xf numFmtId="0" fontId="27" fillId="16" borderId="27" xfId="0" applyFont="1" applyFill="1" applyBorder="1" applyAlignment="1" applyProtection="1">
      <alignment horizontal="center"/>
      <protection hidden="1"/>
    </xf>
    <xf numFmtId="0" fontId="27" fillId="16" borderId="160" xfId="0" applyFont="1" applyFill="1" applyBorder="1" applyAlignment="1" applyProtection="1">
      <alignment horizontal="center"/>
      <protection hidden="1"/>
    </xf>
    <xf numFmtId="0" fontId="27" fillId="7" borderId="160" xfId="0" applyFont="1" applyFill="1" applyBorder="1" applyAlignment="1" applyProtection="1">
      <alignment horizontal="center"/>
      <protection hidden="1"/>
    </xf>
    <xf numFmtId="0" fontId="22" fillId="16" borderId="27" xfId="0" applyFont="1" applyFill="1" applyBorder="1" applyAlignment="1" applyProtection="1">
      <alignment horizontal="left"/>
      <protection locked="0"/>
    </xf>
    <xf numFmtId="9" fontId="22" fillId="14" borderId="26" xfId="0" applyNumberFormat="1" applyFont="1" applyFill="1" applyBorder="1" applyAlignment="1" applyProtection="1">
      <alignment horizontal="left"/>
      <protection hidden="1"/>
    </xf>
    <xf numFmtId="0" fontId="22" fillId="14" borderId="27" xfId="0" applyFont="1" applyFill="1" applyBorder="1" applyAlignment="1" applyProtection="1">
      <alignment horizontal="left"/>
      <protection hidden="1"/>
    </xf>
    <xf numFmtId="167" fontId="22" fillId="14" borderId="26" xfId="0" applyNumberFormat="1" applyFont="1" applyFill="1" applyBorder="1" applyAlignment="1" applyProtection="1">
      <alignment horizontal="left"/>
      <protection hidden="1"/>
    </xf>
    <xf numFmtId="172" fontId="22" fillId="6" borderId="26" xfId="0" applyNumberFormat="1" applyFont="1" applyFill="1" applyBorder="1" applyAlignment="1" applyProtection="1">
      <alignment horizontal="left"/>
      <protection locked="0"/>
    </xf>
    <xf numFmtId="172" fontId="22" fillId="6" borderId="27" xfId="0" applyNumberFormat="1" applyFont="1" applyFill="1" applyBorder="1" applyAlignment="1" applyProtection="1">
      <alignment horizontal="left"/>
      <protection locked="0"/>
    </xf>
    <xf numFmtId="167" fontId="22" fillId="14" borderId="27" xfId="0" applyNumberFormat="1" applyFont="1" applyFill="1" applyBorder="1" applyAlignment="1" applyProtection="1">
      <alignment horizontal="left"/>
      <protection hidden="1"/>
    </xf>
    <xf numFmtId="0" fontId="6" fillId="16" borderId="42" xfId="0" applyFont="1" applyFill="1" applyBorder="1" applyAlignment="1" applyProtection="1">
      <alignment horizontal="left" wrapText="1"/>
    </xf>
    <xf numFmtId="0" fontId="6" fillId="16" borderId="27" xfId="0" applyFont="1" applyFill="1" applyBorder="1" applyAlignment="1" applyProtection="1">
      <alignment horizontal="left" wrapText="1"/>
    </xf>
    <xf numFmtId="167" fontId="22" fillId="5" borderId="26" xfId="0" applyNumberFormat="1" applyFont="1" applyFill="1" applyBorder="1" applyAlignment="1" applyProtection="1">
      <alignment horizontal="left"/>
      <protection locked="0"/>
    </xf>
    <xf numFmtId="0" fontId="22" fillId="5" borderId="27" xfId="0" applyFont="1" applyFill="1" applyBorder="1" applyAlignment="1" applyProtection="1">
      <alignment horizontal="left"/>
      <protection locked="0"/>
    </xf>
    <xf numFmtId="0" fontId="9" fillId="7" borderId="42" xfId="0" applyFont="1" applyFill="1" applyBorder="1" applyAlignment="1" applyProtection="1">
      <alignment horizontal="left" wrapText="1"/>
    </xf>
    <xf numFmtId="0" fontId="9" fillId="7" borderId="27" xfId="0" applyFont="1" applyFill="1" applyBorder="1" applyAlignment="1" applyProtection="1">
      <alignment horizontal="left" wrapText="1"/>
    </xf>
    <xf numFmtId="0" fontId="9" fillId="7" borderId="28" xfId="0" applyFont="1" applyFill="1" applyBorder="1" applyAlignment="1" applyProtection="1">
      <alignment horizontal="left" wrapText="1"/>
    </xf>
    <xf numFmtId="0" fontId="21" fillId="3" borderId="19" xfId="0" applyFont="1" applyFill="1" applyBorder="1" applyAlignment="1" applyProtection="1">
      <alignment horizontal="left"/>
    </xf>
    <xf numFmtId="0" fontId="21" fillId="3" borderId="123" xfId="0" applyFont="1" applyFill="1" applyBorder="1" applyAlignment="1" applyProtection="1">
      <alignment horizontal="left"/>
    </xf>
    <xf numFmtId="0" fontId="21" fillId="3" borderId="21" xfId="0" applyFont="1" applyFill="1" applyBorder="1" applyAlignment="1" applyProtection="1">
      <alignment horizontal="left"/>
    </xf>
    <xf numFmtId="14" fontId="22" fillId="3" borderId="132" xfId="0" applyNumberFormat="1" applyFont="1" applyFill="1" applyBorder="1" applyAlignment="1" applyProtection="1">
      <alignment horizontal="left"/>
    </xf>
    <xf numFmtId="0" fontId="22" fillId="3" borderId="123" xfId="0" applyFont="1" applyFill="1" applyBorder="1" applyAlignment="1" applyProtection="1">
      <alignment horizontal="left"/>
    </xf>
    <xf numFmtId="0" fontId="9" fillId="7" borderId="121" xfId="0" applyFont="1" applyFill="1" applyBorder="1" applyAlignment="1" applyProtection="1">
      <alignment horizontal="left"/>
    </xf>
    <xf numFmtId="0" fontId="9" fillId="7" borderId="1" xfId="0" applyFont="1" applyFill="1" applyBorder="1" applyAlignment="1" applyProtection="1">
      <alignment horizontal="left"/>
    </xf>
    <xf numFmtId="0" fontId="9" fillId="7" borderId="75" xfId="0" applyFont="1" applyFill="1" applyBorder="1" applyAlignment="1" applyProtection="1">
      <alignment horizontal="left"/>
    </xf>
    <xf numFmtId="0" fontId="22" fillId="14" borderId="26" xfId="0" applyFont="1" applyFill="1" applyBorder="1" applyAlignment="1" applyProtection="1">
      <alignment horizontal="left"/>
    </xf>
    <xf numFmtId="0" fontId="22" fillId="14" borderId="27" xfId="0" applyFont="1" applyFill="1" applyBorder="1" applyAlignment="1" applyProtection="1">
      <alignment horizontal="left"/>
    </xf>
    <xf numFmtId="14" fontId="22" fillId="3" borderId="161" xfId="0" applyNumberFormat="1" applyFont="1" applyFill="1" applyBorder="1" applyAlignment="1" applyProtection="1">
      <alignment horizontal="center"/>
    </xf>
    <xf numFmtId="0" fontId="22" fillId="3" borderId="162" xfId="0" applyFont="1" applyFill="1" applyBorder="1" applyAlignment="1" applyProtection="1">
      <alignment horizontal="center"/>
    </xf>
    <xf numFmtId="0" fontId="7" fillId="6" borderId="29" xfId="0" applyFont="1" applyFill="1" applyBorder="1" applyAlignment="1" applyProtection="1">
      <alignment horizontal="center" vertical="center"/>
      <protection locked="0"/>
    </xf>
    <xf numFmtId="0" fontId="7" fillId="6" borderId="150" xfId="0" applyFont="1" applyFill="1" applyBorder="1" applyAlignment="1" applyProtection="1">
      <alignment horizontal="center" vertical="center"/>
      <protection locked="0"/>
    </xf>
    <xf numFmtId="0" fontId="27" fillId="7" borderId="151" xfId="0" applyFont="1" applyFill="1" applyBorder="1" applyAlignment="1" applyProtection="1">
      <alignment horizontal="center" vertical="center"/>
    </xf>
    <xf numFmtId="0" fontId="27" fillId="7" borderId="152" xfId="0" applyFont="1" applyFill="1" applyBorder="1" applyAlignment="1" applyProtection="1">
      <alignment horizontal="center" vertical="center"/>
    </xf>
    <xf numFmtId="0" fontId="7" fillId="6" borderId="34" xfId="0" applyFont="1" applyFill="1" applyBorder="1" applyAlignment="1" applyProtection="1">
      <alignment horizontal="center" vertical="center"/>
      <protection locked="0"/>
    </xf>
    <xf numFmtId="0" fontId="7" fillId="6" borderId="153" xfId="0" applyFont="1" applyFill="1" applyBorder="1" applyAlignment="1" applyProtection="1">
      <alignment horizontal="center" vertical="center"/>
      <protection locked="0"/>
    </xf>
    <xf numFmtId="0" fontId="21" fillId="3" borderId="154" xfId="0" applyFont="1" applyFill="1" applyBorder="1" applyAlignment="1" applyProtection="1"/>
    <xf numFmtId="0" fontId="21" fillId="3" borderId="155" xfId="0" applyFont="1" applyFill="1" applyBorder="1" applyAlignment="1" applyProtection="1"/>
    <xf numFmtId="0" fontId="21" fillId="3" borderId="156" xfId="0" applyFont="1" applyFill="1" applyBorder="1" applyAlignment="1" applyProtection="1"/>
    <xf numFmtId="0" fontId="21" fillId="3" borderId="19" xfId="0" applyFont="1" applyFill="1" applyBorder="1" applyAlignment="1" applyProtection="1">
      <alignment horizontal="center"/>
    </xf>
    <xf numFmtId="0" fontId="21" fillId="3" borderId="123" xfId="0" applyFont="1" applyFill="1" applyBorder="1" applyAlignment="1" applyProtection="1">
      <alignment horizontal="center"/>
    </xf>
    <xf numFmtId="0" fontId="21" fillId="3" borderId="21" xfId="0" applyFont="1" applyFill="1" applyBorder="1" applyAlignment="1" applyProtection="1">
      <alignment horizontal="center"/>
    </xf>
    <xf numFmtId="0" fontId="6" fillId="7" borderId="157" xfId="0" applyFont="1" applyFill="1" applyBorder="1" applyAlignment="1" applyProtection="1">
      <alignment vertical="center" wrapText="1"/>
    </xf>
    <xf numFmtId="0" fontId="6" fillId="7" borderId="45" xfId="0" applyFont="1" applyFill="1" applyBorder="1" applyAlignment="1" applyProtection="1">
      <alignment vertical="center" wrapText="1"/>
    </xf>
    <xf numFmtId="0" fontId="7" fillId="6" borderId="45" xfId="0" applyFont="1" applyFill="1" applyBorder="1" applyAlignment="1" applyProtection="1">
      <alignment horizontal="center" vertical="center"/>
      <protection locked="0"/>
    </xf>
    <xf numFmtId="0" fontId="7" fillId="6" borderId="158" xfId="0" applyFont="1" applyFill="1" applyBorder="1" applyAlignment="1" applyProtection="1">
      <alignment horizontal="center" vertical="center"/>
      <protection locked="0"/>
    </xf>
    <xf numFmtId="0" fontId="9" fillId="12" borderId="0" xfId="0" applyFont="1" applyFill="1" applyAlignment="1">
      <alignment horizontal="left" wrapText="1"/>
    </xf>
    <xf numFmtId="0" fontId="9" fillId="14" borderId="26" xfId="0" applyFont="1" applyFill="1" applyBorder="1" applyAlignment="1" applyProtection="1">
      <alignment horizontal="left"/>
      <protection hidden="1"/>
    </xf>
    <xf numFmtId="0" fontId="9" fillId="14" borderId="27" xfId="0" applyFont="1" applyFill="1" applyBorder="1" applyAlignment="1" applyProtection="1">
      <alignment horizontal="left"/>
      <protection hidden="1"/>
    </xf>
    <xf numFmtId="0" fontId="9" fillId="14" borderId="28" xfId="0" applyFont="1" applyFill="1" applyBorder="1" applyAlignment="1" applyProtection="1">
      <alignment horizontal="left"/>
      <protection hidden="1"/>
    </xf>
    <xf numFmtId="167" fontId="6" fillId="14" borderId="26" xfId="0" applyNumberFormat="1" applyFont="1" applyFill="1" applyBorder="1" applyAlignment="1" applyProtection="1">
      <alignment horizontal="left"/>
      <protection hidden="1"/>
    </xf>
    <xf numFmtId="167" fontId="9" fillId="14" borderId="27" xfId="0" applyNumberFormat="1" applyFont="1" applyFill="1" applyBorder="1" applyAlignment="1" applyProtection="1">
      <alignment horizontal="left"/>
      <protection hidden="1"/>
    </xf>
    <xf numFmtId="167" fontId="9" fillId="14" borderId="28" xfId="0" applyNumberFormat="1" applyFont="1" applyFill="1" applyBorder="1" applyAlignment="1" applyProtection="1">
      <alignment horizontal="left"/>
      <protection hidden="1"/>
    </xf>
    <xf numFmtId="175" fontId="37" fillId="12" borderId="0" xfId="0" applyNumberFormat="1" applyFont="1" applyFill="1" applyBorder="1" applyAlignment="1" applyProtection="1">
      <alignment horizontal="center"/>
    </xf>
    <xf numFmtId="0" fontId="18" fillId="3" borderId="26" xfId="0" applyFont="1" applyFill="1" applyBorder="1" applyAlignment="1">
      <alignment horizontal="justify" vertical="center" wrapText="1"/>
    </xf>
    <xf numFmtId="0" fontId="18" fillId="3" borderId="27" xfId="0" applyFont="1" applyFill="1" applyBorder="1" applyAlignment="1">
      <alignment horizontal="justify" vertical="center" wrapText="1"/>
    </xf>
    <xf numFmtId="0" fontId="18" fillId="3" borderId="28" xfId="0" applyFont="1" applyFill="1" applyBorder="1" applyAlignment="1">
      <alignment horizontal="justify" vertical="center" wrapText="1"/>
    </xf>
    <xf numFmtId="0" fontId="21" fillId="12" borderId="0" xfId="0" applyFont="1" applyFill="1" applyAlignment="1">
      <alignment horizontal="left" wrapText="1"/>
    </xf>
    <xf numFmtId="0" fontId="9" fillId="14" borderId="26" xfId="0" applyFont="1" applyFill="1" applyBorder="1" applyAlignment="1">
      <alignment horizontal="right"/>
    </xf>
    <xf numFmtId="0" fontId="9" fillId="14" borderId="27" xfId="0" applyFont="1" applyFill="1" applyBorder="1" applyAlignment="1">
      <alignment horizontal="right"/>
    </xf>
    <xf numFmtId="0" fontId="9" fillId="14" borderId="28" xfId="0" applyFont="1" applyFill="1" applyBorder="1" applyAlignment="1">
      <alignment horizontal="right"/>
    </xf>
    <xf numFmtId="0" fontId="27" fillId="14" borderId="26" xfId="0" applyFont="1" applyFill="1" applyBorder="1" applyAlignment="1">
      <alignment horizontal="center"/>
    </xf>
    <xf numFmtId="0" fontId="27" fillId="14" borderId="28" xfId="0" applyFont="1" applyFill="1" applyBorder="1" applyAlignment="1">
      <alignment horizontal="center"/>
    </xf>
    <xf numFmtId="0" fontId="6" fillId="14" borderId="115" xfId="0" applyFont="1" applyFill="1" applyBorder="1" applyAlignment="1">
      <alignment horizontal="center" wrapText="1"/>
    </xf>
    <xf numFmtId="0" fontId="6" fillId="14" borderId="117" xfId="0" applyFont="1" applyFill="1" applyBorder="1" applyAlignment="1">
      <alignment horizontal="center" wrapText="1"/>
    </xf>
    <xf numFmtId="0" fontId="9" fillId="14" borderId="168" xfId="0" applyFont="1" applyFill="1" applyBorder="1" applyAlignment="1" applyProtection="1">
      <alignment horizontal="center" vertical="center" wrapText="1"/>
      <protection hidden="1"/>
    </xf>
    <xf numFmtId="0" fontId="9" fillId="14" borderId="169" xfId="0" applyFont="1" applyFill="1" applyBorder="1" applyAlignment="1" applyProtection="1">
      <alignment horizontal="center" vertical="center" wrapText="1"/>
      <protection hidden="1"/>
    </xf>
    <xf numFmtId="0" fontId="9" fillId="12" borderId="0" xfId="0" applyFont="1" applyFill="1"/>
    <xf numFmtId="167" fontId="9" fillId="14" borderId="26" xfId="0" applyNumberFormat="1" applyFont="1" applyFill="1" applyBorder="1" applyAlignment="1" applyProtection="1">
      <alignment horizontal="left"/>
      <protection hidden="1"/>
    </xf>
    <xf numFmtId="0" fontId="27" fillId="14" borderId="26" xfId="0" applyFont="1" applyFill="1" applyBorder="1" applyAlignment="1" applyProtection="1">
      <alignment horizontal="center"/>
      <protection hidden="1"/>
    </xf>
    <xf numFmtId="0" fontId="27" fillId="14" borderId="28" xfId="0" applyFont="1" applyFill="1" applyBorder="1" applyAlignment="1" applyProtection="1">
      <alignment horizontal="center"/>
      <protection hidden="1"/>
    </xf>
    <xf numFmtId="0" fontId="6" fillId="12" borderId="0" xfId="0" applyFont="1" applyFill="1" applyAlignment="1">
      <alignment horizontal="left" wrapText="1"/>
    </xf>
    <xf numFmtId="9" fontId="9" fillId="14" borderId="26" xfId="0" applyNumberFormat="1" applyFont="1" applyFill="1" applyBorder="1" applyAlignment="1" applyProtection="1">
      <alignment horizontal="left"/>
      <protection hidden="1"/>
    </xf>
    <xf numFmtId="9" fontId="9" fillId="14" borderId="27" xfId="0" applyNumberFormat="1" applyFont="1" applyFill="1" applyBorder="1" applyAlignment="1" applyProtection="1">
      <alignment horizontal="left"/>
      <protection hidden="1"/>
    </xf>
    <xf numFmtId="9" fontId="9" fillId="14" borderId="28" xfId="0" applyNumberFormat="1" applyFont="1" applyFill="1" applyBorder="1" applyAlignment="1" applyProtection="1">
      <alignment horizontal="left"/>
      <protection hidden="1"/>
    </xf>
    <xf numFmtId="0" fontId="0" fillId="6" borderId="70" xfId="0" applyFill="1" applyBorder="1" applyAlignment="1" applyProtection="1">
      <alignment horizontal="center" wrapText="1"/>
      <protection locked="0"/>
    </xf>
    <xf numFmtId="0" fontId="0" fillId="6" borderId="0" xfId="0" applyFill="1" applyBorder="1" applyAlignment="1" applyProtection="1">
      <alignment horizontal="center" wrapText="1"/>
      <protection locked="0"/>
    </xf>
    <xf numFmtId="0" fontId="0" fillId="6" borderId="71" xfId="0" applyFill="1" applyBorder="1" applyAlignment="1" applyProtection="1">
      <alignment horizontal="center" wrapText="1"/>
      <protection locked="0"/>
    </xf>
    <xf numFmtId="0" fontId="0" fillId="6" borderId="70" xfId="0" applyFill="1" applyBorder="1" applyAlignment="1" applyProtection="1">
      <alignment horizontal="left" vertical="center" wrapText="1"/>
      <protection locked="0"/>
    </xf>
    <xf numFmtId="0" fontId="0" fillId="6" borderId="0" xfId="0" applyFill="1" applyBorder="1" applyAlignment="1" applyProtection="1">
      <alignment horizontal="left" vertical="center" wrapText="1"/>
      <protection locked="0"/>
    </xf>
    <xf numFmtId="0" fontId="0" fillId="6" borderId="71" xfId="0" applyFill="1" applyBorder="1" applyAlignment="1" applyProtection="1">
      <alignment horizontal="left" vertical="center" wrapText="1"/>
      <protection locked="0"/>
    </xf>
    <xf numFmtId="0" fontId="18" fillId="3" borderId="19" xfId="0" applyFont="1" applyFill="1" applyBorder="1" applyAlignment="1" applyProtection="1">
      <alignment horizontal="justify" vertical="center" wrapText="1"/>
    </xf>
    <xf numFmtId="0" fontId="18" fillId="3" borderId="123" xfId="0" applyFont="1" applyFill="1" applyBorder="1" applyAlignment="1" applyProtection="1">
      <alignment horizontal="justify" vertical="center" wrapText="1"/>
    </xf>
    <xf numFmtId="0" fontId="18" fillId="3" borderId="20" xfId="0" applyFont="1" applyFill="1" applyBorder="1" applyAlignment="1" applyProtection="1">
      <alignment horizontal="justify" vertical="center" wrapText="1"/>
    </xf>
    <xf numFmtId="49" fontId="22" fillId="6" borderId="1" xfId="0" applyNumberFormat="1" applyFont="1" applyFill="1" applyBorder="1" applyAlignment="1" applyProtection="1">
      <alignment horizontal="left" vertical="top" wrapText="1"/>
      <protection locked="0"/>
    </xf>
    <xf numFmtId="49" fontId="22" fillId="6" borderId="27" xfId="0" applyNumberFormat="1" applyFont="1" applyFill="1" applyBorder="1" applyAlignment="1" applyProtection="1">
      <alignment horizontal="left" vertical="top" wrapText="1"/>
      <protection locked="0"/>
    </xf>
    <xf numFmtId="49" fontId="22" fillId="6" borderId="27" xfId="0" applyNumberFormat="1" applyFont="1" applyFill="1" applyBorder="1" applyAlignment="1" applyProtection="1">
      <alignment horizontal="center" vertical="top" wrapText="1"/>
      <protection locked="0"/>
    </xf>
    <xf numFmtId="49" fontId="22" fillId="6" borderId="27" xfId="0" applyNumberFormat="1" applyFont="1" applyFill="1" applyBorder="1" applyAlignment="1" applyProtection="1">
      <alignment horizontal="center" vertical="top" shrinkToFit="1"/>
      <protection locked="0"/>
    </xf>
    <xf numFmtId="0" fontId="0" fillId="6" borderId="10" xfId="0" applyFill="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43" fillId="6" borderId="77" xfId="0" applyFont="1" applyFill="1" applyBorder="1" applyAlignment="1" applyProtection="1">
      <alignment horizontal="left" vertical="center" wrapText="1"/>
      <protection locked="0"/>
    </xf>
    <xf numFmtId="0" fontId="0" fillId="6" borderId="59" xfId="0" applyFill="1" applyBorder="1" applyAlignment="1" applyProtection="1">
      <alignment horizontal="left" vertical="center" wrapText="1"/>
      <protection locked="0"/>
    </xf>
    <xf numFmtId="0" fontId="0" fillId="6" borderId="78" xfId="0" applyFill="1" applyBorder="1" applyAlignment="1" applyProtection="1">
      <alignment horizontal="left" vertical="center" wrapText="1"/>
      <protection locked="0"/>
    </xf>
    <xf numFmtId="0" fontId="2" fillId="12" borderId="70" xfId="0" applyFont="1" applyFill="1" applyBorder="1" applyAlignment="1">
      <alignment horizontal="center" vertical="center"/>
    </xf>
    <xf numFmtId="0" fontId="2" fillId="12" borderId="0" xfId="0" applyFont="1" applyFill="1" applyAlignment="1">
      <alignment horizontal="center" vertical="center"/>
    </xf>
    <xf numFmtId="0" fontId="2" fillId="12" borderId="71" xfId="0" applyFont="1" applyFill="1" applyBorder="1" applyAlignment="1">
      <alignment horizontal="center" vertical="center"/>
    </xf>
    <xf numFmtId="49" fontId="22" fillId="6" borderId="46" xfId="0" applyNumberFormat="1" applyFont="1" applyFill="1" applyBorder="1" applyAlignment="1" applyProtection="1">
      <alignment horizontal="center" vertical="top" wrapText="1"/>
      <protection locked="0"/>
    </xf>
    <xf numFmtId="0" fontId="9" fillId="12" borderId="26" xfId="0" applyFont="1" applyFill="1" applyBorder="1"/>
    <xf numFmtId="0" fontId="9" fillId="12" borderId="27" xfId="0" applyFont="1" applyFill="1" applyBorder="1"/>
    <xf numFmtId="0" fontId="9" fillId="12" borderId="43" xfId="0" applyFont="1" applyFill="1" applyBorder="1"/>
    <xf numFmtId="0" fontId="9" fillId="12" borderId="121" xfId="0" applyFont="1" applyFill="1" applyBorder="1"/>
    <xf numFmtId="0" fontId="9" fillId="12" borderId="1" xfId="0" applyFont="1" applyFill="1" applyBorder="1"/>
    <xf numFmtId="0" fontId="9" fillId="12" borderId="106" xfId="0" applyFont="1" applyFill="1" applyBorder="1"/>
    <xf numFmtId="0" fontId="9" fillId="12" borderId="26" xfId="0" applyFont="1" applyFill="1" applyBorder="1" applyAlignment="1" applyProtection="1">
      <alignment horizontal="left" vertical="top" wrapText="1"/>
    </xf>
    <xf numFmtId="0" fontId="9" fillId="12" borderId="27" xfId="0" applyFont="1" applyFill="1" applyBorder="1" applyAlignment="1" applyProtection="1">
      <alignment horizontal="left" vertical="top" wrapText="1"/>
    </xf>
    <xf numFmtId="0" fontId="9" fillId="12" borderId="28" xfId="0" applyFont="1" applyFill="1" applyBorder="1" applyAlignment="1" applyProtection="1">
      <alignment horizontal="left" vertical="top" wrapText="1"/>
    </xf>
    <xf numFmtId="0" fontId="21" fillId="12" borderId="26" xfId="0" applyFont="1" applyFill="1" applyBorder="1"/>
    <xf numFmtId="0" fontId="21" fillId="12" borderId="27" xfId="0" applyFont="1" applyFill="1" applyBorder="1"/>
    <xf numFmtId="0" fontId="21" fillId="12" borderId="43" xfId="0" applyFont="1" applyFill="1" applyBorder="1"/>
    <xf numFmtId="0" fontId="9" fillId="12" borderId="26" xfId="0" applyFont="1" applyFill="1" applyBorder="1" applyProtection="1"/>
    <xf numFmtId="0" fontId="9" fillId="12" borderId="27" xfId="0" applyFont="1" applyFill="1" applyBorder="1" applyProtection="1"/>
    <xf numFmtId="0" fontId="9" fillId="12" borderId="28" xfId="0" applyFont="1" applyFill="1" applyBorder="1" applyProtection="1"/>
    <xf numFmtId="0" fontId="27" fillId="14" borderId="27" xfId="0" applyFont="1" applyFill="1" applyBorder="1" applyAlignment="1" applyProtection="1">
      <alignment horizontal="center"/>
      <protection hidden="1"/>
    </xf>
    <xf numFmtId="0" fontId="27" fillId="14" borderId="43" xfId="0" applyFont="1" applyFill="1" applyBorder="1" applyAlignment="1" applyProtection="1">
      <alignment horizontal="center"/>
      <protection hidden="1"/>
    </xf>
    <xf numFmtId="175" fontId="37" fillId="12" borderId="26" xfId="0" applyNumberFormat="1" applyFont="1" applyFill="1" applyBorder="1" applyAlignment="1" applyProtection="1">
      <alignment horizontal="center"/>
    </xf>
    <xf numFmtId="175" fontId="37" fillId="12" borderId="28" xfId="0" applyNumberFormat="1" applyFont="1" applyFill="1" applyBorder="1" applyAlignment="1" applyProtection="1">
      <alignment horizontal="center"/>
    </xf>
    <xf numFmtId="0" fontId="9" fillId="12" borderId="51" xfId="0" applyFont="1" applyFill="1" applyBorder="1"/>
    <xf numFmtId="0" fontId="9" fillId="12" borderId="52" xfId="0" applyFont="1" applyFill="1" applyBorder="1"/>
    <xf numFmtId="0" fontId="9" fillId="12" borderId="57" xfId="0" applyFont="1" applyFill="1" applyBorder="1"/>
    <xf numFmtId="0" fontId="18" fillId="12" borderId="42" xfId="0" applyFont="1" applyFill="1" applyBorder="1" applyAlignment="1">
      <alignment vertical="center" wrapText="1"/>
    </xf>
    <xf numFmtId="0" fontId="18" fillId="12" borderId="27" xfId="0" applyFont="1" applyFill="1" applyBorder="1" applyAlignment="1">
      <alignment vertical="center" wrapText="1"/>
    </xf>
    <xf numFmtId="0" fontId="18" fillId="12" borderId="43" xfId="0" applyFont="1" applyFill="1" applyBorder="1" applyAlignment="1">
      <alignment vertical="center" wrapText="1"/>
    </xf>
    <xf numFmtId="0" fontId="9" fillId="12" borderId="42" xfId="0" applyFont="1" applyFill="1" applyBorder="1" applyAlignment="1">
      <alignment horizontal="left"/>
    </xf>
    <xf numFmtId="0" fontId="9" fillId="12" borderId="27" xfId="0" applyFont="1" applyFill="1" applyBorder="1" applyAlignment="1">
      <alignment horizontal="left"/>
    </xf>
    <xf numFmtId="0" fontId="9" fillId="12" borderId="43" xfId="0" applyFont="1" applyFill="1" applyBorder="1" applyAlignment="1">
      <alignment horizontal="left"/>
    </xf>
    <xf numFmtId="0" fontId="21" fillId="12" borderId="26" xfId="0" applyFont="1" applyFill="1" applyBorder="1" applyAlignment="1">
      <alignment horizontal="center"/>
    </xf>
    <xf numFmtId="0" fontId="21" fillId="12" borderId="27" xfId="0" applyFont="1" applyFill="1" applyBorder="1" applyAlignment="1">
      <alignment horizontal="center"/>
    </xf>
    <xf numFmtId="0" fontId="21" fillId="12" borderId="43" xfId="0" applyFont="1" applyFill="1" applyBorder="1" applyAlignment="1">
      <alignment horizontal="center"/>
    </xf>
    <xf numFmtId="0" fontId="19" fillId="3" borderId="132" xfId="0" applyFont="1" applyFill="1" applyBorder="1" applyAlignment="1" applyProtection="1">
      <alignment horizontal="center" wrapText="1"/>
    </xf>
    <xf numFmtId="0" fontId="19" fillId="3" borderId="21" xfId="0" applyFont="1" applyFill="1" applyBorder="1" applyAlignment="1" applyProtection="1">
      <alignment horizontal="center" wrapText="1"/>
    </xf>
    <xf numFmtId="167" fontId="19" fillId="14" borderId="26" xfId="0" applyNumberFormat="1" applyFont="1" applyFill="1" applyBorder="1" applyAlignment="1" applyProtection="1">
      <alignment horizontal="center"/>
      <protection hidden="1"/>
    </xf>
    <xf numFmtId="167" fontId="19" fillId="14" borderId="28" xfId="0" applyNumberFormat="1" applyFont="1" applyFill="1" applyBorder="1" applyAlignment="1" applyProtection="1">
      <alignment horizontal="center"/>
      <protection hidden="1"/>
    </xf>
    <xf numFmtId="0" fontId="19" fillId="3" borderId="20" xfId="0" applyFont="1" applyFill="1" applyBorder="1" applyAlignment="1" applyProtection="1">
      <alignment horizontal="center" wrapText="1"/>
    </xf>
    <xf numFmtId="167" fontId="19" fillId="14" borderId="134" xfId="0" applyNumberFormat="1" applyFont="1" applyFill="1" applyBorder="1" applyAlignment="1" applyProtection="1">
      <alignment horizontal="center"/>
      <protection hidden="1"/>
    </xf>
    <xf numFmtId="167" fontId="19" fillId="14" borderId="133" xfId="0" applyNumberFormat="1" applyFont="1" applyFill="1" applyBorder="1" applyAlignment="1" applyProtection="1">
      <alignment horizontal="center"/>
      <protection hidden="1"/>
    </xf>
    <xf numFmtId="167" fontId="19" fillId="14" borderId="29" xfId="0" applyNumberFormat="1" applyFont="1" applyFill="1" applyBorder="1" applyProtection="1">
      <protection hidden="1"/>
    </xf>
    <xf numFmtId="0" fontId="19" fillId="14" borderId="29" xfId="0" applyFont="1" applyFill="1" applyBorder="1" applyProtection="1">
      <protection hidden="1"/>
    </xf>
    <xf numFmtId="167" fontId="19" fillId="14" borderId="45" xfId="0" applyNumberFormat="1" applyFont="1" applyFill="1" applyBorder="1" applyProtection="1">
      <protection hidden="1"/>
    </xf>
    <xf numFmtId="0" fontId="19" fillId="14" borderId="45" xfId="0" applyFont="1" applyFill="1" applyBorder="1" applyProtection="1">
      <protection hidden="1"/>
    </xf>
    <xf numFmtId="0" fontId="19" fillId="12" borderId="123" xfId="0" applyFont="1" applyFill="1" applyBorder="1" applyAlignment="1" applyProtection="1">
      <alignment horizontal="center"/>
    </xf>
    <xf numFmtId="3" fontId="19" fillId="0" borderId="171" xfId="0" applyNumberFormat="1" applyFont="1" applyBorder="1" applyAlignment="1" applyProtection="1">
      <alignment horizontal="center"/>
    </xf>
    <xf numFmtId="3" fontId="19" fillId="0" borderId="172" xfId="0" applyNumberFormat="1" applyFont="1" applyBorder="1" applyAlignment="1" applyProtection="1">
      <alignment horizontal="center"/>
    </xf>
    <xf numFmtId="3" fontId="19" fillId="0" borderId="173" xfId="0" applyNumberFormat="1" applyFont="1" applyBorder="1" applyAlignment="1" applyProtection="1">
      <alignment horizontal="center"/>
    </xf>
    <xf numFmtId="3" fontId="19" fillId="0" borderId="174" xfId="0" applyNumberFormat="1" applyFont="1" applyBorder="1" applyAlignment="1" applyProtection="1">
      <alignment horizontal="center"/>
    </xf>
    <xf numFmtId="3" fontId="19" fillId="0" borderId="175" xfId="0" applyNumberFormat="1" applyFont="1" applyBorder="1" applyAlignment="1" applyProtection="1">
      <alignment horizontal="center"/>
    </xf>
    <xf numFmtId="3" fontId="19" fillId="0" borderId="176" xfId="0" applyNumberFormat="1" applyFont="1" applyBorder="1" applyAlignment="1" applyProtection="1">
      <alignment horizontal="center"/>
    </xf>
    <xf numFmtId="0" fontId="78" fillId="0" borderId="147" xfId="0" applyFont="1" applyBorder="1" applyAlignment="1" applyProtection="1">
      <alignment horizontal="center"/>
    </xf>
    <xf numFmtId="0" fontId="78" fillId="0" borderId="148" xfId="0" applyFont="1" applyBorder="1" applyAlignment="1" applyProtection="1">
      <alignment horizontal="center"/>
    </xf>
    <xf numFmtId="0" fontId="78" fillId="0" borderId="149" xfId="0" applyFont="1" applyBorder="1" applyAlignment="1" applyProtection="1">
      <alignment horizontal="center"/>
    </xf>
    <xf numFmtId="0" fontId="19" fillId="6" borderId="12" xfId="0" applyFont="1" applyFill="1" applyBorder="1" applyAlignment="1" applyProtection="1">
      <alignment horizontal="left" vertical="top" wrapText="1"/>
      <protection locked="0"/>
    </xf>
    <xf numFmtId="0" fontId="19" fillId="6" borderId="111" xfId="0" applyFont="1" applyFill="1" applyBorder="1" applyAlignment="1" applyProtection="1">
      <alignment horizontal="left" vertical="top" wrapText="1"/>
      <protection locked="0"/>
    </xf>
    <xf numFmtId="0" fontId="19" fillId="6" borderId="13" xfId="0" applyFont="1" applyFill="1" applyBorder="1" applyAlignment="1" applyProtection="1">
      <alignment horizontal="left" vertical="top" wrapText="1"/>
      <protection locked="0"/>
    </xf>
    <xf numFmtId="0" fontId="19" fillId="6" borderId="10" xfId="0" applyFont="1" applyFill="1" applyBorder="1" applyAlignment="1" applyProtection="1">
      <alignment horizontal="left" vertical="top" wrapText="1"/>
      <protection locked="0"/>
    </xf>
    <xf numFmtId="0" fontId="19" fillId="6" borderId="0" xfId="0" applyFont="1" applyFill="1" applyBorder="1" applyAlignment="1" applyProtection="1">
      <alignment horizontal="left" vertical="top" wrapText="1"/>
      <protection locked="0"/>
    </xf>
    <xf numFmtId="0" fontId="19" fillId="6" borderId="17" xfId="0" applyFont="1" applyFill="1" applyBorder="1" applyAlignment="1" applyProtection="1">
      <alignment horizontal="left" vertical="top" wrapText="1"/>
      <protection locked="0"/>
    </xf>
    <xf numFmtId="0" fontId="19" fillId="6" borderId="24" xfId="0" applyFont="1" applyFill="1" applyBorder="1" applyAlignment="1" applyProtection="1">
      <alignment horizontal="left" vertical="top" wrapText="1"/>
      <protection locked="0"/>
    </xf>
    <xf numFmtId="0" fontId="19" fillId="6" borderId="114" xfId="0" applyFont="1" applyFill="1" applyBorder="1" applyAlignment="1" applyProtection="1">
      <alignment horizontal="left" vertical="top" wrapText="1"/>
      <protection locked="0"/>
    </xf>
    <xf numFmtId="0" fontId="19" fillId="6" borderId="25" xfId="0" applyFont="1" applyFill="1" applyBorder="1" applyAlignment="1" applyProtection="1">
      <alignment horizontal="left" vertical="top" wrapText="1"/>
      <protection locked="0"/>
    </xf>
    <xf numFmtId="0" fontId="19" fillId="6" borderId="12" xfId="0" applyFont="1" applyFill="1" applyBorder="1" applyAlignment="1" applyProtection="1">
      <alignment vertical="top" wrapText="1"/>
      <protection locked="0"/>
    </xf>
    <xf numFmtId="0" fontId="19" fillId="6" borderId="111" xfId="0" applyFont="1" applyFill="1" applyBorder="1" applyAlignment="1" applyProtection="1">
      <alignment vertical="top" wrapText="1"/>
      <protection locked="0"/>
    </xf>
    <xf numFmtId="0" fontId="19" fillId="6" borderId="13" xfId="0" applyFont="1" applyFill="1" applyBorder="1" applyAlignment="1" applyProtection="1">
      <alignment vertical="top" wrapText="1"/>
      <protection locked="0"/>
    </xf>
    <xf numFmtId="0" fontId="19" fillId="6" borderId="10" xfId="0" applyFont="1" applyFill="1" applyBorder="1" applyAlignment="1" applyProtection="1">
      <alignment vertical="top" wrapText="1"/>
      <protection locked="0"/>
    </xf>
    <xf numFmtId="0" fontId="19" fillId="6" borderId="0" xfId="0" applyFont="1" applyFill="1" applyBorder="1" applyAlignment="1" applyProtection="1">
      <alignment vertical="top" wrapText="1"/>
      <protection locked="0"/>
    </xf>
    <xf numFmtId="0" fontId="19" fillId="6" borderId="17" xfId="0" applyFont="1" applyFill="1" applyBorder="1" applyAlignment="1" applyProtection="1">
      <alignment vertical="top" wrapText="1"/>
      <protection locked="0"/>
    </xf>
    <xf numFmtId="0" fontId="19" fillId="6" borderId="24" xfId="0" applyFont="1" applyFill="1" applyBorder="1" applyAlignment="1" applyProtection="1">
      <alignment vertical="top" wrapText="1"/>
      <protection locked="0"/>
    </xf>
    <xf numFmtId="0" fontId="19" fillId="6" borderId="114" xfId="0" applyFont="1" applyFill="1" applyBorder="1" applyAlignment="1" applyProtection="1">
      <alignment vertical="top" wrapText="1"/>
      <protection locked="0"/>
    </xf>
    <xf numFmtId="0" fontId="19" fillId="6" borderId="25" xfId="0" applyFont="1" applyFill="1" applyBorder="1" applyAlignment="1" applyProtection="1">
      <alignment vertical="top" wrapText="1"/>
      <protection locked="0"/>
    </xf>
    <xf numFmtId="0" fontId="19" fillId="6" borderId="12" xfId="0" applyFont="1" applyFill="1" applyBorder="1" applyAlignment="1" applyProtection="1">
      <alignment vertical="top" wrapText="1"/>
    </xf>
    <xf numFmtId="0" fontId="19" fillId="6" borderId="111" xfId="0" applyFont="1" applyFill="1" applyBorder="1" applyAlignment="1" applyProtection="1">
      <alignment vertical="top" wrapText="1"/>
    </xf>
    <xf numFmtId="0" fontId="19" fillId="6" borderId="13" xfId="0" applyFont="1" applyFill="1" applyBorder="1" applyAlignment="1" applyProtection="1">
      <alignment vertical="top" wrapText="1"/>
    </xf>
    <xf numFmtId="0" fontId="19" fillId="6" borderId="10" xfId="0" applyFont="1" applyFill="1" applyBorder="1" applyAlignment="1" applyProtection="1">
      <alignment vertical="top" wrapText="1"/>
    </xf>
    <xf numFmtId="0" fontId="19" fillId="6" borderId="0" xfId="0" applyFont="1" applyFill="1" applyBorder="1" applyAlignment="1" applyProtection="1">
      <alignment vertical="top" wrapText="1"/>
    </xf>
    <xf numFmtId="0" fontId="19" fillId="6" borderId="17" xfId="0" applyFont="1" applyFill="1" applyBorder="1" applyAlignment="1" applyProtection="1">
      <alignment vertical="top" wrapText="1"/>
    </xf>
    <xf numFmtId="0" fontId="19" fillId="6" borderId="24" xfId="0" applyFont="1" applyFill="1" applyBorder="1" applyAlignment="1" applyProtection="1">
      <alignment vertical="top" wrapText="1"/>
    </xf>
    <xf numFmtId="0" fontId="19" fillId="6" borderId="114" xfId="0" applyFont="1" applyFill="1" applyBorder="1" applyAlignment="1" applyProtection="1">
      <alignment vertical="top" wrapText="1"/>
    </xf>
    <xf numFmtId="0" fontId="19" fillId="6" borderId="25" xfId="0" applyFont="1" applyFill="1" applyBorder="1" applyAlignment="1" applyProtection="1">
      <alignment vertical="top" wrapText="1"/>
    </xf>
    <xf numFmtId="0" fontId="78" fillId="0" borderId="161" xfId="0" applyFont="1" applyBorder="1" applyAlignment="1" applyProtection="1">
      <alignment horizontal="center"/>
    </xf>
    <xf numFmtId="0" fontId="78" fillId="0" borderId="170" xfId="0" applyFont="1" applyBorder="1" applyAlignment="1" applyProtection="1">
      <alignment horizontal="center"/>
    </xf>
    <xf numFmtId="167" fontId="19" fillId="14" borderId="26" xfId="0" applyNumberFormat="1" applyFont="1" applyFill="1" applyBorder="1" applyAlignment="1" applyProtection="1">
      <alignment horizontal="center"/>
      <protection locked="0" hidden="1"/>
    </xf>
    <xf numFmtId="167" fontId="19" fillId="14" borderId="28" xfId="0" applyNumberFormat="1" applyFont="1" applyFill="1" applyBorder="1" applyAlignment="1" applyProtection="1">
      <alignment horizontal="center"/>
      <protection locked="0" hidden="1"/>
    </xf>
    <xf numFmtId="167" fontId="24" fillId="14" borderId="26" xfId="0" applyNumberFormat="1" applyFont="1" applyFill="1" applyBorder="1" applyAlignment="1" applyProtection="1">
      <alignment horizontal="center"/>
    </xf>
    <xf numFmtId="167" fontId="24" fillId="14" borderId="28" xfId="0" applyNumberFormat="1" applyFont="1" applyFill="1" applyBorder="1" applyAlignment="1" applyProtection="1">
      <alignment horizontal="center"/>
    </xf>
    <xf numFmtId="167" fontId="24" fillId="14" borderId="26" xfId="0" applyNumberFormat="1" applyFont="1" applyFill="1" applyBorder="1" applyAlignment="1" applyProtection="1">
      <alignment horizontal="center"/>
      <protection hidden="1"/>
    </xf>
    <xf numFmtId="167" fontId="24" fillId="14" borderId="28" xfId="0" applyNumberFormat="1" applyFont="1" applyFill="1" applyBorder="1" applyAlignment="1" applyProtection="1">
      <alignment horizontal="center"/>
      <protection hidden="1"/>
    </xf>
    <xf numFmtId="0" fontId="19" fillId="12" borderId="123" xfId="0" applyFont="1" applyFill="1" applyBorder="1" applyAlignment="1" applyProtection="1">
      <alignment horizontal="left"/>
    </xf>
    <xf numFmtId="167" fontId="19" fillId="14" borderId="34" xfId="0" applyNumberFormat="1" applyFont="1" applyFill="1" applyBorder="1" applyProtection="1">
      <protection hidden="1"/>
    </xf>
    <xf numFmtId="0" fontId="19" fillId="14" borderId="34" xfId="0" applyFont="1" applyFill="1" applyBorder="1" applyProtection="1">
      <protection hidden="1"/>
    </xf>
    <xf numFmtId="0" fontId="87" fillId="12" borderId="196" xfId="0" applyFont="1" applyFill="1" applyBorder="1" applyAlignment="1">
      <alignment horizontal="center" vertical="top"/>
    </xf>
    <xf numFmtId="0" fontId="48" fillId="12" borderId="197" xfId="0" applyFont="1" applyFill="1" applyBorder="1" applyAlignment="1">
      <alignment horizontal="center" vertical="top"/>
    </xf>
    <xf numFmtId="0" fontId="87" fillId="12" borderId="196" xfId="0" applyFont="1" applyFill="1" applyBorder="1" applyAlignment="1">
      <alignment horizontal="center" vertical="center" wrapText="1"/>
    </xf>
    <xf numFmtId="0" fontId="87" fillId="12" borderId="197" xfId="0" applyFont="1" applyFill="1" applyBorder="1" applyAlignment="1">
      <alignment horizontal="center" vertical="center" wrapText="1"/>
    </xf>
    <xf numFmtId="0" fontId="87" fillId="12" borderId="196" xfId="0" applyFont="1" applyFill="1" applyBorder="1" applyAlignment="1">
      <alignment horizontal="center" vertical="top" wrapText="1"/>
    </xf>
    <xf numFmtId="0" fontId="87" fillId="12" borderId="197" xfId="0" applyFont="1" applyFill="1" applyBorder="1" applyAlignment="1">
      <alignment horizontal="center" vertical="top" wrapText="1"/>
    </xf>
    <xf numFmtId="0" fontId="43" fillId="12" borderId="196" xfId="0" applyFont="1" applyFill="1" applyBorder="1" applyAlignment="1">
      <alignment horizontal="center" vertical="top" wrapText="1"/>
    </xf>
    <xf numFmtId="0" fontId="43" fillId="12" borderId="198" xfId="0" applyFont="1" applyFill="1" applyBorder="1" applyAlignment="1">
      <alignment horizontal="center" vertical="top" wrapText="1"/>
    </xf>
    <xf numFmtId="0" fontId="43" fillId="21" borderId="200" xfId="0" applyFont="1" applyFill="1" applyBorder="1" applyAlignment="1" applyProtection="1">
      <alignment horizontal="left" vertical="top"/>
      <protection locked="0"/>
    </xf>
    <xf numFmtId="0" fontId="0" fillId="21" borderId="200" xfId="0" applyFill="1" applyBorder="1" applyAlignment="1" applyProtection="1">
      <alignment horizontal="left" vertical="top"/>
      <protection locked="0"/>
    </xf>
    <xf numFmtId="0" fontId="0" fillId="21" borderId="0" xfId="0" applyFill="1" applyAlignment="1" applyProtection="1">
      <alignment horizontal="left" vertical="top"/>
      <protection locked="0"/>
    </xf>
    <xf numFmtId="0" fontId="5" fillId="15" borderId="147" xfId="0" applyFont="1" applyFill="1" applyBorder="1" applyAlignment="1">
      <alignment horizontal="left"/>
    </xf>
    <xf numFmtId="0" fontId="5" fillId="0" borderId="149" xfId="0" applyFont="1" applyBorder="1" applyAlignment="1">
      <alignment horizontal="left"/>
    </xf>
    <xf numFmtId="0" fontId="0" fillId="0" borderId="0" xfId="0" applyAlignment="1">
      <alignment horizontal="center"/>
    </xf>
    <xf numFmtId="0" fontId="0" fillId="0" borderId="0" xfId="0" applyAlignment="1"/>
    <xf numFmtId="168" fontId="21" fillId="14" borderId="93" xfId="0" applyNumberFormat="1" applyFont="1" applyFill="1" applyBorder="1" applyAlignment="1">
      <alignment horizontal="center"/>
    </xf>
    <xf numFmtId="168" fontId="21" fillId="14" borderId="98" xfId="0" applyNumberFormat="1" applyFont="1" applyFill="1" applyBorder="1" applyAlignment="1">
      <alignment horizontal="center"/>
    </xf>
    <xf numFmtId="168" fontId="30" fillId="14" borderId="93" xfId="0" applyNumberFormat="1" applyFont="1" applyFill="1" applyBorder="1" applyAlignment="1">
      <alignment horizontal="center"/>
    </xf>
    <xf numFmtId="168" fontId="30" fillId="14" borderId="98" xfId="0" applyNumberFormat="1" applyFont="1" applyFill="1" applyBorder="1" applyAlignment="1">
      <alignment horizontal="center"/>
    </xf>
    <xf numFmtId="0" fontId="0" fillId="0" borderId="104" xfId="0" applyBorder="1" applyAlignment="1">
      <alignment horizontal="center"/>
    </xf>
    <xf numFmtId="0" fontId="0" fillId="0" borderId="109" xfId="0" applyBorder="1" applyAlignment="1">
      <alignment horizontal="center"/>
    </xf>
    <xf numFmtId="0" fontId="6" fillId="6" borderId="177" xfId="0" applyFont="1" applyFill="1" applyBorder="1" applyAlignment="1" applyProtection="1">
      <alignment horizontal="left" vertical="top" wrapText="1"/>
      <protection locked="0"/>
    </xf>
    <xf numFmtId="0" fontId="6" fillId="6" borderId="52" xfId="0" applyFont="1" applyFill="1" applyBorder="1" applyAlignment="1" applyProtection="1">
      <alignment horizontal="left" vertical="top" wrapText="1"/>
      <protection locked="0"/>
    </xf>
    <xf numFmtId="0" fontId="6" fillId="6" borderId="178" xfId="0" applyFont="1" applyFill="1" applyBorder="1" applyAlignment="1" applyProtection="1">
      <alignment horizontal="left" vertical="top" wrapText="1"/>
      <protection locked="0"/>
    </xf>
    <xf numFmtId="0" fontId="6" fillId="6" borderId="44"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179" xfId="0" applyFont="1" applyFill="1" applyBorder="1" applyAlignment="1" applyProtection="1">
      <alignment horizontal="left" vertical="top" wrapText="1"/>
      <protection locked="0"/>
    </xf>
    <xf numFmtId="0" fontId="6" fillId="6" borderId="166" xfId="0" applyFont="1" applyFill="1" applyBorder="1" applyAlignment="1" applyProtection="1">
      <alignment horizontal="left" vertical="top" wrapText="1"/>
      <protection locked="0"/>
    </xf>
    <xf numFmtId="0" fontId="6" fillId="6" borderId="114" xfId="0" applyFont="1" applyFill="1" applyBorder="1" applyAlignment="1" applyProtection="1">
      <alignment horizontal="left" vertical="top" wrapText="1"/>
      <protection locked="0"/>
    </xf>
    <xf numFmtId="0" fontId="6" fillId="6" borderId="167" xfId="0" applyFont="1" applyFill="1" applyBorder="1" applyAlignment="1" applyProtection="1">
      <alignment horizontal="left" vertical="top" wrapText="1"/>
      <protection locked="0"/>
    </xf>
    <xf numFmtId="0" fontId="9" fillId="12" borderId="93" xfId="0" applyFont="1" applyFill="1" applyBorder="1" applyAlignment="1">
      <alignment horizontal="center" wrapText="1"/>
    </xf>
    <xf numFmtId="0" fontId="9" fillId="12" borderId="98" xfId="0" applyFont="1" applyFill="1" applyBorder="1" applyAlignment="1">
      <alignment horizontal="center" wrapText="1"/>
    </xf>
    <xf numFmtId="0" fontId="9" fillId="12" borderId="103" xfId="0" applyFont="1" applyFill="1" applyBorder="1" applyAlignment="1">
      <alignment horizontal="center"/>
    </xf>
    <xf numFmtId="0" fontId="9" fillId="12" borderId="104" xfId="0" applyFont="1" applyFill="1" applyBorder="1" applyAlignment="1">
      <alignment horizontal="center"/>
    </xf>
    <xf numFmtId="0" fontId="6" fillId="12" borderId="107" xfId="0" applyFont="1" applyFill="1" applyBorder="1" applyAlignment="1">
      <alignment horizontal="center"/>
    </xf>
    <xf numFmtId="0" fontId="9" fillId="12" borderId="107" xfId="0" applyFont="1" applyFill="1" applyBorder="1" applyAlignment="1">
      <alignment horizontal="center"/>
    </xf>
    <xf numFmtId="0" fontId="9" fillId="12" borderId="92" xfId="0" applyFont="1" applyFill="1" applyBorder="1" applyAlignment="1">
      <alignment horizontal="center"/>
    </xf>
    <xf numFmtId="0" fontId="9" fillId="12" borderId="42" xfId="0" applyFont="1" applyFill="1" applyBorder="1" applyAlignment="1" applyProtection="1">
      <alignment horizontal="left"/>
    </xf>
    <xf numFmtId="0" fontId="9" fillId="12" borderId="27" xfId="0" applyFont="1" applyFill="1" applyBorder="1" applyAlignment="1" applyProtection="1">
      <alignment horizontal="left"/>
    </xf>
    <xf numFmtId="0" fontId="9" fillId="12" borderId="43" xfId="0" applyFont="1" applyFill="1" applyBorder="1" applyAlignment="1" applyProtection="1">
      <alignment horizontal="left"/>
    </xf>
    <xf numFmtId="0" fontId="9" fillId="12" borderId="183" xfId="0" applyFont="1" applyFill="1" applyBorder="1" applyAlignment="1" applyProtection="1">
      <alignment horizontal="left"/>
    </xf>
    <xf numFmtId="0" fontId="9" fillId="12" borderId="184" xfId="0" applyFont="1" applyFill="1" applyBorder="1" applyAlignment="1" applyProtection="1">
      <alignment horizontal="left"/>
    </xf>
    <xf numFmtId="0" fontId="9" fillId="12" borderId="185" xfId="0" applyFont="1" applyFill="1" applyBorder="1" applyAlignment="1" applyProtection="1">
      <alignment horizontal="left"/>
    </xf>
    <xf numFmtId="0" fontId="9" fillId="12" borderId="121" xfId="0" applyFont="1" applyFill="1" applyBorder="1" applyAlignment="1" applyProtection="1">
      <alignment horizontal="left"/>
    </xf>
    <xf numFmtId="0" fontId="9" fillId="12" borderId="1" xfId="0" applyFont="1" applyFill="1" applyBorder="1" applyAlignment="1" applyProtection="1">
      <alignment horizontal="left"/>
    </xf>
    <xf numFmtId="0" fontId="9" fillId="12" borderId="106" xfId="0" applyFont="1" applyFill="1" applyBorder="1" applyAlignment="1" applyProtection="1">
      <alignment horizontal="left"/>
    </xf>
    <xf numFmtId="0" fontId="9" fillId="6" borderId="42" xfId="0" applyFont="1" applyFill="1" applyBorder="1" applyAlignment="1" applyProtection="1">
      <alignment horizontal="left"/>
      <protection locked="0"/>
    </xf>
    <xf numFmtId="0" fontId="9" fillId="6" borderId="27" xfId="0" applyFont="1" applyFill="1" applyBorder="1" applyAlignment="1" applyProtection="1">
      <alignment horizontal="left"/>
      <protection locked="0"/>
    </xf>
    <xf numFmtId="0" fontId="9" fillId="6" borderId="43" xfId="0" applyFont="1" applyFill="1" applyBorder="1" applyAlignment="1" applyProtection="1">
      <alignment horizontal="left"/>
      <protection locked="0"/>
    </xf>
    <xf numFmtId="0" fontId="9" fillId="6" borderId="180" xfId="0" applyFont="1" applyFill="1" applyBorder="1" applyAlignment="1" applyProtection="1">
      <alignment horizontal="left"/>
      <protection locked="0"/>
    </xf>
    <xf numFmtId="0" fontId="9" fillId="6" borderId="181" xfId="0" applyFont="1" applyFill="1" applyBorder="1" applyAlignment="1" applyProtection="1">
      <alignment horizontal="left"/>
      <protection locked="0"/>
    </xf>
    <xf numFmtId="0" fontId="9" fillId="6" borderId="182" xfId="0" applyFont="1" applyFill="1" applyBorder="1" applyAlignment="1" applyProtection="1">
      <alignment horizontal="left"/>
      <protection locked="0"/>
    </xf>
    <xf numFmtId="0" fontId="21" fillId="12" borderId="24" xfId="16" applyFont="1" applyFill="1" applyBorder="1" applyAlignment="1" applyProtection="1">
      <alignment horizontal="left"/>
    </xf>
    <xf numFmtId="0" fontId="21" fillId="12" borderId="114" xfId="16" applyFont="1" applyFill="1" applyBorder="1" applyAlignment="1" applyProtection="1">
      <alignment horizontal="left"/>
    </xf>
    <xf numFmtId="0" fontId="21" fillId="12" borderId="25" xfId="16" applyFont="1" applyFill="1" applyBorder="1" applyAlignment="1" applyProtection="1">
      <alignment horizontal="left"/>
    </xf>
    <xf numFmtId="0" fontId="9" fillId="12" borderId="51" xfId="0" applyFont="1" applyFill="1" applyBorder="1" applyAlignment="1" applyProtection="1">
      <alignment horizontal="left"/>
    </xf>
    <xf numFmtId="0" fontId="9" fillId="12" borderId="52" xfId="0" applyFont="1" applyFill="1" applyBorder="1" applyAlignment="1" applyProtection="1">
      <alignment horizontal="left"/>
    </xf>
    <xf numFmtId="0" fontId="9" fillId="12" borderId="57" xfId="0" applyFont="1" applyFill="1" applyBorder="1" applyAlignment="1" applyProtection="1">
      <alignment horizontal="left"/>
    </xf>
    <xf numFmtId="0" fontId="6" fillId="6" borderId="42" xfId="0" applyFont="1" applyFill="1" applyBorder="1" applyAlignment="1" applyProtection="1">
      <alignment horizontal="left"/>
      <protection locked="0"/>
    </xf>
    <xf numFmtId="0" fontId="21" fillId="12" borderId="112" xfId="0" applyFont="1" applyFill="1" applyBorder="1" applyAlignment="1" applyProtection="1">
      <alignment horizontal="left"/>
      <protection locked="0"/>
    </xf>
    <xf numFmtId="0" fontId="21" fillId="12" borderId="113" xfId="0" applyFont="1" applyFill="1" applyBorder="1" applyAlignment="1" applyProtection="1">
      <alignment horizontal="left"/>
      <protection locked="0"/>
    </xf>
    <xf numFmtId="0" fontId="21" fillId="12" borderId="105" xfId="0" applyFont="1" applyFill="1" applyBorder="1" applyAlignment="1" applyProtection="1">
      <alignment horizontal="left"/>
      <protection locked="0"/>
    </xf>
    <xf numFmtId="0" fontId="9" fillId="6" borderId="112" xfId="0" applyFont="1" applyFill="1" applyBorder="1" applyAlignment="1" applyProtection="1">
      <alignment horizontal="left"/>
      <protection locked="0"/>
    </xf>
    <xf numFmtId="0" fontId="9" fillId="6" borderId="113" xfId="0" applyFont="1" applyFill="1" applyBorder="1" applyAlignment="1" applyProtection="1">
      <alignment horizontal="left"/>
      <protection locked="0"/>
    </xf>
    <xf numFmtId="0" fontId="9" fillId="6" borderId="105" xfId="0" applyFont="1" applyFill="1" applyBorder="1" applyAlignment="1" applyProtection="1">
      <alignment horizontal="left"/>
      <protection locked="0"/>
    </xf>
    <xf numFmtId="0" fontId="6" fillId="12" borderId="113" xfId="16" applyFont="1" applyFill="1" applyBorder="1" applyProtection="1"/>
    <xf numFmtId="175" fontId="37" fillId="12" borderId="111" xfId="0" applyNumberFormat="1" applyFont="1" applyFill="1" applyBorder="1" applyAlignment="1" applyProtection="1">
      <alignment horizontal="center"/>
    </xf>
    <xf numFmtId="175" fontId="37" fillId="12" borderId="13" xfId="0" applyNumberFormat="1" applyFont="1" applyFill="1" applyBorder="1" applyAlignment="1" applyProtection="1">
      <alignment horizontal="center"/>
    </xf>
    <xf numFmtId="0" fontId="6" fillId="12" borderId="29" xfId="0" applyFont="1" applyFill="1" applyBorder="1" applyAlignment="1" applyProtection="1">
      <alignment horizontal="center"/>
    </xf>
    <xf numFmtId="0" fontId="6" fillId="12" borderId="26" xfId="0" applyFont="1" applyFill="1" applyBorder="1" applyAlignment="1" applyProtection="1">
      <alignment horizontal="center"/>
    </xf>
    <xf numFmtId="0" fontId="6" fillId="12" borderId="27" xfId="0" applyFont="1" applyFill="1" applyBorder="1" applyAlignment="1" applyProtection="1">
      <alignment horizontal="center"/>
    </xf>
    <xf numFmtId="0" fontId="6" fillId="12" borderId="28" xfId="0" applyFont="1" applyFill="1" applyBorder="1" applyAlignment="1" applyProtection="1">
      <alignment horizontal="center"/>
    </xf>
    <xf numFmtId="0" fontId="6" fillId="12" borderId="45" xfId="0" applyFont="1" applyFill="1" applyBorder="1" applyAlignment="1" applyProtection="1">
      <alignment horizontal="center"/>
    </xf>
    <xf numFmtId="6" fontId="22" fillId="0" borderId="29" xfId="0" applyNumberFormat="1" applyFont="1" applyBorder="1" applyAlignment="1" applyProtection="1">
      <alignment horizontal="center"/>
    </xf>
    <xf numFmtId="0" fontId="22" fillId="0" borderId="29" xfId="0" applyFont="1" applyBorder="1" applyAlignment="1" applyProtection="1">
      <alignment horizontal="center"/>
    </xf>
    <xf numFmtId="49" fontId="21" fillId="6" borderId="0" xfId="0" applyNumberFormat="1" applyFont="1" applyFill="1" applyBorder="1" applyAlignment="1" applyProtection="1">
      <alignment horizontal="left" vertical="top"/>
      <protection locked="0"/>
    </xf>
    <xf numFmtId="49" fontId="9" fillId="6" borderId="0" xfId="0" applyNumberFormat="1" applyFont="1" applyFill="1" applyBorder="1" applyAlignment="1" applyProtection="1">
      <alignment horizontal="left" vertical="top"/>
      <protection locked="0"/>
    </xf>
    <xf numFmtId="0" fontId="9" fillId="12" borderId="42" xfId="0" applyFont="1" applyFill="1" applyBorder="1" applyProtection="1">
      <protection locked="0"/>
    </xf>
    <xf numFmtId="0" fontId="9" fillId="12" borderId="43" xfId="0" applyFont="1" applyFill="1" applyBorder="1" applyProtection="1">
      <protection locked="0"/>
    </xf>
    <xf numFmtId="0" fontId="21" fillId="12" borderId="42" xfId="0" applyFont="1" applyFill="1" applyBorder="1" applyProtection="1"/>
    <xf numFmtId="0" fontId="21" fillId="12" borderId="43" xfId="0" applyFont="1" applyFill="1" applyBorder="1" applyProtection="1"/>
    <xf numFmtId="0" fontId="9" fillId="12" borderId="27" xfId="16" applyFont="1" applyFill="1" applyBorder="1"/>
    <xf numFmtId="0" fontId="9" fillId="12" borderId="43" xfId="16" applyFont="1" applyFill="1" applyBorder="1"/>
    <xf numFmtId="0" fontId="9" fillId="12" borderId="27" xfId="0" applyFont="1" applyFill="1" applyBorder="1" applyAlignment="1">
      <alignment horizontal="center"/>
    </xf>
    <xf numFmtId="0" fontId="9" fillId="12" borderId="43" xfId="0" applyFont="1" applyFill="1" applyBorder="1" applyAlignment="1">
      <alignment horizontal="center"/>
    </xf>
    <xf numFmtId="0" fontId="9" fillId="12" borderId="42" xfId="0" applyFont="1" applyFill="1" applyBorder="1" applyAlignment="1" applyProtection="1">
      <alignment horizontal="center"/>
    </xf>
    <xf numFmtId="0" fontId="9" fillId="12" borderId="43" xfId="0" applyFont="1" applyFill="1" applyBorder="1" applyAlignment="1" applyProtection="1">
      <alignment horizontal="center"/>
    </xf>
    <xf numFmtId="0" fontId="9" fillId="12" borderId="27" xfId="16" applyFont="1" applyFill="1" applyBorder="1" applyAlignment="1">
      <alignment horizontal="center"/>
    </xf>
    <xf numFmtId="0" fontId="9" fillId="12" borderId="43" xfId="16" applyFont="1" applyFill="1" applyBorder="1" applyAlignment="1">
      <alignment horizontal="center"/>
    </xf>
    <xf numFmtId="0" fontId="74" fillId="12" borderId="42" xfId="0" applyFont="1" applyFill="1" applyBorder="1" applyAlignment="1">
      <alignment horizontal="center"/>
    </xf>
    <xf numFmtId="0" fontId="74" fillId="12" borderId="27" xfId="0" applyFont="1" applyFill="1" applyBorder="1" applyAlignment="1">
      <alignment horizontal="center"/>
    </xf>
    <xf numFmtId="0" fontId="74" fillId="12" borderId="43" xfId="0" applyFont="1" applyFill="1" applyBorder="1" applyAlignment="1">
      <alignment horizontal="center"/>
    </xf>
    <xf numFmtId="175" fontId="72" fillId="12" borderId="0" xfId="0" applyNumberFormat="1" applyFont="1" applyFill="1" applyBorder="1" applyAlignment="1" applyProtection="1">
      <alignment horizontal="center"/>
    </xf>
    <xf numFmtId="0" fontId="24" fillId="12" borderId="119" xfId="0" applyFont="1" applyFill="1" applyBorder="1"/>
    <xf numFmtId="0" fontId="24" fillId="12" borderId="120" xfId="0" applyFont="1" applyFill="1" applyBorder="1"/>
    <xf numFmtId="0" fontId="24" fillId="12" borderId="186" xfId="0" applyFont="1" applyFill="1" applyBorder="1"/>
    <xf numFmtId="0" fontId="19" fillId="12" borderId="0" xfId="16" applyFont="1" applyFill="1" applyBorder="1" applyAlignment="1">
      <alignment horizontal="left"/>
    </xf>
    <xf numFmtId="0" fontId="7" fillId="0" borderId="0" xfId="0" applyFont="1" applyAlignment="1">
      <alignment horizontal="center" wrapText="1"/>
    </xf>
    <xf numFmtId="175" fontId="37" fillId="0" borderId="0" xfId="0" applyNumberFormat="1" applyFont="1" applyBorder="1" applyAlignment="1" applyProtection="1">
      <alignment horizontal="center" wrapText="1"/>
    </xf>
    <xf numFmtId="6" fontId="22" fillId="0" borderId="10" xfId="0" applyNumberFormat="1" applyFont="1" applyBorder="1" applyAlignment="1">
      <alignment horizontal="center"/>
    </xf>
    <xf numFmtId="6" fontId="22" fillId="0" borderId="17" xfId="0" applyNumberFormat="1" applyFont="1" applyBorder="1" applyAlignment="1">
      <alignment horizontal="center"/>
    </xf>
    <xf numFmtId="40" fontId="22" fillId="0" borderId="10" xfId="0" applyNumberFormat="1" applyFont="1" applyBorder="1" applyAlignment="1">
      <alignment horizontal="center"/>
    </xf>
    <xf numFmtId="40" fontId="22" fillId="0" borderId="17" xfId="0" applyNumberFormat="1" applyFont="1" applyBorder="1" applyAlignment="1">
      <alignment horizontal="center"/>
    </xf>
    <xf numFmtId="9" fontId="22" fillId="0" borderId="10" xfId="0" applyNumberFormat="1" applyFont="1" applyBorder="1" applyAlignment="1">
      <alignment horizontal="center"/>
    </xf>
    <xf numFmtId="9" fontId="22" fillId="0" borderId="17" xfId="0" applyNumberFormat="1" applyFont="1" applyBorder="1" applyAlignment="1">
      <alignment horizontal="center"/>
    </xf>
    <xf numFmtId="38" fontId="22" fillId="0" borderId="10" xfId="0" applyNumberFormat="1" applyFont="1" applyBorder="1" applyAlignment="1">
      <alignment horizontal="center"/>
    </xf>
    <xf numFmtId="38" fontId="22" fillId="0" borderId="17" xfId="0" applyNumberFormat="1" applyFont="1" applyBorder="1" applyAlignment="1">
      <alignment horizontal="center"/>
    </xf>
    <xf numFmtId="0" fontId="33" fillId="3" borderId="19" xfId="0" applyFont="1" applyFill="1" applyBorder="1" applyAlignment="1">
      <alignment horizontal="left" wrapText="1"/>
    </xf>
    <xf numFmtId="0" fontId="33" fillId="3" borderId="20" xfId="0" applyFont="1" applyFill="1" applyBorder="1" applyAlignment="1">
      <alignment horizontal="left" wrapText="1"/>
    </xf>
    <xf numFmtId="0" fontId="88" fillId="22" borderId="129" xfId="0" applyFont="1" applyFill="1" applyBorder="1" applyAlignment="1">
      <alignment vertical="center" wrapText="1"/>
    </xf>
    <xf numFmtId="0" fontId="88" fillId="22" borderId="83" xfId="0" applyFont="1" applyFill="1" applyBorder="1" applyAlignment="1">
      <alignment vertical="center" wrapText="1"/>
    </xf>
    <xf numFmtId="0" fontId="88" fillId="22" borderId="201" xfId="0" applyFont="1" applyFill="1" applyBorder="1" applyAlignment="1">
      <alignment vertical="center" wrapText="1"/>
    </xf>
    <xf numFmtId="0" fontId="13" fillId="12" borderId="26" xfId="0" applyFont="1" applyFill="1" applyBorder="1" applyProtection="1"/>
    <xf numFmtId="0" fontId="13" fillId="12" borderId="27" xfId="0" applyFont="1" applyFill="1" applyBorder="1" applyProtection="1"/>
    <xf numFmtId="0" fontId="13" fillId="12" borderId="28" xfId="0" applyFont="1" applyFill="1" applyBorder="1" applyProtection="1"/>
    <xf numFmtId="0" fontId="18" fillId="12" borderId="26" xfId="0" applyFont="1" applyFill="1" applyBorder="1" applyAlignment="1" applyProtection="1">
      <alignment horizontal="left"/>
    </xf>
    <xf numFmtId="0" fontId="18" fillId="12" borderId="27" xfId="0" applyFont="1" applyFill="1" applyBorder="1" applyAlignment="1" applyProtection="1">
      <alignment horizontal="left"/>
    </xf>
    <xf numFmtId="0" fontId="18" fillId="12" borderId="28" xfId="0" applyFont="1" applyFill="1" applyBorder="1" applyAlignment="1" applyProtection="1">
      <alignment horizontal="left"/>
    </xf>
    <xf numFmtId="0" fontId="18" fillId="12" borderId="26" xfId="0" applyFont="1" applyFill="1" applyBorder="1" applyProtection="1"/>
    <xf numFmtId="0" fontId="18" fillId="12" borderId="27" xfId="0" applyFont="1" applyFill="1" applyBorder="1" applyProtection="1"/>
    <xf numFmtId="0" fontId="18" fillId="12" borderId="28" xfId="0" applyFont="1" applyFill="1" applyBorder="1" applyProtection="1"/>
    <xf numFmtId="0" fontId="21" fillId="12" borderId="19" xfId="0" applyFont="1" applyFill="1" applyBorder="1" applyAlignment="1" applyProtection="1">
      <alignment horizontal="left"/>
    </xf>
    <xf numFmtId="0" fontId="21" fillId="12" borderId="123" xfId="0" applyFont="1" applyFill="1" applyBorder="1" applyAlignment="1" applyProtection="1">
      <alignment horizontal="left"/>
    </xf>
    <xf numFmtId="0" fontId="21" fillId="12" borderId="20" xfId="0" applyFont="1" applyFill="1" applyBorder="1" applyAlignment="1" applyProtection="1">
      <alignment horizontal="left"/>
    </xf>
    <xf numFmtId="0" fontId="9" fillId="12" borderId="204" xfId="0" applyFont="1" applyFill="1" applyBorder="1" applyAlignment="1" applyProtection="1">
      <alignment horizontal="center"/>
    </xf>
    <xf numFmtId="175" fontId="37" fillId="12" borderId="0" xfId="14" applyNumberFormat="1" applyFont="1" applyFill="1" applyBorder="1" applyAlignment="1" applyProtection="1">
      <alignment horizontal="center"/>
    </xf>
    <xf numFmtId="0" fontId="64" fillId="12" borderId="190" xfId="14" applyFont="1" applyFill="1" applyBorder="1" applyAlignment="1">
      <alignment vertical="top" wrapText="1"/>
    </xf>
    <xf numFmtId="0" fontId="64" fillId="12" borderId="168" xfId="14" applyFont="1" applyFill="1" applyBorder="1" applyAlignment="1">
      <alignment vertical="top" wrapText="1"/>
    </xf>
    <xf numFmtId="0" fontId="64" fillId="12" borderId="169" xfId="14" applyFont="1" applyFill="1" applyBorder="1" applyAlignment="1">
      <alignment vertical="top" wrapText="1"/>
    </xf>
    <xf numFmtId="0" fontId="44" fillId="12" borderId="42" xfId="14" applyFont="1" applyFill="1" applyBorder="1" applyAlignment="1">
      <alignment vertical="center" wrapText="1"/>
    </xf>
    <xf numFmtId="0" fontId="53" fillId="12" borderId="27" xfId="14" applyFont="1" applyFill="1" applyBorder="1" applyAlignment="1">
      <alignment vertical="center" wrapText="1"/>
    </xf>
    <xf numFmtId="0" fontId="54" fillId="12" borderId="42" xfId="14" applyFont="1" applyFill="1" applyBorder="1" applyAlignment="1">
      <alignment vertical="center" wrapText="1"/>
    </xf>
    <xf numFmtId="0" fontId="54" fillId="12" borderId="27" xfId="14" applyFont="1" applyFill="1" applyBorder="1" applyAlignment="1">
      <alignment vertical="center" wrapText="1"/>
    </xf>
    <xf numFmtId="0" fontId="54" fillId="12" borderId="28" xfId="14" applyFont="1" applyFill="1" applyBorder="1" applyAlignment="1">
      <alignment vertical="center" wrapText="1"/>
    </xf>
    <xf numFmtId="0" fontId="53" fillId="12" borderId="42" xfId="14" applyFont="1" applyFill="1" applyBorder="1" applyAlignment="1">
      <alignment horizontal="justify"/>
    </xf>
    <xf numFmtId="0" fontId="53" fillId="12" borderId="27" xfId="14" applyFont="1" applyFill="1" applyBorder="1" applyAlignment="1">
      <alignment horizontal="justify"/>
    </xf>
    <xf numFmtId="0" fontId="83" fillId="12" borderId="27" xfId="14" applyFill="1" applyBorder="1" applyAlignment="1">
      <alignment vertical="center" wrapText="1"/>
    </xf>
    <xf numFmtId="0" fontId="53" fillId="12" borderId="42" xfId="14" applyFont="1" applyFill="1" applyBorder="1" applyAlignment="1">
      <alignment wrapText="1"/>
    </xf>
    <xf numFmtId="0" fontId="83" fillId="12" borderId="27" xfId="14" applyFill="1" applyBorder="1" applyAlignment="1">
      <alignment wrapText="1"/>
    </xf>
    <xf numFmtId="0" fontId="44" fillId="12" borderId="42" xfId="14" applyFont="1" applyFill="1" applyBorder="1" applyAlignment="1">
      <alignment wrapText="1"/>
    </xf>
    <xf numFmtId="0" fontId="54" fillId="12" borderId="42" xfId="14" applyFont="1" applyFill="1" applyBorder="1" applyAlignment="1">
      <alignment horizontal="justify"/>
    </xf>
    <xf numFmtId="0" fontId="54" fillId="12" borderId="27" xfId="14" applyFont="1" applyFill="1" applyBorder="1" applyAlignment="1">
      <alignment horizontal="justify"/>
    </xf>
    <xf numFmtId="0" fontId="54" fillId="12" borderId="27" xfId="14" applyFont="1" applyFill="1" applyBorder="1" applyAlignment="1">
      <alignment wrapText="1"/>
    </xf>
    <xf numFmtId="0" fontId="58" fillId="12" borderId="42" xfId="14" applyFont="1" applyFill="1" applyBorder="1" applyAlignment="1">
      <alignment horizontal="justify" vertical="center"/>
    </xf>
    <xf numFmtId="0" fontId="54" fillId="12" borderId="27" xfId="14" applyFont="1" applyFill="1" applyBorder="1" applyAlignment="1">
      <alignment horizontal="justify" vertical="center"/>
    </xf>
    <xf numFmtId="0" fontId="54" fillId="12" borderId="27" xfId="0" applyFont="1" applyFill="1" applyBorder="1" applyAlignment="1">
      <alignment vertical="center" wrapText="1"/>
    </xf>
    <xf numFmtId="0" fontId="54" fillId="12" borderId="28" xfId="0" applyFont="1" applyFill="1" applyBorder="1" applyAlignment="1">
      <alignment vertical="center" wrapText="1"/>
    </xf>
    <xf numFmtId="0" fontId="54" fillId="12" borderId="27" xfId="0" applyFont="1" applyFill="1" applyBorder="1" applyAlignment="1">
      <alignment vertical="center"/>
    </xf>
    <xf numFmtId="0" fontId="54" fillId="12" borderId="28" xfId="0" applyFont="1" applyFill="1" applyBorder="1" applyAlignment="1">
      <alignment vertical="center"/>
    </xf>
    <xf numFmtId="0" fontId="54" fillId="12" borderId="42" xfId="14" applyFont="1" applyFill="1" applyBorder="1" applyAlignment="1">
      <alignment horizontal="justify" vertical="center"/>
    </xf>
    <xf numFmtId="0" fontId="54" fillId="12" borderId="42" xfId="14" applyFont="1" applyFill="1" applyBorder="1" applyAlignment="1">
      <alignment wrapText="1"/>
    </xf>
    <xf numFmtId="0" fontId="53" fillId="12" borderId="27" xfId="14" applyFont="1" applyFill="1" applyBorder="1" applyAlignment="1">
      <alignment wrapText="1"/>
    </xf>
    <xf numFmtId="0" fontId="58" fillId="12" borderId="42" xfId="14" applyFont="1" applyFill="1" applyBorder="1" applyAlignment="1">
      <alignment vertical="center" wrapText="1"/>
    </xf>
    <xf numFmtId="0" fontId="53" fillId="12" borderId="42" xfId="14" applyFont="1" applyFill="1" applyBorder="1" applyAlignment="1">
      <alignment horizontal="justify" vertical="center" wrapText="1"/>
    </xf>
    <xf numFmtId="0" fontId="83" fillId="12" borderId="27" xfId="14" applyFill="1" applyBorder="1" applyAlignment="1">
      <alignment horizontal="justify" vertical="center" wrapText="1"/>
    </xf>
    <xf numFmtId="0" fontId="53" fillId="12" borderId="42" xfId="14" applyFont="1" applyFill="1" applyBorder="1" applyAlignment="1">
      <alignment horizontal="justify" vertical="center"/>
    </xf>
    <xf numFmtId="0" fontId="83" fillId="12" borderId="27" xfId="14" applyFill="1" applyBorder="1" applyAlignment="1">
      <alignment horizontal="justify" vertical="center"/>
    </xf>
    <xf numFmtId="0" fontId="44" fillId="12" borderId="42" xfId="14" applyFont="1" applyFill="1" applyBorder="1" applyAlignment="1">
      <alignment horizontal="justify"/>
    </xf>
    <xf numFmtId="0" fontId="0" fillId="14" borderId="52" xfId="0" applyFill="1" applyBorder="1" applyAlignment="1"/>
    <xf numFmtId="0" fontId="0" fillId="14" borderId="114" xfId="0" applyFill="1" applyBorder="1" applyAlignment="1"/>
    <xf numFmtId="0" fontId="0" fillId="14" borderId="57" xfId="0" applyFill="1" applyBorder="1"/>
    <xf numFmtId="0" fontId="0" fillId="14" borderId="25" xfId="0" applyFill="1" applyBorder="1"/>
    <xf numFmtId="0" fontId="45" fillId="12" borderId="52" xfId="0" applyFont="1" applyFill="1" applyBorder="1" applyAlignment="1">
      <alignment horizontal="right" wrapText="1"/>
    </xf>
    <xf numFmtId="0" fontId="45" fillId="12" borderId="114" xfId="0" applyFont="1" applyFill="1" applyBorder="1" applyAlignment="1">
      <alignment horizontal="right" wrapText="1"/>
    </xf>
    <xf numFmtId="0" fontId="53" fillId="12" borderId="42" xfId="14" applyFont="1" applyFill="1" applyBorder="1" applyAlignment="1">
      <alignment vertical="center" wrapText="1"/>
    </xf>
    <xf numFmtId="0" fontId="66" fillId="12" borderId="27" xfId="14" applyFont="1" applyFill="1" applyBorder="1" applyAlignment="1">
      <alignment vertical="center" wrapText="1"/>
    </xf>
    <xf numFmtId="0" fontId="54" fillId="12" borderId="28" xfId="0" applyFont="1" applyFill="1" applyBorder="1" applyAlignment="1">
      <alignment horizontal="justify"/>
    </xf>
    <xf numFmtId="0" fontId="54" fillId="12" borderId="29" xfId="0" applyFont="1" applyFill="1" applyBorder="1" applyAlignment="1">
      <alignment horizontal="justify"/>
    </xf>
    <xf numFmtId="0" fontId="0" fillId="12" borderId="26" xfId="0" applyFill="1" applyBorder="1" applyAlignment="1">
      <alignment horizontal="center"/>
    </xf>
    <xf numFmtId="0" fontId="0" fillId="12" borderId="43" xfId="0" applyFill="1" applyBorder="1" applyAlignment="1">
      <alignment horizontal="center"/>
    </xf>
    <xf numFmtId="0" fontId="53" fillId="12" borderId="112" xfId="14" applyFont="1" applyFill="1" applyBorder="1" applyAlignment="1">
      <alignment vertical="center" wrapText="1"/>
    </xf>
    <xf numFmtId="0" fontId="83" fillId="12" borderId="113" xfId="14" applyFill="1" applyBorder="1" applyAlignment="1">
      <alignment vertical="center" wrapText="1"/>
    </xf>
    <xf numFmtId="0" fontId="58" fillId="12" borderId="42" xfId="14" applyFont="1" applyFill="1" applyBorder="1" applyAlignment="1">
      <alignment vertical="center"/>
    </xf>
    <xf numFmtId="0" fontId="54" fillId="12" borderId="27" xfId="14" applyFont="1" applyFill="1" applyBorder="1" applyAlignment="1">
      <alignment vertical="center"/>
    </xf>
    <xf numFmtId="0" fontId="54" fillId="12" borderId="42" xfId="14" applyFont="1" applyFill="1" applyBorder="1" applyAlignment="1"/>
    <xf numFmtId="0" fontId="54" fillId="12" borderId="27" xfId="14" applyFont="1" applyFill="1" applyBorder="1" applyAlignment="1"/>
    <xf numFmtId="0" fontId="53" fillId="12" borderId="28" xfId="14" applyFont="1" applyFill="1" applyBorder="1" applyAlignment="1">
      <alignment wrapText="1"/>
    </xf>
    <xf numFmtId="0" fontId="54" fillId="12" borderId="42" xfId="0" applyFont="1" applyFill="1" applyBorder="1" applyAlignment="1">
      <alignment horizontal="justify" vertical="center"/>
    </xf>
    <xf numFmtId="0" fontId="0" fillId="12" borderId="27" xfId="0" applyFill="1" applyBorder="1" applyAlignment="1">
      <alignment horizontal="justify" vertical="center"/>
    </xf>
    <xf numFmtId="0" fontId="0" fillId="12" borderId="27" xfId="0" applyFill="1" applyBorder="1" applyAlignment="1">
      <alignment horizontal="center" wrapText="1"/>
    </xf>
    <xf numFmtId="0" fontId="0" fillId="12" borderId="43" xfId="0" applyFill="1" applyBorder="1" applyAlignment="1">
      <alignment horizontal="center" wrapText="1"/>
    </xf>
    <xf numFmtId="0" fontId="58" fillId="12" borderId="42" xfId="14" applyFont="1" applyFill="1" applyBorder="1" applyAlignment="1">
      <alignment wrapText="1"/>
    </xf>
    <xf numFmtId="0" fontId="0" fillId="12" borderId="27" xfId="0" applyFill="1" applyBorder="1" applyAlignment="1">
      <alignment wrapText="1"/>
    </xf>
    <xf numFmtId="0" fontId="44" fillId="12" borderId="42" xfId="0" applyFont="1" applyFill="1" applyBorder="1" applyAlignment="1">
      <alignment horizontal="justify" vertical="center" wrapText="1"/>
    </xf>
    <xf numFmtId="0" fontId="60" fillId="12" borderId="27" xfId="0" applyFont="1" applyFill="1" applyBorder="1" applyAlignment="1">
      <alignment horizontal="justify" vertical="center" wrapText="1"/>
    </xf>
    <xf numFmtId="0" fontId="54" fillId="12" borderId="42" xfId="0" applyFont="1" applyFill="1" applyBorder="1" applyAlignment="1">
      <alignment vertical="center" wrapText="1"/>
    </xf>
    <xf numFmtId="0" fontId="6" fillId="12" borderId="27" xfId="0" applyFont="1" applyFill="1" applyBorder="1" applyAlignment="1">
      <alignment vertical="center" wrapText="1"/>
    </xf>
    <xf numFmtId="0" fontId="6" fillId="12" borderId="28" xfId="0" applyFont="1" applyFill="1" applyBorder="1" applyAlignment="1">
      <alignment vertical="center" wrapText="1"/>
    </xf>
    <xf numFmtId="0" fontId="53" fillId="12" borderId="27" xfId="14" applyFont="1" applyFill="1" applyBorder="1" applyAlignment="1">
      <alignment horizontal="justify" vertical="center"/>
    </xf>
    <xf numFmtId="0" fontId="58" fillId="12" borderId="42" xfId="14" applyFont="1" applyFill="1" applyBorder="1" applyAlignment="1">
      <alignment horizontal="justify"/>
    </xf>
    <xf numFmtId="0" fontId="57" fillId="12" borderId="42" xfId="14" applyFont="1" applyFill="1" applyBorder="1" applyAlignment="1">
      <alignment horizontal="justify"/>
    </xf>
    <xf numFmtId="0" fontId="57" fillId="12" borderId="27" xfId="14" applyFont="1" applyFill="1" applyBorder="1" applyAlignment="1">
      <alignment horizontal="justify"/>
    </xf>
    <xf numFmtId="0" fontId="53" fillId="12" borderId="28" xfId="14" applyFont="1" applyFill="1" applyBorder="1" applyAlignment="1">
      <alignment horizontal="justify" vertical="center"/>
    </xf>
    <xf numFmtId="0" fontId="56" fillId="12" borderId="27" xfId="14" applyFont="1" applyFill="1" applyBorder="1" applyAlignment="1">
      <alignment horizontal="justify"/>
    </xf>
    <xf numFmtId="0" fontId="59" fillId="12" borderId="27" xfId="14" applyFont="1" applyFill="1" applyBorder="1" applyAlignment="1">
      <alignment horizontal="justify"/>
    </xf>
    <xf numFmtId="0" fontId="83" fillId="12" borderId="27" xfId="14" applyFill="1" applyBorder="1" applyAlignment="1">
      <alignment horizontal="justify"/>
    </xf>
    <xf numFmtId="0" fontId="53" fillId="12" borderId="43" xfId="14" applyFont="1" applyFill="1" applyBorder="1" applyAlignment="1">
      <alignment horizontal="justify" vertical="center"/>
    </xf>
    <xf numFmtId="14" fontId="0" fillId="12" borderId="205" xfId="0" applyNumberFormat="1" applyFill="1" applyBorder="1" applyAlignment="1">
      <alignment horizontal="center"/>
    </xf>
    <xf numFmtId="0" fontId="6" fillId="12" borderId="31" xfId="0" applyFont="1" applyFill="1" applyBorder="1" applyAlignment="1">
      <alignment horizontal="center" wrapText="1"/>
    </xf>
    <xf numFmtId="0" fontId="6" fillId="12" borderId="187" xfId="0" applyFont="1" applyFill="1" applyBorder="1" applyAlignment="1">
      <alignment horizontal="center" wrapText="1"/>
    </xf>
    <xf numFmtId="0" fontId="6" fillId="12" borderId="188" xfId="0" applyFont="1" applyFill="1" applyBorder="1" applyAlignment="1">
      <alignment horizontal="center" wrapText="1"/>
    </xf>
    <xf numFmtId="14" fontId="6" fillId="12" borderId="187" xfId="0" applyNumberFormat="1" applyFont="1" applyFill="1" applyBorder="1" applyAlignment="1">
      <alignment horizontal="center" wrapText="1"/>
    </xf>
    <xf numFmtId="14" fontId="6" fillId="12" borderId="188" xfId="0" applyNumberFormat="1" applyFont="1" applyFill="1" applyBorder="1" applyAlignment="1">
      <alignment horizontal="center" wrapText="1"/>
    </xf>
    <xf numFmtId="0" fontId="40" fillId="12" borderId="189" xfId="0" applyFont="1" applyFill="1" applyBorder="1" applyAlignment="1">
      <alignment horizontal="center" vertical="top" wrapText="1"/>
    </xf>
    <xf numFmtId="0" fontId="40" fillId="12" borderId="188" xfId="0" applyFont="1" applyFill="1" applyBorder="1" applyAlignment="1">
      <alignment horizontal="center" vertical="top" wrapText="1"/>
    </xf>
    <xf numFmtId="14" fontId="6" fillId="12" borderId="31" xfId="0" applyNumberFormat="1" applyFont="1" applyFill="1" applyBorder="1" applyAlignment="1">
      <alignment horizontal="center" wrapText="1"/>
    </xf>
    <xf numFmtId="0" fontId="9" fillId="5" borderId="0" xfId="0" applyFont="1" applyFill="1" applyAlignment="1" applyProtection="1">
      <alignment horizontal="left" vertical="top" wrapText="1"/>
    </xf>
    <xf numFmtId="0" fontId="6" fillId="5" borderId="0" xfId="0" applyFont="1" applyFill="1" applyAlignment="1" applyProtection="1">
      <alignment horizontal="left" vertical="top" wrapText="1"/>
    </xf>
    <xf numFmtId="0" fontId="6" fillId="5" borderId="0" xfId="0" applyFont="1" applyFill="1" applyAlignment="1" applyProtection="1">
      <alignment horizontal="left" wrapText="1"/>
    </xf>
    <xf numFmtId="0" fontId="9" fillId="5" borderId="0" xfId="0" applyFont="1" applyFill="1" applyAlignment="1" applyProtection="1">
      <alignment horizontal="left"/>
    </xf>
    <xf numFmtId="0" fontId="40" fillId="12" borderId="0" xfId="0" applyFont="1" applyFill="1" applyBorder="1" applyAlignment="1" applyProtection="1">
      <alignment horizontal="left" vertical="top"/>
    </xf>
    <xf numFmtId="0" fontId="40" fillId="12" borderId="17" xfId="0" applyFont="1" applyFill="1" applyBorder="1" applyAlignment="1" applyProtection="1">
      <alignment horizontal="left" vertical="top"/>
    </xf>
    <xf numFmtId="0" fontId="1" fillId="0" borderId="27" xfId="0" applyFont="1" applyBorder="1" applyAlignment="1">
      <alignment horizontal="center"/>
    </xf>
    <xf numFmtId="0" fontId="0" fillId="0" borderId="0" xfId="0" applyBorder="1" applyAlignment="1">
      <alignment horizontal="center"/>
    </xf>
    <xf numFmtId="0" fontId="5" fillId="11" borderId="0" xfId="0" applyFont="1" applyFill="1" applyAlignment="1">
      <alignment vertical="center" wrapText="1"/>
    </xf>
    <xf numFmtId="0" fontId="61" fillId="12" borderId="113" xfId="0" applyFont="1" applyFill="1" applyBorder="1" applyAlignment="1">
      <alignment vertical="center" wrapText="1"/>
    </xf>
    <xf numFmtId="0" fontId="61" fillId="12" borderId="105" xfId="0" applyFont="1" applyFill="1" applyBorder="1" applyAlignment="1">
      <alignment vertical="center" wrapText="1"/>
    </xf>
    <xf numFmtId="0" fontId="0" fillId="12" borderId="120" xfId="0" applyFill="1" applyBorder="1" applyAlignment="1">
      <alignment horizontal="center"/>
    </xf>
    <xf numFmtId="0" fontId="0" fillId="12" borderId="186" xfId="0" applyFill="1" applyBorder="1" applyAlignment="1">
      <alignment horizontal="center"/>
    </xf>
    <xf numFmtId="0" fontId="0" fillId="12" borderId="27" xfId="0" applyFill="1" applyBorder="1" applyAlignment="1">
      <alignment horizontal="center"/>
    </xf>
    <xf numFmtId="0" fontId="47" fillId="11" borderId="42" xfId="0" applyFont="1" applyFill="1" applyBorder="1" applyAlignment="1">
      <alignment horizontal="center"/>
    </xf>
    <xf numFmtId="0" fontId="47" fillId="11" borderId="27" xfId="0" applyFont="1" applyFill="1" applyBorder="1" applyAlignment="1">
      <alignment horizontal="center"/>
    </xf>
    <xf numFmtId="0" fontId="47" fillId="11" borderId="43" xfId="0" applyFont="1" applyFill="1" applyBorder="1" applyAlignment="1">
      <alignment horizontal="center"/>
    </xf>
    <xf numFmtId="0" fontId="43" fillId="12" borderId="42" xfId="0" applyFont="1" applyFill="1" applyBorder="1" applyAlignment="1">
      <alignment vertical="center" wrapText="1"/>
    </xf>
    <xf numFmtId="0" fontId="0" fillId="12" borderId="27" xfId="0" applyFill="1" applyBorder="1" applyAlignment="1">
      <alignment vertical="center" wrapText="1"/>
    </xf>
    <xf numFmtId="0" fontId="0" fillId="12" borderId="43" xfId="0" applyFill="1" applyBorder="1" applyAlignment="1">
      <alignment vertical="center" wrapText="1"/>
    </xf>
    <xf numFmtId="0" fontId="0" fillId="12" borderId="42" xfId="0" applyFill="1" applyBorder="1"/>
    <xf numFmtId="0" fontId="0" fillId="12" borderId="27" xfId="0" applyFill="1" applyBorder="1"/>
    <xf numFmtId="0" fontId="0" fillId="12" borderId="43" xfId="0" applyFill="1" applyBorder="1"/>
  </cellXfs>
  <cellStyles count="20">
    <cellStyle name="Comma 2" xfId="1" xr:uid="{00000000-0005-0000-0000-000000000000}"/>
    <cellStyle name="Currency 2" xfId="2" xr:uid="{00000000-0005-0000-0000-000001000000}"/>
    <cellStyle name="Currency 3" xfId="3" xr:uid="{00000000-0005-0000-0000-000002000000}"/>
    <cellStyle name="Dollar 00." xfId="4" xr:uid="{00000000-0005-0000-0000-000003000000}"/>
    <cellStyle name="Dollar 00. 2" xfId="5" xr:uid="{00000000-0005-0000-0000-000004000000}"/>
    <cellStyle name="Dollar 00. 3" xfId="6" xr:uid="{00000000-0005-0000-0000-000005000000}"/>
    <cellStyle name="General" xfId="7" xr:uid="{00000000-0005-0000-0000-000006000000}"/>
    <cellStyle name="HUD" xfId="8" xr:uid="{00000000-0005-0000-0000-000007000000}"/>
    <cellStyle name="Hyperlink" xfId="9" builtinId="8"/>
    <cellStyle name="NACC" xfId="10" xr:uid="{00000000-0005-0000-0000-000009000000}"/>
    <cellStyle name="Normal" xfId="0" builtinId="0"/>
    <cellStyle name="Normal 2" xfId="11" xr:uid="{00000000-0005-0000-0000-00000B000000}"/>
    <cellStyle name="Normal 3" xfId="12" xr:uid="{00000000-0005-0000-0000-00000C000000}"/>
    <cellStyle name="Normal 3 2" xfId="13" xr:uid="{00000000-0005-0000-0000-00000D000000}"/>
    <cellStyle name="Normal 4" xfId="14" xr:uid="{00000000-0005-0000-0000-00000E000000}"/>
    <cellStyle name="Normal_Cover" xfId="15" xr:uid="{00000000-0005-0000-0000-00000F000000}"/>
    <cellStyle name="Normal_sheet1_1" xfId="16" xr:uid="{00000000-0005-0000-0000-000010000000}"/>
    <cellStyle name="Percent 2" xfId="17" xr:uid="{00000000-0005-0000-0000-000011000000}"/>
    <cellStyle name="Percent 3" xfId="18" xr:uid="{00000000-0005-0000-0000-000012000000}"/>
    <cellStyle name="Shaded Line" xfId="19" xr:uid="{00000000-0005-0000-0000-000013000000}"/>
  </cellStyles>
  <dxfs count="0"/>
  <tableStyles count="0" defaultTableStyle="TableStyleMedium2" defaultPivotStyle="PivotStyleLight16"/>
  <colors>
    <mruColors>
      <color rgb="FFEFEBE1"/>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1</xdr:colOff>
      <xdr:row>10</xdr:row>
      <xdr:rowOff>47624</xdr:rowOff>
    </xdr:from>
    <xdr:to>
      <xdr:col>9</xdr:col>
      <xdr:colOff>28576</xdr:colOff>
      <xdr:row>45</xdr:row>
      <xdr:rowOff>161924</xdr:rowOff>
    </xdr:to>
    <xdr:sp macro="" textlink="" fLocksText="0">
      <xdr:nvSpPr>
        <xdr:cNvPr id="1660" name="Text Box 1">
          <a:extLst>
            <a:ext uri="{FF2B5EF4-FFF2-40B4-BE49-F238E27FC236}">
              <a16:creationId xmlns:a16="http://schemas.microsoft.com/office/drawing/2014/main" id="{00000000-0008-0000-0000-00007C060000}"/>
            </a:ext>
          </a:extLst>
        </xdr:cNvPr>
        <xdr:cNvSpPr txBox="1">
          <a:spLocks noChangeArrowheads="1"/>
        </xdr:cNvSpPr>
      </xdr:nvSpPr>
      <xdr:spPr bwMode="auto">
        <a:xfrm>
          <a:off x="1" y="3867149"/>
          <a:ext cx="6457950" cy="5781675"/>
        </a:xfrm>
        <a:prstGeom prst="rect">
          <a:avLst/>
        </a:prstGeom>
        <a:solidFill>
          <a:srgbClr val="CCFFCC"/>
        </a:solidFill>
        <a:ln w="9525">
          <a:solidFill>
            <a:srgbClr val="000000"/>
          </a:solidFill>
          <a:miter lim="800000"/>
          <a:headEnd/>
          <a:tailEnd/>
        </a:ln>
      </xdr:spPr>
      <xdr:txBody>
        <a:bodyPr/>
        <a:lstStyle/>
        <a:p>
          <a:endParaRPr lang="en-US"/>
        </a:p>
      </xdr:txBody>
    </xdr:sp>
    <xdr:clientData fLocksWithSheet="0"/>
  </xdr:twoCellAnchor>
</xdr:wsDr>
</file>

<file path=xl/drawings/drawing10.xml><?xml version="1.0" encoding="utf-8"?>
<xdr:wsDr xmlns:xdr="http://schemas.openxmlformats.org/drawingml/2006/spreadsheetDrawing" xmlns:a="http://schemas.openxmlformats.org/drawingml/2006/main">
  <xdr:twoCellAnchor>
    <xdr:from>
      <xdr:col>1</xdr:col>
      <xdr:colOff>104775</xdr:colOff>
      <xdr:row>52</xdr:row>
      <xdr:rowOff>47625</xdr:rowOff>
    </xdr:from>
    <xdr:to>
      <xdr:col>10</xdr:col>
      <xdr:colOff>485775</xdr:colOff>
      <xdr:row>57</xdr:row>
      <xdr:rowOff>19050</xdr:rowOff>
    </xdr:to>
    <xdr:sp macro="" textlink="" fLocksText="0">
      <xdr:nvSpPr>
        <xdr:cNvPr id="2" name="Text 19">
          <a:extLst>
            <a:ext uri="{FF2B5EF4-FFF2-40B4-BE49-F238E27FC236}">
              <a16:creationId xmlns:a16="http://schemas.microsoft.com/office/drawing/2014/main" id="{00000000-0008-0000-0E00-000002000000}"/>
            </a:ext>
          </a:extLst>
        </xdr:cNvPr>
        <xdr:cNvSpPr txBox="1">
          <a:spLocks noChangeArrowheads="1"/>
        </xdr:cNvSpPr>
      </xdr:nvSpPr>
      <xdr:spPr bwMode="auto">
        <a:xfrm>
          <a:off x="257175" y="8963025"/>
          <a:ext cx="6448425" cy="7810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3366FF"/>
              </a:solidFill>
              <a:latin typeface="Times New Roman"/>
              <a:cs typeface="Times New Roman"/>
            </a:rPr>
            <a:t>Pro Forma Comments: </a:t>
          </a:r>
          <a:endParaRPr lang="en-US" sz="800" b="0" i="0" u="none" strike="noStrike" baseline="0">
            <a:solidFill>
              <a:srgbClr val="0000FF"/>
            </a:solidFill>
            <a:latin typeface="Times New Roman"/>
            <a:cs typeface="Times New Roman"/>
          </a:endParaRPr>
        </a:p>
        <a:p>
          <a:pPr algn="l" rtl="0">
            <a:lnSpc>
              <a:spcPts val="1100"/>
            </a:lnSpc>
            <a:defRPr sz="1000"/>
          </a:pPr>
          <a:endParaRPr lang="en-US"/>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238125</xdr:colOff>
      <xdr:row>67</xdr:row>
      <xdr:rowOff>0</xdr:rowOff>
    </xdr:from>
    <xdr:to>
      <xdr:col>7</xdr:col>
      <xdr:colOff>0</xdr:colOff>
      <xdr:row>74</xdr:row>
      <xdr:rowOff>0</xdr:rowOff>
    </xdr:to>
    <xdr:sp macro="" textlink="" fLocksText="0">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238125" y="8153400"/>
          <a:ext cx="6429375" cy="113347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endParaRPr lang="en-US"/>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34</xdr:row>
      <xdr:rowOff>0</xdr:rowOff>
    </xdr:from>
    <xdr:to>
      <xdr:col>10</xdr:col>
      <xdr:colOff>9525</xdr:colOff>
      <xdr:row>42</xdr:row>
      <xdr:rowOff>0</xdr:rowOff>
    </xdr:to>
    <xdr:sp macro="" textlink="" fLocksText="0">
      <xdr:nvSpPr>
        <xdr:cNvPr id="18433" name="Text Box 1">
          <a:extLst>
            <a:ext uri="{FF2B5EF4-FFF2-40B4-BE49-F238E27FC236}">
              <a16:creationId xmlns:a16="http://schemas.microsoft.com/office/drawing/2014/main" id="{00000000-0008-0000-0300-000001480000}"/>
            </a:ext>
          </a:extLst>
        </xdr:cNvPr>
        <xdr:cNvSpPr txBox="1">
          <a:spLocks noChangeArrowheads="1"/>
        </xdr:cNvSpPr>
      </xdr:nvSpPr>
      <xdr:spPr bwMode="auto">
        <a:xfrm>
          <a:off x="228600" y="8667750"/>
          <a:ext cx="5143500" cy="1295400"/>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3366FF"/>
              </a:solidFill>
              <a:latin typeface="Times New Roman"/>
              <a:cs typeface="Times New Roman"/>
            </a:rPr>
            <a:t>Comments</a:t>
          </a:r>
          <a:endParaRPr lang="en-US"/>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18</xdr:row>
      <xdr:rowOff>9525</xdr:rowOff>
    </xdr:from>
    <xdr:to>
      <xdr:col>9</xdr:col>
      <xdr:colOff>9525</xdr:colOff>
      <xdr:row>29</xdr:row>
      <xdr:rowOff>133350</xdr:rowOff>
    </xdr:to>
    <xdr:sp macro="" textlink="" fLocksText="0">
      <xdr:nvSpPr>
        <xdr:cNvPr id="20481" name="Text Box 1">
          <a:extLst>
            <a:ext uri="{FF2B5EF4-FFF2-40B4-BE49-F238E27FC236}">
              <a16:creationId xmlns:a16="http://schemas.microsoft.com/office/drawing/2014/main" id="{00000000-0008-0000-0500-000001500000}"/>
            </a:ext>
          </a:extLst>
        </xdr:cNvPr>
        <xdr:cNvSpPr txBox="1">
          <a:spLocks noChangeArrowheads="1"/>
        </xdr:cNvSpPr>
      </xdr:nvSpPr>
      <xdr:spPr bwMode="auto">
        <a:xfrm>
          <a:off x="238125" y="3971925"/>
          <a:ext cx="4886325" cy="1905000"/>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3366FF"/>
              </a:solidFill>
              <a:latin typeface="Times New Roman"/>
              <a:cs typeface="Times New Roman"/>
            </a:rPr>
            <a:t>Comments </a:t>
          </a:r>
          <a:endParaRPr lang="en-US"/>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2</xdr:col>
      <xdr:colOff>19050</xdr:colOff>
      <xdr:row>0</xdr:row>
      <xdr:rowOff>0</xdr:rowOff>
    </xdr:from>
    <xdr:to>
      <xdr:col>8</xdr:col>
      <xdr:colOff>123825</xdr:colOff>
      <xdr:row>0</xdr:row>
      <xdr:rowOff>0</xdr:rowOff>
    </xdr:to>
    <xdr:sp macro="" textlink="" fLocksText="0">
      <xdr:nvSpPr>
        <xdr:cNvPr id="36096" name="Text Box 1">
          <a:extLst>
            <a:ext uri="{FF2B5EF4-FFF2-40B4-BE49-F238E27FC236}">
              <a16:creationId xmlns:a16="http://schemas.microsoft.com/office/drawing/2014/main" id="{00000000-0008-0000-0600-0000008D0000}"/>
            </a:ext>
          </a:extLst>
        </xdr:cNvPr>
        <xdr:cNvSpPr txBox="1">
          <a:spLocks noChangeArrowheads="1"/>
        </xdr:cNvSpPr>
      </xdr:nvSpPr>
      <xdr:spPr bwMode="auto">
        <a:xfrm>
          <a:off x="876300" y="0"/>
          <a:ext cx="3590925" cy="0"/>
        </a:xfrm>
        <a:prstGeom prst="rect">
          <a:avLst/>
        </a:prstGeom>
        <a:solidFill>
          <a:srgbClr val="FFFFFF"/>
        </a:solidFill>
        <a:ln w="9525">
          <a:solidFill>
            <a:srgbClr val="000000"/>
          </a:solidFill>
          <a:miter lim="800000"/>
          <a:headEnd/>
          <a:tailEnd/>
        </a:ln>
      </xdr:spPr>
    </xdr:sp>
    <xdr:clientData fLocksWithSheet="0"/>
  </xdr:twoCellAnchor>
  <xdr:twoCellAnchor>
    <xdr:from>
      <xdr:col>1</xdr:col>
      <xdr:colOff>0</xdr:colOff>
      <xdr:row>50</xdr:row>
      <xdr:rowOff>19050</xdr:rowOff>
    </xdr:from>
    <xdr:to>
      <xdr:col>12</xdr:col>
      <xdr:colOff>0</xdr:colOff>
      <xdr:row>66</xdr:row>
      <xdr:rowOff>38100</xdr:rowOff>
    </xdr:to>
    <xdr:sp macro="" textlink="" fLocksText="0">
      <xdr:nvSpPr>
        <xdr:cNvPr id="4098" name="Text 19">
          <a:extLst>
            <a:ext uri="{FF2B5EF4-FFF2-40B4-BE49-F238E27FC236}">
              <a16:creationId xmlns:a16="http://schemas.microsoft.com/office/drawing/2014/main" id="{00000000-0008-0000-0600-000002100000}"/>
            </a:ext>
          </a:extLst>
        </xdr:cNvPr>
        <xdr:cNvSpPr txBox="1">
          <a:spLocks noChangeArrowheads="1"/>
        </xdr:cNvSpPr>
      </xdr:nvSpPr>
      <xdr:spPr bwMode="auto">
        <a:xfrm>
          <a:off x="247650" y="9591675"/>
          <a:ext cx="6810375" cy="2609850"/>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3366FF"/>
              </a:solidFill>
              <a:latin typeface="Times New Roman"/>
              <a:cs typeface="Times New Roman"/>
            </a:rPr>
            <a:t>Income Comments:</a:t>
          </a:r>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64</xdr:row>
      <xdr:rowOff>76200</xdr:rowOff>
    </xdr:from>
    <xdr:to>
      <xdr:col>6</xdr:col>
      <xdr:colOff>9525</xdr:colOff>
      <xdr:row>79</xdr:row>
      <xdr:rowOff>76200</xdr:rowOff>
    </xdr:to>
    <xdr:sp macro="" textlink="" fLocksText="0">
      <xdr:nvSpPr>
        <xdr:cNvPr id="3" name="Text 19">
          <a:extLst>
            <a:ext uri="{FF2B5EF4-FFF2-40B4-BE49-F238E27FC236}">
              <a16:creationId xmlns:a16="http://schemas.microsoft.com/office/drawing/2014/main" id="{00000000-0008-0000-0900-000003000000}"/>
            </a:ext>
          </a:extLst>
        </xdr:cNvPr>
        <xdr:cNvSpPr txBox="1">
          <a:spLocks noChangeArrowheads="1"/>
        </xdr:cNvSpPr>
      </xdr:nvSpPr>
      <xdr:spPr bwMode="auto">
        <a:xfrm>
          <a:off x="257175" y="10668000"/>
          <a:ext cx="5915025" cy="242887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3366FF"/>
              </a:solidFill>
              <a:latin typeface="Times New Roman"/>
              <a:cs typeface="Times New Roman"/>
            </a:rPr>
            <a:t>Comments: </a:t>
          </a:r>
          <a:endParaRPr lang="en-US" sz="800" b="0" i="0" u="none" strike="noStrike" baseline="0">
            <a:solidFill>
              <a:srgbClr val="0000FF"/>
            </a:solidFill>
            <a:latin typeface="Times New Roman"/>
            <a:cs typeface="Times New Roman"/>
          </a:endParaRPr>
        </a:p>
        <a:p>
          <a:pPr algn="l" rtl="0">
            <a:lnSpc>
              <a:spcPts val="1100"/>
            </a:lnSpc>
            <a:defRPr sz="1000"/>
          </a:pPr>
          <a:endParaRPr lang="en-US"/>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2</xdr:col>
      <xdr:colOff>9525</xdr:colOff>
      <xdr:row>0</xdr:row>
      <xdr:rowOff>0</xdr:rowOff>
    </xdr:from>
    <xdr:to>
      <xdr:col>8</xdr:col>
      <xdr:colOff>114300</xdr:colOff>
      <xdr:row>0</xdr:row>
      <xdr:rowOff>0</xdr:rowOff>
    </xdr:to>
    <xdr:sp macro="" textlink="" fLocksText="0">
      <xdr:nvSpPr>
        <xdr:cNvPr id="37115" name="Text Box 1">
          <a:extLst>
            <a:ext uri="{FF2B5EF4-FFF2-40B4-BE49-F238E27FC236}">
              <a16:creationId xmlns:a16="http://schemas.microsoft.com/office/drawing/2014/main" id="{00000000-0008-0000-0A00-0000FB900000}"/>
            </a:ext>
          </a:extLst>
        </xdr:cNvPr>
        <xdr:cNvSpPr txBox="1">
          <a:spLocks noChangeArrowheads="1"/>
        </xdr:cNvSpPr>
      </xdr:nvSpPr>
      <xdr:spPr bwMode="auto">
        <a:xfrm>
          <a:off x="1447800" y="0"/>
          <a:ext cx="7934325" cy="0"/>
        </a:xfrm>
        <a:prstGeom prst="rect">
          <a:avLst/>
        </a:prstGeom>
        <a:solidFill>
          <a:srgbClr val="FFFFFF"/>
        </a:solidFill>
        <a:ln w="9525">
          <a:solidFill>
            <a:srgbClr val="000000"/>
          </a:solidFill>
          <a:miter lim="800000"/>
          <a:headEnd/>
          <a:tailEnd/>
        </a:ln>
      </xdr:spPr>
    </xdr:sp>
    <xdr:clientData fLocksWithSheet="0"/>
  </xdr:twoCellAnchor>
  <xdr:twoCellAnchor>
    <xdr:from>
      <xdr:col>1</xdr:col>
      <xdr:colOff>0</xdr:colOff>
      <xdr:row>43</xdr:row>
      <xdr:rowOff>0</xdr:rowOff>
    </xdr:from>
    <xdr:to>
      <xdr:col>5</xdr:col>
      <xdr:colOff>9525</xdr:colOff>
      <xdr:row>53</xdr:row>
      <xdr:rowOff>0</xdr:rowOff>
    </xdr:to>
    <xdr:sp macro="" textlink="" fLocksText="0">
      <xdr:nvSpPr>
        <xdr:cNvPr id="8194" name="Text Box 2">
          <a:extLst>
            <a:ext uri="{FF2B5EF4-FFF2-40B4-BE49-F238E27FC236}">
              <a16:creationId xmlns:a16="http://schemas.microsoft.com/office/drawing/2014/main" id="{00000000-0008-0000-0A00-000002200000}"/>
            </a:ext>
          </a:extLst>
        </xdr:cNvPr>
        <xdr:cNvSpPr txBox="1">
          <a:spLocks noChangeArrowheads="1"/>
        </xdr:cNvSpPr>
      </xdr:nvSpPr>
      <xdr:spPr bwMode="auto">
        <a:xfrm>
          <a:off x="247650" y="7153275"/>
          <a:ext cx="5562600" cy="1619250"/>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3366FF"/>
              </a:solidFill>
              <a:latin typeface="Times New Roman"/>
              <a:cs typeface="Times New Roman"/>
            </a:rPr>
            <a:t>Comments</a:t>
          </a:r>
          <a:endParaRPr lang="en-US"/>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2</xdr:col>
      <xdr:colOff>9525</xdr:colOff>
      <xdr:row>0</xdr:row>
      <xdr:rowOff>0</xdr:rowOff>
    </xdr:from>
    <xdr:to>
      <xdr:col>8</xdr:col>
      <xdr:colOff>114300</xdr:colOff>
      <xdr:row>0</xdr:row>
      <xdr:rowOff>0</xdr:rowOff>
    </xdr:to>
    <xdr:sp macro="" textlink="" fLocksText="0">
      <xdr:nvSpPr>
        <xdr:cNvPr id="38136" name="Text Box 2">
          <a:extLst>
            <a:ext uri="{FF2B5EF4-FFF2-40B4-BE49-F238E27FC236}">
              <a16:creationId xmlns:a16="http://schemas.microsoft.com/office/drawing/2014/main" id="{00000000-0008-0000-0C00-0000F8940000}"/>
            </a:ext>
          </a:extLst>
        </xdr:cNvPr>
        <xdr:cNvSpPr txBox="1">
          <a:spLocks noChangeArrowheads="1"/>
        </xdr:cNvSpPr>
      </xdr:nvSpPr>
      <xdr:spPr bwMode="auto">
        <a:xfrm>
          <a:off x="504825" y="0"/>
          <a:ext cx="5781675" cy="0"/>
        </a:xfrm>
        <a:prstGeom prst="rect">
          <a:avLst/>
        </a:prstGeom>
        <a:solidFill>
          <a:srgbClr val="FFFFFF"/>
        </a:solidFill>
        <a:ln w="9525">
          <a:solidFill>
            <a:srgbClr val="000000"/>
          </a:solidFill>
          <a:miter lim="800000"/>
          <a:headEnd/>
          <a:tailEnd/>
        </a:ln>
      </xdr:spPr>
    </xdr:sp>
    <xdr:clientData fLocksWithSheet="0"/>
  </xdr:twoCellAnchor>
  <xdr:twoCellAnchor>
    <xdr:from>
      <xdr:col>7</xdr:col>
      <xdr:colOff>19050</xdr:colOff>
      <xdr:row>2</xdr:row>
      <xdr:rowOff>38100</xdr:rowOff>
    </xdr:from>
    <xdr:to>
      <xdr:col>8</xdr:col>
      <xdr:colOff>1104900</xdr:colOff>
      <xdr:row>11</xdr:row>
      <xdr:rowOff>38100</xdr:rowOff>
    </xdr:to>
    <xdr:sp macro="" textlink="" fLocksText="0">
      <xdr:nvSpPr>
        <xdr:cNvPr id="7171" name="Text 1">
          <a:extLst>
            <a:ext uri="{FF2B5EF4-FFF2-40B4-BE49-F238E27FC236}">
              <a16:creationId xmlns:a16="http://schemas.microsoft.com/office/drawing/2014/main" id="{00000000-0008-0000-0C00-0000031C0000}"/>
            </a:ext>
          </a:extLst>
        </xdr:cNvPr>
        <xdr:cNvSpPr txBox="1">
          <a:spLocks noChangeArrowheads="1"/>
        </xdr:cNvSpPr>
      </xdr:nvSpPr>
      <xdr:spPr bwMode="auto">
        <a:xfrm>
          <a:off x="3905250" y="409575"/>
          <a:ext cx="3028950" cy="145732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3366FF"/>
              </a:solidFill>
              <a:latin typeface="Times New Roman"/>
              <a:cs typeface="Times New Roman"/>
            </a:rPr>
            <a:t>Sources &amp; Uses Comments:</a:t>
          </a:r>
        </a:p>
        <a:p>
          <a:pPr algn="l" rtl="0">
            <a:defRPr sz="1000"/>
          </a:pPr>
          <a:endParaRPr lang="en-US" sz="800" b="0" i="0" u="none" strike="noStrike" baseline="0">
            <a:solidFill>
              <a:srgbClr val="0000FF"/>
            </a:solidFill>
            <a:latin typeface="Times New Roman"/>
            <a:cs typeface="Times New Roman"/>
          </a:endParaRPr>
        </a:p>
        <a:p>
          <a:pPr algn="l" rtl="0">
            <a:defRPr sz="1000"/>
          </a:pPr>
          <a:endParaRPr lang="en-US"/>
        </a:p>
      </xdr:txBody>
    </xdr: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98</xdr:row>
      <xdr:rowOff>0</xdr:rowOff>
    </xdr:from>
    <xdr:to>
      <xdr:col>10</xdr:col>
      <xdr:colOff>9525</xdr:colOff>
      <xdr:row>105</xdr:row>
      <xdr:rowOff>152400</xdr:rowOff>
    </xdr:to>
    <xdr:sp macro="" textlink="" fLocksText="0">
      <xdr:nvSpPr>
        <xdr:cNvPr id="10242" name="Text 19">
          <a:extLst>
            <a:ext uri="{FF2B5EF4-FFF2-40B4-BE49-F238E27FC236}">
              <a16:creationId xmlns:a16="http://schemas.microsoft.com/office/drawing/2014/main" id="{00000000-0008-0000-0D00-000002280000}"/>
            </a:ext>
          </a:extLst>
        </xdr:cNvPr>
        <xdr:cNvSpPr txBox="1">
          <a:spLocks noChangeArrowheads="1"/>
        </xdr:cNvSpPr>
      </xdr:nvSpPr>
      <xdr:spPr bwMode="auto">
        <a:xfrm>
          <a:off x="247650" y="16706850"/>
          <a:ext cx="5238750" cy="128587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3366FF"/>
              </a:solidFill>
              <a:latin typeface="Times New Roman"/>
              <a:cs typeface="Times New Roman"/>
            </a:rPr>
            <a:t>Expense Comments: </a:t>
          </a:r>
          <a:endParaRPr lang="en-US" sz="800" b="0" i="0" u="none" strike="noStrike" baseline="0">
            <a:solidFill>
              <a:srgbClr val="0000FF"/>
            </a:solidFill>
            <a:latin typeface="Times New Roman"/>
            <a:cs typeface="Times New Roman"/>
          </a:endParaRPr>
        </a:p>
        <a:p>
          <a:pPr algn="l" rtl="0">
            <a:lnSpc>
              <a:spcPts val="1100"/>
            </a:lnSpc>
            <a:defRPr sz="1000"/>
          </a:pPr>
          <a:endParaRPr lang="en-US"/>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05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asters/M2M%20Underwriting%20Rev%204_35%20with%20Upgrad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nathan/Local%20Settings/Temporary%20Internet%20Files/OLK6/LHFA/Tax%20credit%20applications%202005/05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Knollcrest%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ocuments%20and%20Settings/nathan/Local%20Settings/Temporary%20Internet%20Files/OLK6/Application/2005_LIHTC_Ap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Users/Administrator/Documents/Work/2008_LIHTC_HOME_App_V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2017%20Small%20Project%20Continuation%20NOFA/2017%20Small%20Project%20Contuation-NOFA-Rental-Application-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Res Bldg Info"/>
      <sheetName val="Acc Bldg Info"/>
      <sheetName val="Subsidy"/>
      <sheetName val="Syndication"/>
      <sheetName val="Unit Info"/>
      <sheetName val="Sources &amp; Uses"/>
      <sheetName val="Calculator"/>
      <sheetName val="Financing Cert"/>
      <sheetName val="Cert of Act Cost"/>
      <sheetName val="Access_Bldgs"/>
      <sheetName val="Find Basis"/>
      <sheetName val="Basis"/>
      <sheetName val="Income"/>
      <sheetName val="ProForma"/>
      <sheetName val="TDC Limits"/>
      <sheetName val="Criteria"/>
      <sheetName val="Cert of Demand"/>
      <sheetName val="Local Jurisdiction"/>
      <sheetName val="Schedule"/>
      <sheetName val="Development Team"/>
      <sheetName val="Forms"/>
      <sheetName val="Non-Profit"/>
      <sheetName val="Ownership Info"/>
      <sheetName val="Site Control"/>
      <sheetName val="Ownership History"/>
      <sheetName val="RD wksht"/>
      <sheetName val="QCT wksht"/>
      <sheetName val="sub_rehab"/>
      <sheetName val="Master Auditor"/>
      <sheetName val="Lists"/>
      <sheetName val="Checklist"/>
      <sheetName val="Print Out"/>
      <sheetName val="FMR 2050"/>
      <sheetName val="FMR 4060"/>
    </sheetNames>
    <sheetDataSet>
      <sheetData sheetId="0" refreshError="1">
        <row r="27">
          <cell r="H27">
            <v>269780</v>
          </cell>
        </row>
        <row r="30">
          <cell r="F30" t="str">
            <v>North Oaks Subdivision Limited Partnership</v>
          </cell>
        </row>
        <row r="42">
          <cell r="D42" t="str">
            <v>X</v>
          </cell>
        </row>
        <row r="63">
          <cell r="I63" t="str">
            <v>Will be applied for</v>
          </cell>
        </row>
        <row r="75">
          <cell r="J75" t="str">
            <v>YES</v>
          </cell>
        </row>
      </sheetData>
      <sheetData sheetId="1"/>
      <sheetData sheetId="2"/>
      <sheetData sheetId="3" refreshError="1">
        <row r="48">
          <cell r="C48">
            <v>0</v>
          </cell>
          <cell r="D48">
            <v>0</v>
          </cell>
          <cell r="E48">
            <v>0</v>
          </cell>
          <cell r="F48">
            <v>0</v>
          </cell>
          <cell r="G48">
            <v>0</v>
          </cell>
          <cell r="H48">
            <v>0</v>
          </cell>
          <cell r="I48">
            <v>0</v>
          </cell>
          <cell r="L48">
            <v>0</v>
          </cell>
          <cell r="M48">
            <v>0</v>
          </cell>
          <cell r="N48">
            <v>399999.99999999994</v>
          </cell>
          <cell r="O48">
            <v>0</v>
          </cell>
          <cell r="P48">
            <v>0</v>
          </cell>
          <cell r="Q48">
            <v>0</v>
          </cell>
          <cell r="R48">
            <v>0</v>
          </cell>
          <cell r="S48">
            <v>0</v>
          </cell>
          <cell r="W48">
            <v>0</v>
          </cell>
          <cell r="X48">
            <v>0</v>
          </cell>
          <cell r="Y48">
            <v>0</v>
          </cell>
          <cell r="Z48">
            <v>0</v>
          </cell>
          <cell r="AA48">
            <v>0</v>
          </cell>
          <cell r="AB48">
            <v>0</v>
          </cell>
          <cell r="AC48">
            <v>0</v>
          </cell>
          <cell r="AD48">
            <v>0</v>
          </cell>
          <cell r="AG48">
            <v>0</v>
          </cell>
          <cell r="AH48">
            <v>0</v>
          </cell>
          <cell r="AI48">
            <v>0</v>
          </cell>
          <cell r="AJ48">
            <v>0</v>
          </cell>
          <cell r="AK48">
            <v>0</v>
          </cell>
          <cell r="AL48">
            <v>0</v>
          </cell>
          <cell r="AM48">
            <v>0</v>
          </cell>
          <cell r="AN48">
            <v>0</v>
          </cell>
          <cell r="AP48">
            <v>0</v>
          </cell>
          <cell r="AQ48">
            <v>0</v>
          </cell>
          <cell r="AR48">
            <v>0</v>
          </cell>
          <cell r="AS48">
            <v>0</v>
          </cell>
          <cell r="AT48">
            <v>0</v>
          </cell>
          <cell r="AU48">
            <v>0</v>
          </cell>
          <cell r="AV48">
            <v>0</v>
          </cell>
          <cell r="AW48">
            <v>0</v>
          </cell>
        </row>
        <row r="49">
          <cell r="I49">
            <v>0</v>
          </cell>
          <cell r="T49">
            <v>399999.99999999994</v>
          </cell>
          <cell r="AE49">
            <v>0</v>
          </cell>
          <cell r="AJ49">
            <v>0</v>
          </cell>
          <cell r="AN49">
            <v>0</v>
          </cell>
          <cell r="AW49">
            <v>0</v>
          </cell>
        </row>
      </sheetData>
      <sheetData sheetId="4" refreshError="1">
        <row r="18">
          <cell r="D18" t="str">
            <v xml:space="preserve">National Equity Funds </v>
          </cell>
        </row>
        <row r="19">
          <cell r="D19" t="str">
            <v>1825 K Street, NW, Suite 1100, Washington, DC 20006</v>
          </cell>
        </row>
        <row r="21">
          <cell r="E21">
            <v>2027399271</v>
          </cell>
        </row>
        <row r="57">
          <cell r="H57">
            <v>546304.5</v>
          </cell>
        </row>
        <row r="58">
          <cell r="H58">
            <v>1092609</v>
          </cell>
        </row>
        <row r="59">
          <cell r="H59">
            <v>546304.5</v>
          </cell>
        </row>
      </sheetData>
      <sheetData sheetId="5"/>
      <sheetData sheetId="6" refreshError="1">
        <row r="53">
          <cell r="F53">
            <v>110070</v>
          </cell>
          <cell r="H53">
            <v>113751.59999999999</v>
          </cell>
        </row>
        <row r="68">
          <cell r="F68">
            <v>40100</v>
          </cell>
          <cell r="H68">
            <v>40118.6</v>
          </cell>
        </row>
        <row r="69">
          <cell r="F69">
            <v>120350</v>
          </cell>
          <cell r="H69">
            <v>120355.79999999999</v>
          </cell>
        </row>
        <row r="72">
          <cell r="F72">
            <v>0</v>
          </cell>
        </row>
        <row r="81">
          <cell r="F81">
            <v>2166380</v>
          </cell>
        </row>
        <row r="87">
          <cell r="F87">
            <v>85000</v>
          </cell>
        </row>
        <row r="93">
          <cell r="F93">
            <v>85000</v>
          </cell>
          <cell r="H93">
            <v>0</v>
          </cell>
        </row>
        <row r="99">
          <cell r="F99">
            <v>85000</v>
          </cell>
        </row>
        <row r="100">
          <cell r="F100">
            <v>20000</v>
          </cell>
        </row>
        <row r="101">
          <cell r="F101">
            <v>30000</v>
          </cell>
        </row>
        <row r="102">
          <cell r="F102">
            <v>1500</v>
          </cell>
        </row>
        <row r="103">
          <cell r="F103">
            <v>1500</v>
          </cell>
        </row>
        <row r="106">
          <cell r="F106">
            <v>7500</v>
          </cell>
        </row>
        <row r="107">
          <cell r="F107">
            <v>25000</v>
          </cell>
        </row>
        <row r="108">
          <cell r="F108">
            <v>500</v>
          </cell>
        </row>
        <row r="109">
          <cell r="F109">
            <v>25000</v>
          </cell>
        </row>
        <row r="110">
          <cell r="F110">
            <v>10000</v>
          </cell>
        </row>
        <row r="111">
          <cell r="F111">
            <v>10000</v>
          </cell>
        </row>
        <row r="112">
          <cell r="F112">
            <v>15000</v>
          </cell>
        </row>
        <row r="114">
          <cell r="F114">
            <v>35000</v>
          </cell>
        </row>
        <row r="115">
          <cell r="F115">
            <v>367600</v>
          </cell>
          <cell r="H115">
            <v>367632</v>
          </cell>
        </row>
        <row r="117">
          <cell r="F117">
            <v>18500</v>
          </cell>
        </row>
        <row r="135">
          <cell r="F135">
            <v>22000</v>
          </cell>
        </row>
        <row r="139">
          <cell r="F139">
            <v>22000</v>
          </cell>
        </row>
        <row r="170">
          <cell r="F170">
            <v>2925480</v>
          </cell>
        </row>
        <row r="176">
          <cell r="F176" t="str">
            <v>OIB</v>
          </cell>
        </row>
        <row r="178">
          <cell r="F178">
            <v>340262</v>
          </cell>
        </row>
        <row r="179">
          <cell r="F179">
            <v>30</v>
          </cell>
        </row>
        <row r="180">
          <cell r="F180">
            <v>7.8E-2</v>
          </cell>
        </row>
        <row r="181">
          <cell r="F181">
            <v>29393.349162835919</v>
          </cell>
        </row>
        <row r="186">
          <cell r="F186">
            <v>0</v>
          </cell>
        </row>
        <row r="189">
          <cell r="F189">
            <v>0</v>
          </cell>
        </row>
        <row r="197">
          <cell r="F197">
            <v>0</v>
          </cell>
        </row>
        <row r="200">
          <cell r="F200">
            <v>0</v>
          </cell>
        </row>
        <row r="205">
          <cell r="F205">
            <v>0</v>
          </cell>
        </row>
        <row r="208">
          <cell r="F208">
            <v>0</v>
          </cell>
        </row>
        <row r="218">
          <cell r="F218">
            <v>0</v>
          </cell>
        </row>
        <row r="228">
          <cell r="F228">
            <v>0</v>
          </cell>
        </row>
        <row r="234">
          <cell r="F234">
            <v>0</v>
          </cell>
        </row>
        <row r="237">
          <cell r="F237">
            <v>2185218</v>
          </cell>
        </row>
        <row r="239">
          <cell r="F239">
            <v>2185218</v>
          </cell>
        </row>
        <row r="241">
          <cell r="F241">
            <v>2925480</v>
          </cell>
        </row>
      </sheetData>
      <sheetData sheetId="7"/>
      <sheetData sheetId="8"/>
      <sheetData sheetId="9"/>
      <sheetData sheetId="10"/>
      <sheetData sheetId="11"/>
      <sheetData sheetId="12"/>
      <sheetData sheetId="13" refreshError="1">
        <row r="6">
          <cell r="H6">
            <v>0.93</v>
          </cell>
        </row>
      </sheetData>
      <sheetData sheetId="14"/>
      <sheetData sheetId="15" refreshError="1">
        <row r="68">
          <cell r="C68">
            <v>0.23587582208731558</v>
          </cell>
        </row>
      </sheetData>
      <sheetData sheetId="16" refreshError="1">
        <row r="34">
          <cell r="I34">
            <v>9705</v>
          </cell>
        </row>
        <row r="35">
          <cell r="I35" t="str">
            <v>Richland</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row r="255">
          <cell r="AA255">
            <v>0.8110010027885437</v>
          </cell>
        </row>
      </sheetData>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grade"/>
      <sheetName val="Cover"/>
      <sheetName val="Non-Standard Transactions"/>
      <sheetName val="RC Special Conditions"/>
      <sheetName val="StartInput"/>
      <sheetName val="LoanInput"/>
      <sheetName val="RentInput"/>
      <sheetName val="Input Assumptions"/>
      <sheetName val="HistoricInc&amp;Exp"/>
      <sheetName val="ProjectedInc&amp;Exp"/>
      <sheetName val="Rehab Escrow Needs"/>
      <sheetName val="PCA Needs 20 Year Schedule"/>
      <sheetName val="Reserves 20 Year Schedule"/>
      <sheetName val="PCA &amp; R4R TRACKER"/>
      <sheetName val="GPRCompare"/>
      <sheetName val="EquityReturn"/>
      <sheetName val="2ndLoanProForma"/>
      <sheetName val="DS&amp;LoanSizing"/>
      <sheetName val="Sources&amp;Uses"/>
      <sheetName val="AFT Detailed S&amp;U"/>
      <sheetName val="ODE worksheet"/>
      <sheetName val="Scheduled IRP"/>
      <sheetName val="IRP Application"/>
      <sheetName val="IRP Closing Exhibit"/>
      <sheetName val="Exception Rent"/>
      <sheetName val="Scenario Compare"/>
      <sheetName val="S8 Out-Year Recapture"/>
      <sheetName val="Amort"/>
      <sheetName val="Closing and Post Closing Data"/>
      <sheetName val="Exhibit A"/>
      <sheetName val="Exhibit F"/>
      <sheetName val="RestructuringPlanSummary"/>
      <sheetName val="HQ Loan Summary"/>
      <sheetName val="RestructureSummaryType2"/>
      <sheetName val="Flag Summary"/>
      <sheetName val="5.2 Form Data"/>
      <sheetName val="92273-S8"/>
      <sheetName val="92273-S8 (2)"/>
      <sheetName val="92273-S8 (3)"/>
      <sheetName val="Historic PUPA &amp; Percent Change"/>
      <sheetName val="Historic CapRepair Deductions"/>
      <sheetName val="User Work"/>
      <sheetName val="User Work 2"/>
      <sheetName val="HUD-92013 Page 1"/>
      <sheetName val="HUD-92013 Page 2"/>
      <sheetName val="HUD-92013 Page 3"/>
      <sheetName val="HUD-92013 Page 4"/>
      <sheetName val="HUD-92013 Page 5"/>
      <sheetName val="HUD-92013 Page 6"/>
      <sheetName val="HUD-92013 Page 7"/>
      <sheetName val="HUD-92013 Page 8"/>
      <sheetName val="M2M Export"/>
      <sheetName val="Create MIS Upload worksheet"/>
      <sheetName val="Transmission Memo"/>
      <sheetName val="Extraction"/>
      <sheetName val="Extraction2"/>
      <sheetName val="AsstMgmt Data"/>
      <sheetName val="Do Your Own Upgrade"/>
      <sheetName val="Form 7.19"/>
      <sheetName val="Bifurcated IRP"/>
      <sheetName val="Rev"/>
      <sheetName val="Module1"/>
    </sheetNames>
    <sheetDataSet>
      <sheetData sheetId="0" refreshError="1"/>
      <sheetData sheetId="1" refreshError="1"/>
      <sheetData sheetId="2" refreshError="1"/>
      <sheetData sheetId="3" refreshError="1"/>
      <sheetData sheetId="4" refreshError="1">
        <row r="12">
          <cell r="X12" t="str">
            <v>221(d)4</v>
          </cell>
        </row>
        <row r="13">
          <cell r="X13" t="str">
            <v>221(d)3 BMIR</v>
          </cell>
        </row>
        <row r="14">
          <cell r="X14" t="str">
            <v>221(d)3 Mkt Int Rate</v>
          </cell>
        </row>
        <row r="15">
          <cell r="X15" t="str">
            <v>220</v>
          </cell>
        </row>
        <row r="16">
          <cell r="X16" t="str">
            <v>231</v>
          </cell>
        </row>
        <row r="17">
          <cell r="X17" t="str">
            <v>223 (a)7</v>
          </cell>
        </row>
        <row r="18">
          <cell r="X18" t="str">
            <v>223(f)</v>
          </cell>
        </row>
        <row r="19">
          <cell r="X19" t="str">
            <v>236 Int Rdct Pmts</v>
          </cell>
        </row>
        <row r="20">
          <cell r="X20" t="str">
            <v>Other</v>
          </cell>
        </row>
        <row r="21">
          <cell r="X21" t="str">
            <v>Identity of Interest</v>
          </cell>
        </row>
        <row r="22">
          <cell r="X22" t="str">
            <v>Non-Identity of Interest</v>
          </cell>
        </row>
        <row r="31">
          <cell r="X31" t="str">
            <v>Below Average/Distressed</v>
          </cell>
        </row>
        <row r="32">
          <cell r="X32" t="str">
            <v>Average/Typical</v>
          </cell>
        </row>
        <row r="33">
          <cell r="X33" t="str">
            <v>Above Average/Strong</v>
          </cell>
        </row>
        <row r="120">
          <cell r="AC120" t="str">
            <v>Rural</v>
          </cell>
        </row>
        <row r="121">
          <cell r="AC121" t="str">
            <v>Suburban</v>
          </cell>
        </row>
        <row r="122">
          <cell r="AC122" t="str">
            <v>Urban</v>
          </cell>
          <cell r="AD122" t="str">
            <v>Elderly</v>
          </cell>
        </row>
        <row r="123">
          <cell r="AC123" t="str">
            <v>Urban MSA</v>
          </cell>
          <cell r="AD123" t="str">
            <v>Family</v>
          </cell>
        </row>
        <row r="124">
          <cell r="AC124" t="str">
            <v>Urban Other</v>
          </cell>
        </row>
        <row r="125">
          <cell r="AC125" t="str">
            <v>Not Urban</v>
          </cell>
        </row>
        <row r="126">
          <cell r="AC126" t="str">
            <v>Elevator</v>
          </cell>
        </row>
        <row r="127">
          <cell r="AC127" t="str">
            <v>Garden</v>
          </cell>
        </row>
        <row r="128">
          <cell r="AC128" t="str">
            <v>Mixed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01">
          <cell r="D101" t="str">
            <v>Yes</v>
          </cell>
        </row>
        <row r="102">
          <cell r="D10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Res Bldg Info"/>
      <sheetName val="Acc Bldg Info"/>
      <sheetName val="Subsidy"/>
      <sheetName val="Syndication"/>
      <sheetName val="Unit Info"/>
      <sheetName val="Sources &amp; Uses"/>
      <sheetName val="Calculator"/>
      <sheetName val="Financing Cert"/>
      <sheetName val="Cert of Act Cost"/>
      <sheetName val="Access_Bldgs"/>
      <sheetName val="Find Basis"/>
      <sheetName val="Basis"/>
      <sheetName val="Income"/>
      <sheetName val="ProForma"/>
      <sheetName val="TDC Limits"/>
      <sheetName val="Criteria"/>
      <sheetName val="Cert of Demand"/>
      <sheetName val="Local Jurisdiction"/>
      <sheetName val="Schedule"/>
      <sheetName val="Development Team"/>
      <sheetName val="Forms"/>
      <sheetName val="Non-Profit"/>
      <sheetName val="Ownership Info"/>
      <sheetName val="Site Control"/>
      <sheetName val="Ownership History"/>
      <sheetName val="RD wksht"/>
      <sheetName val="QCT wksht"/>
      <sheetName val="sub_rehab"/>
      <sheetName val="Master Auditor"/>
      <sheetName val="Lists"/>
      <sheetName val="Checklist"/>
      <sheetName val="Print Out"/>
      <sheetName val="FMR 2050"/>
      <sheetName val="FMR 4060"/>
    </sheetNames>
    <sheetDataSet>
      <sheetData sheetId="0" refreshError="1">
        <row r="212">
          <cell r="I212">
            <v>36416</v>
          </cell>
        </row>
        <row r="214">
          <cell r="I214">
            <v>2200</v>
          </cell>
        </row>
      </sheetData>
      <sheetData sheetId="1" refreshError="1"/>
      <sheetData sheetId="2" refreshError="1"/>
      <sheetData sheetId="3" refreshError="1"/>
      <sheetData sheetId="4" refreshError="1"/>
      <sheetData sheetId="5" refreshError="1"/>
      <sheetData sheetId="6" refreshError="1">
        <row r="127">
          <cell r="F127">
            <v>2903480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on-Standard Transactions"/>
      <sheetName val="RC Special Conditions"/>
      <sheetName val="StartInput"/>
      <sheetName val="LoanInput"/>
      <sheetName val="RentInput"/>
      <sheetName val="Input Assumptions"/>
      <sheetName val="HistoricInc&amp;Exp"/>
      <sheetName val="ProjectedInc&amp;Exp"/>
      <sheetName val="Rehab Escrow Needs"/>
      <sheetName val="PCA Needs 20 Year Schedule"/>
      <sheetName val="Reserves 20 Year Schedule"/>
      <sheetName val="PCA &amp; R4R TRACKER"/>
      <sheetName val="GPRCompare"/>
      <sheetName val="EquityReturn"/>
      <sheetName val="2ndLoanProForma"/>
      <sheetName val="DS&amp;LoanSizing"/>
      <sheetName val="Sources&amp;Uses"/>
      <sheetName val="AFT Detailed S&amp;U"/>
      <sheetName val="ODE worksheet"/>
      <sheetName val="Scheduled IRP"/>
      <sheetName val="Bifurcated IRP"/>
      <sheetName val="IRP Application"/>
      <sheetName val="S8 Out-Year Recapture"/>
      <sheetName val="Exception Rent"/>
      <sheetName val="Scenario Compare"/>
      <sheetName val="Amort"/>
      <sheetName val="Closing and Post Closing Data"/>
      <sheetName val="Exhibit A"/>
      <sheetName val="Exhibit F"/>
      <sheetName val="IRP Closing Exhibit"/>
      <sheetName val="RestructuringPlanSummary"/>
      <sheetName val="HQ Loan Summary"/>
      <sheetName val="RestructureSummaryType2"/>
      <sheetName val="Flag Summary"/>
      <sheetName val="5.2 Form Data"/>
      <sheetName val="92273-S8"/>
      <sheetName val="92273-S8 (2)"/>
      <sheetName val="92273-S8 (3)"/>
      <sheetName val="Historic PUPA &amp; Percent Change"/>
      <sheetName val="Historic CapRepair Deductions"/>
      <sheetName val="User Work"/>
      <sheetName val="User Work 2"/>
      <sheetName val="HUD-92013 Page 1"/>
      <sheetName val="HUD-92013 Page 2"/>
      <sheetName val="HUD-92013 Page 3"/>
      <sheetName val="HUD-92013 Page 4"/>
      <sheetName val="HUD-92013 Page 5"/>
      <sheetName val="HUD-92013 Page 6"/>
      <sheetName val="HUD-92013 Page 7"/>
      <sheetName val="HUD-92013 Page 8"/>
      <sheetName val="M2M Export"/>
      <sheetName val="Create MIS Upload worksheet"/>
      <sheetName val="Create Standard Model"/>
      <sheetName val="Form 7.19"/>
      <sheetName val="Transmission Memo"/>
      <sheetName val="Extraction"/>
      <sheetName val="Extraction2"/>
      <sheetName val="AsstMgmt Data"/>
      <sheetName val="Rev"/>
      <sheetName val="Module1"/>
    </sheetNames>
    <sheetDataSet>
      <sheetData sheetId="0" refreshError="1"/>
      <sheetData sheetId="1" refreshError="1"/>
      <sheetData sheetId="2" refreshError="1"/>
      <sheetData sheetId="3" refreshError="1"/>
      <sheetData sheetId="4" refreshError="1">
        <row r="14">
          <cell r="AD14" t="str">
            <v>FHA Insured</v>
          </cell>
        </row>
        <row r="15">
          <cell r="AD15" t="str">
            <v>Conventional</v>
          </cell>
        </row>
        <row r="16">
          <cell r="AD16" t="str">
            <v>HUD Held</v>
          </cell>
        </row>
        <row r="17">
          <cell r="AD17" t="str">
            <v>Risk Shared</v>
          </cell>
        </row>
        <row r="18">
          <cell r="AD18" t="str">
            <v>Other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81">
          <cell r="AE81">
            <v>1</v>
          </cell>
          <cell r="AF81">
            <v>1</v>
          </cell>
        </row>
        <row r="82">
          <cell r="AE82">
            <v>2</v>
          </cell>
          <cell r="AF82">
            <v>2</v>
          </cell>
        </row>
        <row r="83">
          <cell r="AE83">
            <v>3</v>
          </cell>
          <cell r="AF83">
            <v>3</v>
          </cell>
        </row>
        <row r="84">
          <cell r="AE84">
            <v>4</v>
          </cell>
          <cell r="AF84">
            <v>4</v>
          </cell>
        </row>
        <row r="85">
          <cell r="AF85">
            <v>5</v>
          </cell>
        </row>
        <row r="86">
          <cell r="AF86">
            <v>6</v>
          </cell>
        </row>
        <row r="87">
          <cell r="AF87">
            <v>7</v>
          </cell>
        </row>
        <row r="88">
          <cell r="AF88">
            <v>8</v>
          </cell>
        </row>
        <row r="89">
          <cell r="AF89">
            <v>9</v>
          </cell>
        </row>
        <row r="90">
          <cell r="AF90">
            <v>10</v>
          </cell>
        </row>
        <row r="91">
          <cell r="AF91">
            <v>11</v>
          </cell>
        </row>
        <row r="92">
          <cell r="AF92">
            <v>12</v>
          </cell>
        </row>
        <row r="93">
          <cell r="AF93">
            <v>13</v>
          </cell>
        </row>
        <row r="94">
          <cell r="AF94">
            <v>14</v>
          </cell>
        </row>
        <row r="95">
          <cell r="AF95">
            <v>15</v>
          </cell>
        </row>
        <row r="96">
          <cell r="AF96">
            <v>16</v>
          </cell>
        </row>
        <row r="97">
          <cell r="AF97">
            <v>17</v>
          </cell>
        </row>
        <row r="98">
          <cell r="AF98">
            <v>18</v>
          </cell>
        </row>
        <row r="99">
          <cell r="AF99">
            <v>19</v>
          </cell>
        </row>
        <row r="100">
          <cell r="AF100">
            <v>20</v>
          </cell>
        </row>
        <row r="101">
          <cell r="AF101">
            <v>21</v>
          </cell>
        </row>
        <row r="102">
          <cell r="AF102">
            <v>22</v>
          </cell>
        </row>
        <row r="103">
          <cell r="AF103">
            <v>23</v>
          </cell>
        </row>
        <row r="104">
          <cell r="AF104">
            <v>24</v>
          </cell>
        </row>
        <row r="105">
          <cell r="AF105">
            <v>25</v>
          </cell>
        </row>
        <row r="106">
          <cell r="AF106">
            <v>26</v>
          </cell>
        </row>
        <row r="107">
          <cell r="AF107">
            <v>27</v>
          </cell>
        </row>
        <row r="108">
          <cell r="AF108">
            <v>28</v>
          </cell>
        </row>
        <row r="109">
          <cell r="AF109">
            <v>29</v>
          </cell>
        </row>
        <row r="110">
          <cell r="AF110">
            <v>30</v>
          </cell>
        </row>
        <row r="111">
          <cell r="AF111">
            <v>31</v>
          </cell>
        </row>
        <row r="112">
          <cell r="AF112">
            <v>32</v>
          </cell>
        </row>
        <row r="113">
          <cell r="AF113">
            <v>33</v>
          </cell>
        </row>
        <row r="114">
          <cell r="AF114">
            <v>34</v>
          </cell>
        </row>
        <row r="115">
          <cell r="AF115">
            <v>35</v>
          </cell>
        </row>
        <row r="116">
          <cell r="AF116">
            <v>36</v>
          </cell>
        </row>
        <row r="117">
          <cell r="AF117">
            <v>37</v>
          </cell>
        </row>
        <row r="118">
          <cell r="AF118">
            <v>38</v>
          </cell>
        </row>
        <row r="119">
          <cell r="AF119">
            <v>39</v>
          </cell>
        </row>
        <row r="120">
          <cell r="AF120">
            <v>40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Res Bldg Info"/>
      <sheetName val="Acc Bldg Info"/>
      <sheetName val="Subsidy"/>
      <sheetName val="Syndication"/>
      <sheetName val="Unit Info"/>
      <sheetName val="Sources &amp; Uses"/>
      <sheetName val="Calculator"/>
      <sheetName val="Financing Cert"/>
      <sheetName val="Cert of Act Cost"/>
      <sheetName val="Access_Bldgs"/>
      <sheetName val="Find Basis"/>
      <sheetName val="Basis"/>
      <sheetName val="Income"/>
      <sheetName val="ProForma"/>
      <sheetName val="TDC Limits"/>
      <sheetName val="Criteria"/>
      <sheetName val="Cert of Demand"/>
      <sheetName val="Local Jurisdiction"/>
      <sheetName val="Schedule"/>
      <sheetName val="Development Team"/>
      <sheetName val="Forms"/>
      <sheetName val="Non-Profit"/>
      <sheetName val="Ownership Info"/>
      <sheetName val="Site Control"/>
      <sheetName val="Ownership History"/>
      <sheetName val="RD wksht"/>
      <sheetName val="QCT wksht"/>
      <sheetName val="sub_rehab"/>
      <sheetName val="Master Auditor"/>
      <sheetName val="Lists"/>
      <sheetName val="Checklist"/>
      <sheetName val="Print Out"/>
      <sheetName val="FMR 2050"/>
      <sheetName val="FMR 406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9">
          <cell r="B19" t="str">
            <v>select from list</v>
          </cell>
        </row>
        <row r="20">
          <cell r="B20" t="str">
            <v>ACADIA</v>
          </cell>
        </row>
        <row r="21">
          <cell r="B21" t="str">
            <v>ALLEN</v>
          </cell>
        </row>
        <row r="22">
          <cell r="B22" t="str">
            <v>ASCENSION</v>
          </cell>
        </row>
        <row r="23">
          <cell r="B23" t="str">
            <v>ASSUMPTION</v>
          </cell>
        </row>
        <row r="24">
          <cell r="B24" t="str">
            <v>AVOYELLES</v>
          </cell>
        </row>
        <row r="25">
          <cell r="B25" t="str">
            <v>BEAUREGARD</v>
          </cell>
        </row>
        <row r="26">
          <cell r="B26" t="str">
            <v>BIENVILLE</v>
          </cell>
        </row>
        <row r="27">
          <cell r="B27" t="str">
            <v>BOSSIER</v>
          </cell>
        </row>
        <row r="28">
          <cell r="B28" t="str">
            <v>CADDO</v>
          </cell>
        </row>
        <row r="29">
          <cell r="B29" t="str">
            <v>CALCASIEU</v>
          </cell>
        </row>
        <row r="30">
          <cell r="B30" t="str">
            <v>CALDWELL</v>
          </cell>
        </row>
        <row r="31">
          <cell r="B31" t="str">
            <v>CAMERON</v>
          </cell>
        </row>
        <row r="32">
          <cell r="B32" t="str">
            <v>CATAHOULA</v>
          </cell>
        </row>
        <row r="33">
          <cell r="B33" t="str">
            <v>CLAIBORNE</v>
          </cell>
        </row>
        <row r="34">
          <cell r="B34" t="str">
            <v>CONCORDIA</v>
          </cell>
        </row>
        <row r="35">
          <cell r="B35" t="str">
            <v>DESOTO</v>
          </cell>
        </row>
        <row r="36">
          <cell r="B36" t="str">
            <v>E. BATON ROUGE</v>
          </cell>
        </row>
        <row r="37">
          <cell r="B37" t="str">
            <v>EAST CARROLL</v>
          </cell>
        </row>
        <row r="38">
          <cell r="B38" t="str">
            <v>E. FELICIANA</v>
          </cell>
        </row>
        <row r="39">
          <cell r="B39" t="str">
            <v>EVANGELINE</v>
          </cell>
        </row>
        <row r="40">
          <cell r="B40" t="str">
            <v>FRANKLIN</v>
          </cell>
        </row>
        <row r="41">
          <cell r="B41" t="str">
            <v>GRANT</v>
          </cell>
        </row>
        <row r="42">
          <cell r="B42" t="str">
            <v>IBERIA</v>
          </cell>
        </row>
        <row r="43">
          <cell r="B43" t="str">
            <v>IBERVILLE</v>
          </cell>
        </row>
        <row r="44">
          <cell r="B44" t="str">
            <v>JACKSON</v>
          </cell>
        </row>
        <row r="45">
          <cell r="B45" t="str">
            <v>JEFFERSON</v>
          </cell>
        </row>
        <row r="46">
          <cell r="B46" t="str">
            <v>JEFFERSON DAVIS</v>
          </cell>
        </row>
        <row r="47">
          <cell r="B47" t="str">
            <v>LAFAYETTE</v>
          </cell>
        </row>
        <row r="48">
          <cell r="B48" t="str">
            <v>LAFOURCHE</v>
          </cell>
        </row>
        <row r="49">
          <cell r="B49" t="str">
            <v>LASALLE</v>
          </cell>
        </row>
        <row r="50">
          <cell r="B50" t="str">
            <v>LINCOLN</v>
          </cell>
        </row>
        <row r="51">
          <cell r="B51" t="str">
            <v>LIVINGSTON</v>
          </cell>
        </row>
        <row r="52">
          <cell r="B52" t="str">
            <v>MADISON</v>
          </cell>
        </row>
        <row r="53">
          <cell r="B53" t="str">
            <v>MOREHOUSE</v>
          </cell>
        </row>
        <row r="54">
          <cell r="B54" t="str">
            <v>NATCHITOCHES</v>
          </cell>
        </row>
        <row r="55">
          <cell r="B55" t="str">
            <v>ORLEANS</v>
          </cell>
        </row>
        <row r="56">
          <cell r="B56" t="str">
            <v>OUACHITA</v>
          </cell>
        </row>
        <row r="57">
          <cell r="B57" t="str">
            <v>PLAQUEMINES</v>
          </cell>
        </row>
        <row r="58">
          <cell r="B58" t="str">
            <v>POINTE COUPEE</v>
          </cell>
        </row>
        <row r="59">
          <cell r="B59" t="str">
            <v>RAPIDES</v>
          </cell>
        </row>
        <row r="60">
          <cell r="B60" t="str">
            <v>RED RIVER</v>
          </cell>
        </row>
        <row r="61">
          <cell r="B61" t="str">
            <v>RICHLAND</v>
          </cell>
        </row>
        <row r="62">
          <cell r="B62" t="str">
            <v>SABINE</v>
          </cell>
        </row>
        <row r="63">
          <cell r="B63" t="str">
            <v>ST. BERNARD</v>
          </cell>
        </row>
        <row r="64">
          <cell r="B64" t="str">
            <v>ST. CHARLES</v>
          </cell>
        </row>
        <row r="65">
          <cell r="B65" t="str">
            <v>ST. HELENA</v>
          </cell>
        </row>
        <row r="66">
          <cell r="B66" t="str">
            <v>ST. JAMES</v>
          </cell>
        </row>
        <row r="67">
          <cell r="B67" t="str">
            <v>ST. JOHN</v>
          </cell>
        </row>
        <row r="68">
          <cell r="B68" t="str">
            <v>ST. LANDRY</v>
          </cell>
        </row>
        <row r="69">
          <cell r="B69" t="str">
            <v>ST. MARTIN</v>
          </cell>
        </row>
        <row r="70">
          <cell r="B70" t="str">
            <v>ST. MARY</v>
          </cell>
        </row>
        <row r="71">
          <cell r="B71" t="str">
            <v>ST. TAMMANY</v>
          </cell>
        </row>
        <row r="72">
          <cell r="B72" t="str">
            <v>TANGIPAHOA</v>
          </cell>
        </row>
        <row r="73">
          <cell r="B73" t="str">
            <v>TENSAS</v>
          </cell>
        </row>
        <row r="74">
          <cell r="B74" t="str">
            <v>TERREBONNE</v>
          </cell>
        </row>
        <row r="75">
          <cell r="B75" t="str">
            <v>UNION</v>
          </cell>
        </row>
        <row r="76">
          <cell r="B76" t="str">
            <v>VERMILION</v>
          </cell>
        </row>
        <row r="77">
          <cell r="B77" t="str">
            <v>VERNON</v>
          </cell>
        </row>
        <row r="78">
          <cell r="B78" t="str">
            <v>WASHINGTON</v>
          </cell>
        </row>
        <row r="79">
          <cell r="B79" t="str">
            <v>WEBSTER</v>
          </cell>
        </row>
        <row r="80">
          <cell r="B80" t="str">
            <v>W. BATON ROUGE</v>
          </cell>
        </row>
        <row r="81">
          <cell r="B81" t="str">
            <v>W. CARROLL</v>
          </cell>
        </row>
        <row r="82">
          <cell r="B82" t="str">
            <v>W. FELICIANA</v>
          </cell>
        </row>
        <row r="83">
          <cell r="B83" t="str">
            <v>WINN</v>
          </cell>
        </row>
      </sheetData>
      <sheetData sheetId="31" refreshError="1"/>
      <sheetData sheetId="32" refreshError="1"/>
      <sheetData sheetId="33" refreshError="1"/>
      <sheetData sheetId="3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imary Input"/>
      <sheetName val="Secondary Input"/>
      <sheetName val="Rental Income"/>
      <sheetName val="Rehab Construction"/>
      <sheetName val="Reserve Needs"/>
      <sheetName val="Reserve 20 Yr Schedule"/>
      <sheetName val="Syndication"/>
      <sheetName val="Loan Information"/>
      <sheetName val="Sources&amp;Uses"/>
      <sheetName val="Financing Cert"/>
      <sheetName val="Amortization"/>
      <sheetName val="Pro Forma Calculation"/>
      <sheetName val="Pro Forma"/>
      <sheetName val="Building Information"/>
      <sheetName val="Basis Calculation"/>
      <sheetName val="Project Schedule"/>
      <sheetName val="Development Team"/>
      <sheetName val="Selection Criteria"/>
      <sheetName val="Auditor"/>
      <sheetName val="Checklist"/>
      <sheetName val="Certification"/>
      <sheetName val="Appendix 1"/>
      <sheetName val="Appendix 2"/>
      <sheetName val="Appendix 3"/>
      <sheetName val="Appendix 4"/>
      <sheetName val="Appendix 11"/>
      <sheetName val="Appendix 14"/>
      <sheetName val="Appendix 31"/>
      <sheetName val="Appendix 41"/>
      <sheetName val="Appendix 42"/>
      <sheetName val="5020"/>
      <sheetName val="406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4">
          <cell r="J34">
            <v>0</v>
          </cell>
        </row>
        <row r="212">
          <cell r="C212"/>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imary Input"/>
      <sheetName val="Eligibility"/>
      <sheetName val="Types of Housing"/>
      <sheetName val="Development Team"/>
      <sheetName val="Financial Considerations"/>
      <sheetName val="Rental Income"/>
      <sheetName val="Utility Allowance"/>
      <sheetName val="Match Leverage"/>
      <sheetName val="Rehab or New Construction"/>
      <sheetName val="Loan Information"/>
      <sheetName val="Amortization"/>
      <sheetName val="Sources and Uses"/>
      <sheetName val="Pro Forma Calculation"/>
      <sheetName val="Pro Forma"/>
      <sheetName val="Pro Forma Sheet1"/>
      <sheetName val="Project Schedule"/>
      <sheetName val="Completed Projects"/>
      <sheetName val="Competitive Scorig"/>
      <sheetName val="Checklist &amp; Application Order"/>
      <sheetName val="Certification"/>
      <sheetName val="SLR"/>
    </sheetNames>
    <sheetDataSet>
      <sheetData sheetId="0">
        <row r="6">
          <cell r="D6" t="str">
            <v>SPC2017RD.a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CCFFCC"/>
        </a:solidFill>
        <a:ln w="9525">
          <a:solidFill>
            <a:srgbClr val="000000"/>
          </a:solidFill>
          <a:miter lim="800000"/>
          <a:headEnd/>
          <a:tailEnd/>
        </a:ln>
      </a:spPr>
      <a:body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44"/>
  <sheetViews>
    <sheetView topLeftCell="A19" zoomScaleNormal="100" workbookViewId="0">
      <selection activeCell="P13" sqref="P13"/>
    </sheetView>
  </sheetViews>
  <sheetFormatPr baseColWidth="10" defaultColWidth="9.1640625" defaultRowHeight="13"/>
  <cols>
    <col min="1" max="2" width="3.6640625" style="3" customWidth="1"/>
    <col min="3" max="3" width="9.1640625" style="3"/>
    <col min="4" max="4" width="11" style="3" bestFit="1" customWidth="1"/>
    <col min="5" max="6" width="9.1640625" style="3"/>
    <col min="7" max="7" width="18.33203125" style="3" customWidth="1"/>
    <col min="8" max="8" width="29.5" style="3" customWidth="1"/>
    <col min="9" max="10" width="3.6640625" style="3" customWidth="1"/>
    <col min="11" max="16384" width="9.1640625" style="3"/>
  </cols>
  <sheetData>
    <row r="1" spans="1:10" ht="17.25" customHeight="1">
      <c r="A1" s="200" t="s">
        <v>5</v>
      </c>
      <c r="B1" s="201"/>
      <c r="C1" s="202"/>
      <c r="D1" s="202"/>
      <c r="E1" s="202"/>
      <c r="F1" s="202"/>
      <c r="G1" s="202"/>
      <c r="H1" s="202"/>
      <c r="I1" s="202"/>
    </row>
    <row r="2" spans="1:10" ht="109.5" customHeight="1">
      <c r="A2" s="203"/>
      <c r="B2" s="897" t="s">
        <v>1220</v>
      </c>
      <c r="C2" s="898"/>
      <c r="D2" s="898"/>
      <c r="E2" s="898"/>
      <c r="F2" s="898"/>
      <c r="G2" s="898"/>
      <c r="H2" s="898"/>
      <c r="I2" s="899"/>
    </row>
    <row r="3" spans="1:10" ht="15" customHeight="1" thickBot="1">
      <c r="A3" s="203"/>
      <c r="B3" s="202"/>
      <c r="C3" s="202"/>
      <c r="D3" s="202"/>
      <c r="E3" s="202"/>
      <c r="F3" s="202"/>
      <c r="G3" s="202"/>
      <c r="H3" s="202"/>
      <c r="I3" s="202"/>
    </row>
    <row r="4" spans="1:10" ht="38.25" customHeight="1" thickBot="1">
      <c r="A4" s="203"/>
      <c r="B4" s="900" t="s">
        <v>846</v>
      </c>
      <c r="C4" s="901"/>
      <c r="D4" s="901"/>
      <c r="E4" s="901"/>
      <c r="F4" s="901"/>
      <c r="G4" s="901"/>
      <c r="H4" s="901"/>
      <c r="I4" s="902"/>
    </row>
    <row r="5" spans="1:10" ht="42" customHeight="1">
      <c r="A5" s="203"/>
      <c r="B5" s="202"/>
      <c r="C5" s="892" t="s">
        <v>1221</v>
      </c>
      <c r="D5" s="204"/>
      <c r="E5" s="204"/>
      <c r="F5" s="205"/>
      <c r="G5" s="205"/>
      <c r="H5" s="206"/>
      <c r="I5" s="202"/>
    </row>
    <row r="6" spans="1:10" ht="18.75" customHeight="1">
      <c r="A6" s="203"/>
      <c r="B6" s="202"/>
      <c r="C6" s="207" t="s">
        <v>6</v>
      </c>
      <c r="D6" s="208">
        <v>91818</v>
      </c>
      <c r="E6" s="209"/>
      <c r="F6" s="202"/>
      <c r="G6" s="210"/>
      <c r="H6" s="211"/>
      <c r="I6" s="202"/>
    </row>
    <row r="7" spans="1:10" ht="6.75" customHeight="1">
      <c r="A7" s="203"/>
      <c r="B7" s="202"/>
      <c r="C7" s="212"/>
      <c r="D7" s="209"/>
      <c r="E7" s="209"/>
      <c r="F7" s="202"/>
      <c r="G7" s="202"/>
      <c r="H7" s="213"/>
      <c r="I7" s="202"/>
    </row>
    <row r="8" spans="1:10" ht="16">
      <c r="A8" s="203"/>
      <c r="B8" s="202"/>
      <c r="C8" s="209"/>
      <c r="D8" s="209"/>
      <c r="E8" s="209"/>
      <c r="F8" s="202"/>
      <c r="G8" s="202"/>
      <c r="H8" s="202"/>
      <c r="I8" s="202"/>
    </row>
    <row r="9" spans="1:10" ht="18">
      <c r="A9" s="203"/>
      <c r="B9" s="202"/>
      <c r="C9" s="202"/>
      <c r="D9" s="214" t="s">
        <v>7</v>
      </c>
      <c r="E9" s="896">
        <f>+'Primary Input'!E5:G5</f>
        <v>0</v>
      </c>
      <c r="F9" s="896"/>
      <c r="G9" s="896"/>
      <c r="H9" s="896"/>
      <c r="I9" s="202"/>
    </row>
    <row r="10" spans="1:10" ht="18">
      <c r="A10" s="203"/>
      <c r="B10" s="202"/>
      <c r="C10" s="215"/>
      <c r="D10" s="214" t="s">
        <v>8</v>
      </c>
      <c r="E10" s="896">
        <f>+'Primary Input'!E8:G8</f>
        <v>0</v>
      </c>
      <c r="F10" s="896"/>
      <c r="G10" s="896"/>
      <c r="H10" s="896"/>
      <c r="I10" s="202"/>
      <c r="J10" s="4"/>
    </row>
    <row r="11" spans="1:10">
      <c r="A11" s="203"/>
      <c r="B11" s="202"/>
      <c r="C11" s="216"/>
      <c r="D11" s="216"/>
      <c r="E11" s="217"/>
      <c r="F11" s="202"/>
      <c r="G11" s="202"/>
      <c r="H11" s="202"/>
      <c r="I11" s="218"/>
      <c r="J11" s="4"/>
    </row>
    <row r="12" spans="1:10">
      <c r="A12" s="203"/>
      <c r="B12" s="202"/>
      <c r="C12" s="216"/>
      <c r="D12" s="216"/>
      <c r="E12" s="217"/>
      <c r="F12" s="202"/>
      <c r="G12" s="202"/>
      <c r="H12" s="202"/>
      <c r="I12" s="218"/>
      <c r="J12" s="4"/>
    </row>
    <row r="13" spans="1:10">
      <c r="A13" s="203"/>
      <c r="B13" s="202"/>
      <c r="C13" s="216"/>
      <c r="D13" s="216"/>
      <c r="E13" s="217"/>
      <c r="F13" s="202"/>
      <c r="G13" s="202"/>
      <c r="H13" s="202"/>
      <c r="I13" s="218"/>
      <c r="J13" s="4"/>
    </row>
    <row r="14" spans="1:10">
      <c r="A14" s="203"/>
      <c r="B14" s="202"/>
      <c r="C14" s="216"/>
      <c r="D14" s="216"/>
      <c r="E14" s="217"/>
      <c r="F14" s="202"/>
      <c r="G14" s="202"/>
      <c r="H14" s="202"/>
      <c r="I14" s="218"/>
      <c r="J14" s="4"/>
    </row>
    <row r="15" spans="1:10">
      <c r="A15" s="203"/>
      <c r="B15" s="202"/>
      <c r="C15" s="216"/>
      <c r="D15" s="216"/>
      <c r="E15" s="217"/>
      <c r="F15" s="202"/>
      <c r="G15" s="202"/>
      <c r="H15" s="202"/>
      <c r="I15" s="218"/>
      <c r="J15" s="4"/>
    </row>
    <row r="16" spans="1:10">
      <c r="A16" s="203"/>
      <c r="B16" s="202"/>
      <c r="C16" s="216"/>
      <c r="D16" s="216"/>
      <c r="E16" s="217"/>
      <c r="F16" s="202"/>
      <c r="G16" s="202"/>
      <c r="H16" s="202"/>
      <c r="I16" s="218"/>
      <c r="J16" s="4"/>
    </row>
    <row r="17" spans="1:10">
      <c r="A17" s="203"/>
      <c r="B17" s="202"/>
      <c r="C17" s="216"/>
      <c r="D17" s="216"/>
      <c r="E17" s="217"/>
      <c r="F17" s="202"/>
      <c r="G17" s="202"/>
      <c r="H17" s="202"/>
      <c r="I17" s="218"/>
      <c r="J17" s="4"/>
    </row>
    <row r="18" spans="1:10">
      <c r="A18" s="203"/>
      <c r="B18" s="202"/>
      <c r="C18" s="216"/>
      <c r="D18" s="216"/>
      <c r="E18" s="217"/>
      <c r="F18" s="202"/>
      <c r="G18" s="202"/>
      <c r="H18" s="202"/>
      <c r="I18" s="218"/>
      <c r="J18" s="4"/>
    </row>
    <row r="19" spans="1:10">
      <c r="A19" s="203"/>
      <c r="B19" s="202"/>
      <c r="C19" s="216"/>
      <c r="D19" s="216"/>
      <c r="E19" s="217"/>
      <c r="F19" s="202"/>
      <c r="G19" s="202"/>
      <c r="H19" s="202"/>
      <c r="I19" s="218"/>
      <c r="J19" s="4"/>
    </row>
    <row r="20" spans="1:10">
      <c r="A20" s="203"/>
      <c r="B20" s="202"/>
      <c r="C20" s="216"/>
      <c r="D20" s="216"/>
      <c r="E20" s="217"/>
      <c r="F20" s="202"/>
      <c r="G20" s="202"/>
      <c r="H20" s="202"/>
      <c r="I20" s="218"/>
      <c r="J20" s="4"/>
    </row>
    <row r="21" spans="1:10">
      <c r="A21" s="203"/>
      <c r="B21" s="202"/>
      <c r="C21" s="216"/>
      <c r="D21" s="216"/>
      <c r="E21" s="217"/>
      <c r="F21" s="202"/>
      <c r="G21" s="202"/>
      <c r="H21" s="202"/>
      <c r="I21" s="218"/>
      <c r="J21" s="4"/>
    </row>
    <row r="22" spans="1:10">
      <c r="A22" s="203"/>
      <c r="B22" s="202"/>
      <c r="C22" s="216"/>
      <c r="D22" s="216"/>
      <c r="E22" s="217"/>
      <c r="F22" s="202"/>
      <c r="G22" s="202"/>
      <c r="H22" s="202"/>
      <c r="I22" s="218"/>
      <c r="J22" s="4"/>
    </row>
    <row r="23" spans="1:10">
      <c r="A23" s="203"/>
      <c r="B23" s="202"/>
      <c r="C23" s="216"/>
      <c r="D23" s="216"/>
      <c r="E23" s="217"/>
      <c r="F23" s="202"/>
      <c r="G23" s="202"/>
      <c r="H23" s="202"/>
      <c r="I23" s="218"/>
      <c r="J23" s="4"/>
    </row>
    <row r="24" spans="1:10">
      <c r="A24" s="203"/>
      <c r="B24" s="202"/>
      <c r="C24" s="216"/>
      <c r="D24" s="216"/>
      <c r="E24" s="217"/>
      <c r="F24" s="202"/>
      <c r="G24" s="202"/>
      <c r="H24" s="202"/>
      <c r="I24" s="218"/>
      <c r="J24" s="4"/>
    </row>
    <row r="25" spans="1:10">
      <c r="A25" s="203"/>
      <c r="B25" s="202"/>
      <c r="C25" s="216"/>
      <c r="D25" s="216"/>
      <c r="E25" s="217"/>
      <c r="F25" s="202"/>
      <c r="G25" s="202"/>
      <c r="H25" s="202"/>
      <c r="I25" s="218"/>
      <c r="J25" s="4"/>
    </row>
    <row r="26" spans="1:10">
      <c r="A26" s="203"/>
      <c r="B26" s="202"/>
      <c r="C26" s="216"/>
      <c r="D26" s="216"/>
      <c r="E26" s="217"/>
      <c r="F26" s="202"/>
      <c r="G26" s="202"/>
      <c r="H26" s="202"/>
      <c r="I26" s="218"/>
      <c r="J26" s="4"/>
    </row>
    <row r="27" spans="1:10">
      <c r="A27" s="203"/>
      <c r="B27" s="202"/>
      <c r="C27" s="216"/>
      <c r="D27" s="216"/>
      <c r="E27" s="217"/>
      <c r="F27" s="202"/>
      <c r="G27" s="202"/>
      <c r="H27" s="202"/>
      <c r="I27" s="218"/>
      <c r="J27" s="4"/>
    </row>
    <row r="28" spans="1:10">
      <c r="A28" s="203"/>
      <c r="B28" s="202"/>
      <c r="C28" s="216"/>
      <c r="D28" s="216"/>
      <c r="E28" s="217"/>
      <c r="F28" s="202"/>
      <c r="G28" s="202"/>
      <c r="H28" s="202"/>
      <c r="I28" s="218"/>
      <c r="J28" s="4"/>
    </row>
    <row r="29" spans="1:10">
      <c r="A29" s="203"/>
      <c r="B29" s="202"/>
      <c r="C29" s="216"/>
      <c r="D29" s="216"/>
      <c r="E29" s="217"/>
      <c r="F29" s="202"/>
      <c r="G29" s="202"/>
      <c r="H29" s="202"/>
      <c r="I29" s="218"/>
      <c r="J29" s="4"/>
    </row>
    <row r="30" spans="1:10">
      <c r="A30" s="203"/>
      <c r="B30" s="202"/>
      <c r="C30" s="216"/>
      <c r="D30" s="216"/>
      <c r="E30" s="217"/>
      <c r="F30" s="202"/>
      <c r="G30" s="202"/>
      <c r="H30" s="202"/>
      <c r="I30" s="218"/>
      <c r="J30" s="4"/>
    </row>
    <row r="31" spans="1:10">
      <c r="A31" s="203"/>
      <c r="B31" s="202"/>
      <c r="C31" s="216"/>
      <c r="D31" s="216"/>
      <c r="E31" s="217"/>
      <c r="F31" s="202"/>
      <c r="G31" s="202"/>
      <c r="H31" s="202"/>
      <c r="I31" s="218"/>
      <c r="J31" s="4"/>
    </row>
    <row r="32" spans="1:10">
      <c r="A32" s="203"/>
      <c r="B32" s="202"/>
      <c r="C32" s="216"/>
      <c r="D32" s="216"/>
      <c r="E32" s="217"/>
      <c r="F32" s="202"/>
      <c r="G32" s="202"/>
      <c r="H32" s="202"/>
      <c r="I32" s="218"/>
      <c r="J32" s="4"/>
    </row>
    <row r="33" spans="1:10">
      <c r="A33" s="203"/>
      <c r="B33" s="202"/>
      <c r="C33" s="216"/>
      <c r="D33" s="216"/>
      <c r="E33" s="217"/>
      <c r="F33" s="202"/>
      <c r="G33" s="202"/>
      <c r="H33" s="202"/>
      <c r="I33" s="218"/>
      <c r="J33" s="4"/>
    </row>
    <row r="34" spans="1:10">
      <c r="A34" s="203"/>
      <c r="B34" s="202"/>
      <c r="C34" s="216"/>
      <c r="D34" s="216"/>
      <c r="E34" s="217"/>
      <c r="F34" s="202"/>
      <c r="G34" s="202"/>
      <c r="H34" s="202"/>
      <c r="I34" s="218"/>
      <c r="J34" s="4"/>
    </row>
    <row r="35" spans="1:10">
      <c r="A35" s="203"/>
      <c r="B35" s="202"/>
      <c r="C35" s="216"/>
      <c r="D35" s="216"/>
      <c r="E35" s="217"/>
      <c r="F35" s="202"/>
      <c r="G35" s="202"/>
      <c r="H35" s="202"/>
      <c r="I35" s="218"/>
      <c r="J35" s="4"/>
    </row>
    <row r="36" spans="1:10">
      <c r="A36" s="203"/>
      <c r="B36" s="202"/>
      <c r="C36" s="216"/>
      <c r="D36" s="216"/>
      <c r="E36" s="217"/>
      <c r="F36" s="202"/>
      <c r="G36" s="202"/>
      <c r="H36" s="202"/>
      <c r="I36" s="218"/>
      <c r="J36" s="4"/>
    </row>
    <row r="37" spans="1:10">
      <c r="A37" s="203"/>
      <c r="B37" s="202"/>
      <c r="C37" s="216"/>
      <c r="D37" s="216"/>
      <c r="E37" s="217"/>
      <c r="F37" s="202"/>
      <c r="G37" s="202"/>
      <c r="H37" s="202"/>
      <c r="I37" s="218"/>
      <c r="J37" s="4"/>
    </row>
    <row r="38" spans="1:10">
      <c r="A38" s="203"/>
      <c r="B38" s="202"/>
      <c r="C38" s="216"/>
      <c r="D38" s="216"/>
      <c r="E38" s="217"/>
      <c r="F38" s="202"/>
      <c r="G38" s="202"/>
      <c r="H38" s="202"/>
      <c r="I38" s="218"/>
      <c r="J38" s="4"/>
    </row>
    <row r="39" spans="1:10">
      <c r="A39" s="203"/>
      <c r="B39" s="202"/>
      <c r="C39" s="216"/>
      <c r="D39" s="216"/>
      <c r="E39" s="217"/>
      <c r="F39" s="202"/>
      <c r="G39" s="202"/>
      <c r="H39" s="202"/>
      <c r="I39" s="218"/>
      <c r="J39" s="4"/>
    </row>
    <row r="40" spans="1:10">
      <c r="A40" s="203"/>
      <c r="B40" s="202"/>
      <c r="C40" s="216"/>
      <c r="D40" s="216"/>
      <c r="E40" s="217"/>
      <c r="F40" s="202"/>
      <c r="G40" s="202"/>
      <c r="H40" s="202"/>
      <c r="I40" s="218"/>
      <c r="J40" s="4"/>
    </row>
    <row r="41" spans="1:10">
      <c r="A41" s="203"/>
      <c r="B41" s="202"/>
      <c r="C41" s="219" t="str">
        <f ca="1">PROPER(CELL("filename"))</f>
        <v>/Users/Ptownsend/Library/Containers/Com.Apple.Mail/Data/Library/Mail Downloads/Ae43140D-D32F-4112-B8A3-303009B25185/[2018 Chaap -Program-Rental Application-Template-V091818.Xlsx]Primary Input</v>
      </c>
      <c r="D41" s="216"/>
      <c r="E41" s="217"/>
      <c r="F41" s="202"/>
      <c r="G41" s="202"/>
      <c r="H41" s="202"/>
      <c r="I41" s="218"/>
      <c r="J41" s="4"/>
    </row>
    <row r="42" spans="1:10" ht="12.75" customHeight="1">
      <c r="A42" s="203"/>
      <c r="B42" s="202"/>
      <c r="C42" s="216"/>
      <c r="D42" s="216"/>
      <c r="E42" s="217"/>
      <c r="F42" s="202"/>
      <c r="G42" s="202"/>
      <c r="H42" s="202"/>
      <c r="I42" s="218"/>
      <c r="J42" s="4"/>
    </row>
    <row r="43" spans="1:10">
      <c r="B43" s="2"/>
      <c r="C43" s="5"/>
      <c r="D43" s="5"/>
      <c r="E43" s="6"/>
      <c r="F43" s="2"/>
      <c r="G43" s="2"/>
      <c r="H43" s="2"/>
      <c r="I43" s="7"/>
      <c r="J43" s="4"/>
    </row>
    <row r="44" spans="1:10">
      <c r="B44" s="2"/>
      <c r="C44" s="5"/>
      <c r="D44" s="5"/>
      <c r="E44" s="6"/>
      <c r="F44" s="2"/>
      <c r="G44" s="2"/>
      <c r="H44" s="2"/>
      <c r="I44" s="7"/>
      <c r="J44" s="4"/>
    </row>
  </sheetData>
  <sheetProtection algorithmName="SHA-512" hashValue="yHlTN5I0GzxXn3Gr1LvX0bua3IFj+3PWJHotVHu8zkHOTpuadDNDFwY0LipJ4x9FnOMZNxlZnvmkFlEWqzZAiQ==" saltValue="N0ftmyWq/hlfTZR1G39rOA==" spinCount="100000" sheet="1" objects="1" scenarios="1"/>
  <mergeCells count="4">
    <mergeCell ref="E9:H9"/>
    <mergeCell ref="E10:H10"/>
    <mergeCell ref="B2:I2"/>
    <mergeCell ref="B4:I4"/>
  </mergeCells>
  <phoneticPr fontId="0" type="noConversion"/>
  <printOptions horizontalCentered="1"/>
  <pageMargins left="0.75" right="0.75" top="1" bottom="1" header="0.5" footer="0.5"/>
  <pageSetup scale="9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82"/>
  <sheetViews>
    <sheetView topLeftCell="A34" workbookViewId="0">
      <selection activeCell="F49" sqref="F49:F52"/>
    </sheetView>
  </sheetViews>
  <sheetFormatPr baseColWidth="10" defaultColWidth="8.83203125" defaultRowHeight="13"/>
  <cols>
    <col min="1" max="2" width="3.6640625" customWidth="1"/>
    <col min="4" max="4" width="39.1640625" customWidth="1"/>
    <col min="6" max="6" width="27.5" customWidth="1"/>
    <col min="7" max="7" width="3.6640625" customWidth="1"/>
  </cols>
  <sheetData>
    <row r="1" spans="1:7" ht="14" thickBot="1">
      <c r="A1" s="200" t="s">
        <v>483</v>
      </c>
      <c r="B1" s="203"/>
      <c r="C1" s="203"/>
      <c r="D1" s="334">
        <f>+Cover!D6</f>
        <v>91818</v>
      </c>
      <c r="E1" s="203">
        <f>+Cover!E9</f>
        <v>0</v>
      </c>
      <c r="F1" s="871"/>
      <c r="G1" s="871"/>
    </row>
    <row r="2" spans="1:7" ht="19" thickTop="1" thickBot="1">
      <c r="A2" s="203"/>
      <c r="B2" s="9" t="s">
        <v>742</v>
      </c>
      <c r="C2" s="16"/>
      <c r="D2" s="17"/>
      <c r="E2" s="18" t="s">
        <v>82</v>
      </c>
      <c r="F2" s="19" t="s">
        <v>83</v>
      </c>
      <c r="G2" s="203"/>
    </row>
    <row r="3" spans="1:7">
      <c r="A3" s="203"/>
      <c r="B3" s="1241" t="s">
        <v>402</v>
      </c>
      <c r="C3" s="1242"/>
      <c r="D3" s="1243"/>
      <c r="E3" s="330"/>
      <c r="F3" s="184">
        <v>0</v>
      </c>
      <c r="G3" s="203"/>
    </row>
    <row r="4" spans="1:7">
      <c r="A4" s="203"/>
      <c r="B4" s="1244" t="s">
        <v>403</v>
      </c>
      <c r="C4" s="1245"/>
      <c r="D4" s="1246"/>
      <c r="E4" s="331">
        <v>2</v>
      </c>
      <c r="F4" s="184">
        <v>0</v>
      </c>
      <c r="G4" s="203"/>
    </row>
    <row r="5" spans="1:7">
      <c r="A5" s="203"/>
      <c r="B5" s="1238" t="s">
        <v>98</v>
      </c>
      <c r="C5" s="1239"/>
      <c r="D5" s="1240"/>
      <c r="E5" s="331">
        <v>3</v>
      </c>
      <c r="F5" s="184">
        <v>0</v>
      </c>
      <c r="G5" s="203"/>
    </row>
    <row r="6" spans="1:7">
      <c r="A6" s="203"/>
      <c r="B6" s="1238" t="s">
        <v>99</v>
      </c>
      <c r="C6" s="1239"/>
      <c r="D6" s="1240"/>
      <c r="E6" s="330">
        <v>3.2</v>
      </c>
      <c r="F6" s="184">
        <v>0</v>
      </c>
      <c r="G6" s="203"/>
    </row>
    <row r="7" spans="1:7">
      <c r="A7" s="203"/>
      <c r="B7" s="1238" t="s">
        <v>404</v>
      </c>
      <c r="C7" s="1239"/>
      <c r="D7" s="1240"/>
      <c r="E7" s="330">
        <v>3.3</v>
      </c>
      <c r="F7" s="184">
        <v>0</v>
      </c>
      <c r="G7" s="203"/>
    </row>
    <row r="8" spans="1:7">
      <c r="A8" s="203"/>
      <c r="B8" s="1238" t="s">
        <v>405</v>
      </c>
      <c r="C8" s="1239"/>
      <c r="D8" s="1240"/>
      <c r="E8" s="331">
        <v>5</v>
      </c>
      <c r="F8" s="184">
        <v>0</v>
      </c>
      <c r="G8" s="203"/>
    </row>
    <row r="9" spans="1:7">
      <c r="A9" s="203"/>
      <c r="B9" s="1238" t="s">
        <v>100</v>
      </c>
      <c r="C9" s="1239"/>
      <c r="D9" s="1240"/>
      <c r="E9" s="331">
        <v>6</v>
      </c>
      <c r="F9" s="184">
        <v>0</v>
      </c>
      <c r="G9" s="203"/>
    </row>
    <row r="10" spans="1:7">
      <c r="A10" s="203"/>
      <c r="B10" s="1238" t="s">
        <v>101</v>
      </c>
      <c r="C10" s="1239"/>
      <c r="D10" s="1240"/>
      <c r="E10" s="331">
        <v>7</v>
      </c>
      <c r="F10" s="184">
        <v>0</v>
      </c>
      <c r="G10" s="203"/>
    </row>
    <row r="11" spans="1:7">
      <c r="A11" s="203"/>
      <c r="B11" s="1238" t="s">
        <v>102</v>
      </c>
      <c r="C11" s="1239"/>
      <c r="D11" s="1240"/>
      <c r="E11" s="331">
        <v>8</v>
      </c>
      <c r="F11" s="184">
        <v>0</v>
      </c>
      <c r="G11" s="203"/>
    </row>
    <row r="12" spans="1:7">
      <c r="A12" s="203"/>
      <c r="B12" s="1238" t="s">
        <v>103</v>
      </c>
      <c r="C12" s="1239"/>
      <c r="D12" s="1240"/>
      <c r="E12" s="330">
        <v>9</v>
      </c>
      <c r="F12" s="184">
        <v>0</v>
      </c>
      <c r="G12" s="203"/>
    </row>
    <row r="13" spans="1:7">
      <c r="A13" s="203"/>
      <c r="B13" s="1238" t="s">
        <v>104</v>
      </c>
      <c r="C13" s="1239"/>
      <c r="D13" s="1240"/>
      <c r="E13" s="331">
        <v>10</v>
      </c>
      <c r="F13" s="184">
        <v>0</v>
      </c>
      <c r="G13" s="203"/>
    </row>
    <row r="14" spans="1:7">
      <c r="A14" s="203"/>
      <c r="B14" s="1238" t="s">
        <v>105</v>
      </c>
      <c r="C14" s="1239"/>
      <c r="D14" s="1240"/>
      <c r="E14" s="331">
        <v>11</v>
      </c>
      <c r="F14" s="184">
        <v>0</v>
      </c>
      <c r="G14" s="203"/>
    </row>
    <row r="15" spans="1:7">
      <c r="A15" s="203"/>
      <c r="B15" s="1238" t="s">
        <v>106</v>
      </c>
      <c r="C15" s="1239"/>
      <c r="D15" s="1240"/>
      <c r="E15" s="331">
        <v>12</v>
      </c>
      <c r="F15" s="184">
        <v>0</v>
      </c>
      <c r="G15" s="203"/>
    </row>
    <row r="16" spans="1:7">
      <c r="A16" s="203"/>
      <c r="B16" s="1238" t="s">
        <v>84</v>
      </c>
      <c r="C16" s="1239"/>
      <c r="D16" s="1240"/>
      <c r="E16" s="330"/>
      <c r="F16" s="184">
        <v>0</v>
      </c>
      <c r="G16" s="203"/>
    </row>
    <row r="17" spans="1:7">
      <c r="A17" s="203"/>
      <c r="B17" s="1247" t="s">
        <v>39</v>
      </c>
      <c r="C17" s="1248"/>
      <c r="D17" s="1249"/>
      <c r="E17" s="185"/>
      <c r="F17" s="184">
        <v>0</v>
      </c>
      <c r="G17" s="203"/>
    </row>
    <row r="18" spans="1:7">
      <c r="A18" s="203"/>
      <c r="B18" s="1247" t="s">
        <v>39</v>
      </c>
      <c r="C18" s="1248"/>
      <c r="D18" s="1249"/>
      <c r="E18" s="185"/>
      <c r="F18" s="184">
        <v>0</v>
      </c>
      <c r="G18" s="203"/>
    </row>
    <row r="19" spans="1:7">
      <c r="A19" s="203"/>
      <c r="B19" s="1247" t="s">
        <v>39</v>
      </c>
      <c r="C19" s="1248"/>
      <c r="D19" s="1249"/>
      <c r="E19" s="185"/>
      <c r="F19" s="184">
        <v>0</v>
      </c>
      <c r="G19" s="203"/>
    </row>
    <row r="20" spans="1:7">
      <c r="A20" s="203"/>
      <c r="B20" s="1247" t="s">
        <v>39</v>
      </c>
      <c r="C20" s="1248"/>
      <c r="D20" s="1249"/>
      <c r="E20" s="185"/>
      <c r="F20" s="184">
        <v>0</v>
      </c>
      <c r="G20" s="203"/>
    </row>
    <row r="21" spans="1:7" ht="14" thickBot="1">
      <c r="A21" s="203"/>
      <c r="B21" s="1250" t="s">
        <v>85</v>
      </c>
      <c r="C21" s="1251"/>
      <c r="D21" s="1252"/>
      <c r="E21" s="185"/>
      <c r="F21" s="184">
        <v>0</v>
      </c>
      <c r="G21" s="203"/>
    </row>
    <row r="22" spans="1:7" ht="17" thickBot="1">
      <c r="A22" s="203"/>
      <c r="B22" s="1253" t="s">
        <v>86</v>
      </c>
      <c r="C22" s="1254"/>
      <c r="D22" s="1255"/>
      <c r="E22" s="329"/>
      <c r="F22" s="826">
        <f>SUM(F3:F21)</f>
        <v>0</v>
      </c>
      <c r="G22" s="203"/>
    </row>
    <row r="23" spans="1:7" ht="14" thickTop="1">
      <c r="A23" s="203"/>
      <c r="B23" s="203"/>
      <c r="C23" s="203"/>
      <c r="D23" s="203"/>
      <c r="E23" s="203"/>
      <c r="F23" s="306"/>
      <c r="G23" s="203"/>
    </row>
    <row r="24" spans="1:7" ht="14" thickBot="1">
      <c r="A24" s="200" t="s">
        <v>87</v>
      </c>
      <c r="B24" s="203"/>
      <c r="C24" s="203"/>
      <c r="D24" s="203"/>
      <c r="E24" s="203"/>
      <c r="F24" s="203"/>
      <c r="G24" s="203"/>
    </row>
    <row r="25" spans="1:7" ht="18" thickTop="1" thickBot="1">
      <c r="A25" s="203"/>
      <c r="B25" s="9" t="s">
        <v>88</v>
      </c>
      <c r="C25" s="11"/>
      <c r="D25" s="12"/>
      <c r="E25" s="10" t="s">
        <v>82</v>
      </c>
      <c r="F25" s="13" t="s">
        <v>89</v>
      </c>
      <c r="G25" s="203"/>
    </row>
    <row r="26" spans="1:7">
      <c r="A26" s="203"/>
      <c r="B26" s="1256" t="s">
        <v>406</v>
      </c>
      <c r="C26" s="1257"/>
      <c r="D26" s="1258"/>
      <c r="E26" s="332"/>
      <c r="F26" s="186"/>
      <c r="G26" s="203"/>
    </row>
    <row r="27" spans="1:7">
      <c r="A27" s="203"/>
      <c r="B27" s="1244" t="s">
        <v>403</v>
      </c>
      <c r="C27" s="1245"/>
      <c r="D27" s="1246"/>
      <c r="E27" s="331">
        <v>2</v>
      </c>
      <c r="F27" s="184"/>
      <c r="G27" s="203"/>
    </row>
    <row r="28" spans="1:7">
      <c r="A28" s="203"/>
      <c r="B28" s="1238" t="s">
        <v>98</v>
      </c>
      <c r="C28" s="1239"/>
      <c r="D28" s="1240"/>
      <c r="E28" s="331">
        <v>3</v>
      </c>
      <c r="F28" s="184"/>
      <c r="G28" s="203"/>
    </row>
    <row r="29" spans="1:7">
      <c r="A29" s="203"/>
      <c r="B29" s="1238" t="s">
        <v>99</v>
      </c>
      <c r="C29" s="1239"/>
      <c r="D29" s="1240"/>
      <c r="E29" s="330">
        <v>3.2</v>
      </c>
      <c r="F29" s="184"/>
      <c r="G29" s="203"/>
    </row>
    <row r="30" spans="1:7">
      <c r="A30" s="203"/>
      <c r="B30" s="1238" t="s">
        <v>404</v>
      </c>
      <c r="C30" s="1239"/>
      <c r="D30" s="1240"/>
      <c r="E30" s="330">
        <v>3.3</v>
      </c>
      <c r="F30" s="184"/>
      <c r="G30" s="203"/>
    </row>
    <row r="31" spans="1:7">
      <c r="A31" s="203"/>
      <c r="B31" s="1238" t="s">
        <v>405</v>
      </c>
      <c r="C31" s="1239"/>
      <c r="D31" s="1240"/>
      <c r="E31" s="331">
        <v>5</v>
      </c>
      <c r="F31" s="184"/>
      <c r="G31" s="203"/>
    </row>
    <row r="32" spans="1:7">
      <c r="A32" s="203"/>
      <c r="B32" s="1238" t="s">
        <v>100</v>
      </c>
      <c r="C32" s="1239"/>
      <c r="D32" s="1240"/>
      <c r="E32" s="331">
        <v>6</v>
      </c>
      <c r="F32" s="184"/>
      <c r="G32" s="203"/>
    </row>
    <row r="33" spans="1:7">
      <c r="A33" s="203"/>
      <c r="B33" s="1238" t="s">
        <v>101</v>
      </c>
      <c r="C33" s="1239"/>
      <c r="D33" s="1240"/>
      <c r="E33" s="331">
        <v>7</v>
      </c>
      <c r="F33" s="184"/>
      <c r="G33" s="203"/>
    </row>
    <row r="34" spans="1:7">
      <c r="A34" s="203"/>
      <c r="B34" s="1238" t="s">
        <v>102</v>
      </c>
      <c r="C34" s="1239"/>
      <c r="D34" s="1240"/>
      <c r="E34" s="331">
        <v>8</v>
      </c>
      <c r="F34" s="184"/>
      <c r="G34" s="203"/>
    </row>
    <row r="35" spans="1:7">
      <c r="A35" s="203"/>
      <c r="B35" s="1238" t="s">
        <v>103</v>
      </c>
      <c r="C35" s="1239"/>
      <c r="D35" s="1240"/>
      <c r="E35" s="330">
        <v>9</v>
      </c>
      <c r="F35" s="184"/>
      <c r="G35" s="203"/>
    </row>
    <row r="36" spans="1:7">
      <c r="A36" s="203"/>
      <c r="B36" s="1238" t="s">
        <v>104</v>
      </c>
      <c r="C36" s="1239"/>
      <c r="D36" s="1240"/>
      <c r="E36" s="331">
        <v>10</v>
      </c>
      <c r="F36" s="184"/>
      <c r="G36" s="203"/>
    </row>
    <row r="37" spans="1:7">
      <c r="A37" s="203"/>
      <c r="B37" s="1238" t="s">
        <v>105</v>
      </c>
      <c r="C37" s="1239"/>
      <c r="D37" s="1240"/>
      <c r="E37" s="331">
        <v>11</v>
      </c>
      <c r="F37" s="184"/>
      <c r="G37" s="203"/>
    </row>
    <row r="38" spans="1:7">
      <c r="A38" s="203"/>
      <c r="B38" s="1238" t="s">
        <v>106</v>
      </c>
      <c r="C38" s="1239"/>
      <c r="D38" s="1240"/>
      <c r="E38" s="331">
        <v>12</v>
      </c>
      <c r="F38" s="184"/>
      <c r="G38" s="203"/>
    </row>
    <row r="39" spans="1:7">
      <c r="A39" s="203"/>
      <c r="B39" s="1238" t="s">
        <v>84</v>
      </c>
      <c r="C39" s="1239"/>
      <c r="D39" s="1240"/>
      <c r="E39" s="330"/>
      <c r="F39" s="184"/>
      <c r="G39" s="203"/>
    </row>
    <row r="40" spans="1:7">
      <c r="A40" s="203"/>
      <c r="B40" s="1259" t="s">
        <v>891</v>
      </c>
      <c r="C40" s="1248"/>
      <c r="D40" s="1249"/>
      <c r="E40" s="185"/>
      <c r="F40" s="184"/>
      <c r="G40" s="203"/>
    </row>
    <row r="41" spans="1:7">
      <c r="A41" s="203"/>
      <c r="B41" s="1259" t="s">
        <v>892</v>
      </c>
      <c r="C41" s="1248"/>
      <c r="D41" s="1249"/>
      <c r="E41" s="185"/>
      <c r="F41" s="184"/>
      <c r="G41" s="203"/>
    </row>
    <row r="42" spans="1:7">
      <c r="A42" s="203"/>
      <c r="B42" s="1259" t="s">
        <v>893</v>
      </c>
      <c r="C42" s="1248"/>
      <c r="D42" s="1249"/>
      <c r="E42" s="185"/>
      <c r="F42" s="184"/>
      <c r="G42" s="203"/>
    </row>
    <row r="43" spans="1:7">
      <c r="A43" s="203"/>
      <c r="B43" s="1259" t="s">
        <v>894</v>
      </c>
      <c r="C43" s="1248"/>
      <c r="D43" s="1249"/>
      <c r="E43" s="185"/>
      <c r="F43" s="184"/>
      <c r="G43" s="203"/>
    </row>
    <row r="44" spans="1:7" ht="14" thickBot="1">
      <c r="A44" s="203"/>
      <c r="B44" s="1263" t="s">
        <v>85</v>
      </c>
      <c r="C44" s="1264"/>
      <c r="D44" s="1265"/>
      <c r="E44" s="188"/>
      <c r="F44" s="186"/>
      <c r="G44" s="203"/>
    </row>
    <row r="45" spans="1:7" ht="15" thickTop="1" thickBot="1">
      <c r="A45" s="203"/>
      <c r="B45" s="1260" t="s">
        <v>760</v>
      </c>
      <c r="C45" s="1261"/>
      <c r="D45" s="1262"/>
      <c r="E45" s="333"/>
      <c r="F45" s="827">
        <f>SUM(F27:F44)</f>
        <v>0</v>
      </c>
      <c r="G45" s="203"/>
    </row>
    <row r="46" spans="1:7" ht="14" thickTop="1">
      <c r="A46" s="203"/>
      <c r="B46" s="334"/>
      <c r="C46" s="334"/>
      <c r="D46" s="335"/>
      <c r="E46" s="203"/>
      <c r="F46" s="203"/>
      <c r="G46" s="306"/>
    </row>
    <row r="47" spans="1:7" ht="14" thickBot="1">
      <c r="A47" s="203"/>
      <c r="B47" s="334"/>
      <c r="C47" s="334"/>
      <c r="D47" s="334"/>
      <c r="E47" s="203"/>
      <c r="F47" s="203"/>
      <c r="G47" s="203"/>
    </row>
    <row r="48" spans="1:7" ht="18" thickTop="1" thickBot="1">
      <c r="A48" s="203"/>
      <c r="B48" s="9" t="s">
        <v>90</v>
      </c>
      <c r="C48" s="14"/>
      <c r="D48" s="15"/>
      <c r="E48" s="10" t="s">
        <v>82</v>
      </c>
      <c r="F48" s="13" t="s">
        <v>89</v>
      </c>
      <c r="G48" s="203"/>
    </row>
    <row r="49" spans="1:12">
      <c r="A49" s="203"/>
      <c r="B49" s="1238" t="s">
        <v>91</v>
      </c>
      <c r="C49" s="1239"/>
      <c r="D49" s="1240"/>
      <c r="E49" s="330">
        <v>1</v>
      </c>
      <c r="F49" s="184"/>
      <c r="G49" s="203"/>
    </row>
    <row r="50" spans="1:12">
      <c r="A50" s="203"/>
      <c r="B50" s="1238" t="s">
        <v>92</v>
      </c>
      <c r="C50" s="1239"/>
      <c r="D50" s="1240"/>
      <c r="E50" s="336"/>
      <c r="F50" s="187"/>
      <c r="G50" s="203"/>
    </row>
    <row r="51" spans="1:12">
      <c r="A51" s="203"/>
      <c r="B51" s="1238" t="s">
        <v>93</v>
      </c>
      <c r="C51" s="1239"/>
      <c r="D51" s="1240"/>
      <c r="E51" s="330"/>
      <c r="F51" s="184"/>
      <c r="G51" s="203"/>
    </row>
    <row r="52" spans="1:12">
      <c r="A52" s="203"/>
      <c r="B52" s="1259" t="s">
        <v>886</v>
      </c>
      <c r="C52" s="1248"/>
      <c r="D52" s="1249"/>
      <c r="E52" s="185"/>
      <c r="F52" s="184"/>
      <c r="G52" s="203"/>
    </row>
    <row r="53" spans="1:12" ht="17" thickBot="1">
      <c r="A53" s="203"/>
      <c r="B53" s="1253" t="s">
        <v>744</v>
      </c>
      <c r="C53" s="1254"/>
      <c r="D53" s="1255"/>
      <c r="E53" s="329"/>
      <c r="F53" s="826">
        <f>SUM(F49:F52)</f>
        <v>0</v>
      </c>
      <c r="G53" s="203"/>
    </row>
    <row r="54" spans="1:12" ht="18" thickTop="1" thickBot="1">
      <c r="A54" s="203"/>
      <c r="B54" s="1253" t="s">
        <v>743</v>
      </c>
      <c r="C54" s="1254"/>
      <c r="D54" s="1255"/>
      <c r="E54" s="329"/>
      <c r="F54" s="826">
        <f>+F22+F45+F53</f>
        <v>0</v>
      </c>
      <c r="G54" s="203"/>
    </row>
    <row r="55" spans="1:12" ht="14" thickTop="1">
      <c r="A55" s="203"/>
      <c r="B55" s="203"/>
      <c r="C55" s="203"/>
      <c r="D55" s="203"/>
      <c r="E55" s="203"/>
      <c r="F55" s="203"/>
      <c r="G55" s="203"/>
    </row>
    <row r="56" spans="1:12" ht="14" thickBot="1">
      <c r="A56" s="203"/>
      <c r="B56" s="203"/>
      <c r="C56" s="203"/>
      <c r="D56" s="203"/>
      <c r="E56" s="203"/>
      <c r="F56" s="203"/>
      <c r="G56" s="203"/>
    </row>
    <row r="57" spans="1:12">
      <c r="A57" s="203"/>
      <c r="B57" s="203"/>
      <c r="C57" s="337" t="s">
        <v>91</v>
      </c>
      <c r="D57" s="338"/>
      <c r="E57" s="339" t="s">
        <v>94</v>
      </c>
      <c r="F57" s="828">
        <f>(SUM($F$26:$F$44)+SUM($F$52:$F$52)+F$22)*0.06</f>
        <v>0</v>
      </c>
      <c r="G57" s="203"/>
    </row>
    <row r="58" spans="1:12" ht="14" thickBot="1">
      <c r="A58" s="203"/>
      <c r="B58" s="203"/>
      <c r="C58" s="340"/>
      <c r="D58" s="341"/>
      <c r="E58" s="342" t="s">
        <v>95</v>
      </c>
      <c r="F58" s="829">
        <f>+F49</f>
        <v>0</v>
      </c>
      <c r="G58" s="326" t="str">
        <f>IF(F58&gt;F57,"!","")</f>
        <v/>
      </c>
      <c r="L58" s="174"/>
    </row>
    <row r="59" spans="1:12">
      <c r="A59" s="203"/>
      <c r="B59" s="203"/>
      <c r="C59" s="337" t="s">
        <v>96</v>
      </c>
      <c r="D59" s="338"/>
      <c r="E59" s="339" t="s">
        <v>94</v>
      </c>
      <c r="F59" s="828">
        <f>(SUM($F$26:$F$44)+F58+F22+SUM($F$52:$F$52))*0.02</f>
        <v>0</v>
      </c>
      <c r="G59" s="203"/>
    </row>
    <row r="60" spans="1:12" ht="14" thickBot="1">
      <c r="A60" s="203"/>
      <c r="B60" s="203"/>
      <c r="C60" s="340"/>
      <c r="D60" s="341"/>
      <c r="E60" s="343" t="s">
        <v>95</v>
      </c>
      <c r="F60" s="829">
        <f>+F50</f>
        <v>0</v>
      </c>
      <c r="G60" s="326" t="str">
        <f>IF(F60&gt;F59,"!","")</f>
        <v/>
      </c>
    </row>
    <row r="61" spans="1:12">
      <c r="A61" s="203"/>
      <c r="B61" s="203"/>
      <c r="C61" s="337" t="s">
        <v>93</v>
      </c>
      <c r="D61" s="338"/>
      <c r="E61" s="339" t="s">
        <v>94</v>
      </c>
      <c r="F61" s="828">
        <f>(SUM($F$26:$F$44)+F58+F22+SUM($F$52:$F$52))*0.06</f>
        <v>0</v>
      </c>
      <c r="G61" s="203"/>
    </row>
    <row r="62" spans="1:12" ht="14" thickBot="1">
      <c r="A62" s="203"/>
      <c r="B62" s="203"/>
      <c r="C62" s="340"/>
      <c r="D62" s="341"/>
      <c r="E62" s="343" t="s">
        <v>95</v>
      </c>
      <c r="F62" s="829">
        <f>+F51</f>
        <v>0</v>
      </c>
      <c r="G62" s="326" t="str">
        <f>IF(F62&gt;F61,"!","")</f>
        <v/>
      </c>
    </row>
    <row r="63" spans="1:12">
      <c r="A63" s="203"/>
      <c r="B63" s="203"/>
      <c r="C63" s="337" t="s">
        <v>97</v>
      </c>
      <c r="D63" s="338"/>
      <c r="E63" s="339" t="s">
        <v>94</v>
      </c>
      <c r="F63" s="828">
        <f>(SUM($F$26:$F$44)+F60+F22+SUM($F$52:$F$52))*0.15</f>
        <v>0</v>
      </c>
      <c r="G63" s="327">
        <v>0</v>
      </c>
    </row>
    <row r="64" spans="1:12" ht="14" thickBot="1">
      <c r="A64" s="203"/>
      <c r="B64" s="203"/>
      <c r="C64" s="340"/>
      <c r="D64" s="341"/>
      <c r="E64" s="343" t="s">
        <v>95</v>
      </c>
      <c r="F64" s="829">
        <f>+'Sources and Uses'!I32</f>
        <v>0</v>
      </c>
      <c r="G64" s="326" t="str">
        <f>IF(F64&gt;F63,"!","")</f>
        <v/>
      </c>
    </row>
    <row r="65" spans="1:7">
      <c r="A65" s="203"/>
      <c r="B65" s="203"/>
      <c r="C65" s="203"/>
      <c r="D65" s="203"/>
      <c r="E65" s="203"/>
      <c r="F65" s="203"/>
      <c r="G65" s="328" t="e">
        <f>MAX(#REF!,8)</f>
        <v>#REF!</v>
      </c>
    </row>
    <row r="66" spans="1:7">
      <c r="A66" s="203"/>
      <c r="B66" s="3"/>
      <c r="C66" s="3"/>
      <c r="D66" s="3"/>
      <c r="E66" s="3"/>
      <c r="F66" s="3"/>
      <c r="G66" s="203"/>
    </row>
    <row r="67" spans="1:7">
      <c r="A67" s="203"/>
      <c r="B67" s="3"/>
      <c r="C67" s="3"/>
      <c r="D67" s="3"/>
      <c r="E67" s="3"/>
      <c r="F67" s="3"/>
      <c r="G67" s="203"/>
    </row>
    <row r="68" spans="1:7">
      <c r="A68" s="203"/>
      <c r="B68" s="3"/>
      <c r="C68" s="3"/>
      <c r="D68" s="3"/>
      <c r="E68" s="3"/>
      <c r="F68" s="3"/>
      <c r="G68" s="203"/>
    </row>
    <row r="69" spans="1:7">
      <c r="A69" s="203"/>
      <c r="B69" s="3"/>
      <c r="C69" s="3"/>
      <c r="D69" s="3"/>
      <c r="E69" s="3"/>
      <c r="F69" s="3"/>
      <c r="G69" s="203"/>
    </row>
    <row r="70" spans="1:7">
      <c r="A70" s="203"/>
      <c r="B70" s="3"/>
      <c r="C70" s="3"/>
      <c r="D70" s="3"/>
      <c r="E70" s="3"/>
      <c r="F70" s="3"/>
      <c r="G70" s="203"/>
    </row>
    <row r="71" spans="1:7">
      <c r="A71" s="203"/>
      <c r="B71" s="3"/>
      <c r="C71" s="3"/>
      <c r="D71" s="3"/>
      <c r="E71" s="3"/>
      <c r="F71" s="3"/>
      <c r="G71" s="203"/>
    </row>
    <row r="72" spans="1:7">
      <c r="A72" s="203"/>
      <c r="B72" s="3"/>
      <c r="C72" s="3"/>
      <c r="D72" s="3"/>
      <c r="E72" s="3"/>
      <c r="F72" s="3"/>
      <c r="G72" s="203"/>
    </row>
    <row r="73" spans="1:7">
      <c r="A73" s="203"/>
      <c r="B73" s="3"/>
      <c r="C73" s="3"/>
      <c r="D73" s="3"/>
      <c r="E73" s="3"/>
      <c r="F73" s="3"/>
      <c r="G73" s="203"/>
    </row>
    <row r="74" spans="1:7">
      <c r="A74" s="203"/>
      <c r="B74" s="3"/>
      <c r="C74" s="3"/>
      <c r="D74" s="3"/>
      <c r="E74" s="3"/>
      <c r="F74" s="3"/>
      <c r="G74" s="203"/>
    </row>
    <row r="75" spans="1:7">
      <c r="A75" s="203"/>
      <c r="B75" s="3"/>
      <c r="C75" s="3"/>
      <c r="D75" s="3"/>
      <c r="E75" s="3"/>
      <c r="F75" s="3"/>
      <c r="G75" s="203"/>
    </row>
    <row r="76" spans="1:7">
      <c r="A76" s="203"/>
      <c r="B76" s="3"/>
      <c r="C76" s="3"/>
      <c r="D76" s="3"/>
      <c r="E76" s="3"/>
      <c r="F76" s="3"/>
      <c r="G76" s="203"/>
    </row>
    <row r="77" spans="1:7">
      <c r="A77" s="203"/>
      <c r="B77" s="3"/>
      <c r="C77" s="3"/>
      <c r="D77" s="3"/>
      <c r="E77" s="3"/>
      <c r="F77" s="3"/>
      <c r="G77" s="203"/>
    </row>
    <row r="78" spans="1:7">
      <c r="A78" s="203"/>
      <c r="B78" s="3"/>
      <c r="C78" s="3"/>
      <c r="D78" s="3"/>
      <c r="E78" s="3"/>
      <c r="F78" s="3"/>
      <c r="G78" s="203"/>
    </row>
    <row r="79" spans="1:7">
      <c r="A79" s="203"/>
      <c r="B79" s="3"/>
      <c r="C79" s="3"/>
      <c r="D79" s="3"/>
      <c r="E79" s="3"/>
      <c r="F79" s="3"/>
      <c r="G79" s="203"/>
    </row>
    <row r="80" spans="1:7">
      <c r="A80" s="203"/>
      <c r="B80" s="203"/>
      <c r="C80" s="203"/>
      <c r="D80" s="203"/>
      <c r="E80" s="203"/>
      <c r="F80" s="203"/>
      <c r="G80" s="203"/>
    </row>
    <row r="81" spans="1:7">
      <c r="A81" s="203"/>
      <c r="B81" s="203"/>
      <c r="C81" s="203"/>
      <c r="D81" s="203"/>
      <c r="E81" s="203"/>
      <c r="F81" s="203"/>
      <c r="G81" s="203"/>
    </row>
    <row r="82" spans="1:7">
      <c r="A82" s="3"/>
      <c r="B82" s="3"/>
      <c r="C82" s="3"/>
      <c r="D82" s="3"/>
      <c r="E82" s="3"/>
      <c r="F82" s="3"/>
      <c r="G82" s="3"/>
    </row>
  </sheetData>
  <sheetProtection algorithmName="SHA-512" hashValue="ed6Oyq39OoCYEVc4IVbtIy3JxslpLuyhKr+yAMQdwnxtJK7NrfZn2J4CysT7UVRptvFlsYaPANttfvd5Nkk+ow==" saltValue="2uQHJ4fAIyrXD1/77+k6kw==" spinCount="100000" sheet="1" objects="1" scenarios="1"/>
  <mergeCells count="46">
    <mergeCell ref="B51:D51"/>
    <mergeCell ref="B52:D52"/>
    <mergeCell ref="B54:D54"/>
    <mergeCell ref="B44:D44"/>
    <mergeCell ref="B53:D53"/>
    <mergeCell ref="B50:D50"/>
    <mergeCell ref="B41:D41"/>
    <mergeCell ref="B42:D42"/>
    <mergeCell ref="B43:D43"/>
    <mergeCell ref="B45:D45"/>
    <mergeCell ref="B49:D49"/>
    <mergeCell ref="B40:D40"/>
    <mergeCell ref="B29:D29"/>
    <mergeCell ref="B30:D30"/>
    <mergeCell ref="B31:D31"/>
    <mergeCell ref="B32:D32"/>
    <mergeCell ref="B33:D33"/>
    <mergeCell ref="B34:D34"/>
    <mergeCell ref="B35:D35"/>
    <mergeCell ref="B36:D36"/>
    <mergeCell ref="B37:D37"/>
    <mergeCell ref="B38:D38"/>
    <mergeCell ref="B39:D39"/>
    <mergeCell ref="B28:D28"/>
    <mergeCell ref="B14:D14"/>
    <mergeCell ref="B15:D15"/>
    <mergeCell ref="B16:D16"/>
    <mergeCell ref="B17:D17"/>
    <mergeCell ref="B18:D18"/>
    <mergeCell ref="B19:D19"/>
    <mergeCell ref="B20:D20"/>
    <mergeCell ref="B21:D21"/>
    <mergeCell ref="B22:D22"/>
    <mergeCell ref="B26:D26"/>
    <mergeCell ref="B27:D27"/>
    <mergeCell ref="B13:D13"/>
    <mergeCell ref="B3:D3"/>
    <mergeCell ref="B4:D4"/>
    <mergeCell ref="B5:D5"/>
    <mergeCell ref="B6:D6"/>
    <mergeCell ref="B7:D7"/>
    <mergeCell ref="B8:D8"/>
    <mergeCell ref="B9:D9"/>
    <mergeCell ref="B10:D10"/>
    <mergeCell ref="B11:D11"/>
    <mergeCell ref="B12:D12"/>
  </mergeCells>
  <pageMargins left="0.7" right="0.7" top="0.75" bottom="0.75" header="0.3" footer="0.3"/>
  <pageSetup scale="6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T55"/>
  <sheetViews>
    <sheetView zoomScaleNormal="100" workbookViewId="0">
      <selection activeCell="H35" sqref="H35"/>
    </sheetView>
  </sheetViews>
  <sheetFormatPr baseColWidth="10" defaultColWidth="9.1640625" defaultRowHeight="13"/>
  <cols>
    <col min="1" max="1" width="3.6640625" style="103" customWidth="1"/>
    <col min="2" max="2" width="17.83203125" style="103" customWidth="1"/>
    <col min="3" max="3" width="9.1640625" style="103"/>
    <col min="4" max="4" width="18.1640625" style="103" customWidth="1"/>
    <col min="5" max="5" width="38.1640625" style="103" customWidth="1"/>
    <col min="6" max="6" width="4.1640625" style="103" customWidth="1"/>
    <col min="7" max="7" width="18.33203125" style="103" customWidth="1"/>
    <col min="8" max="8" width="29.5" style="103" customWidth="1"/>
    <col min="9" max="10" width="3.6640625" style="103" customWidth="1"/>
    <col min="11" max="18" width="9.1640625" style="103"/>
    <col min="19" max="19" width="75" style="103" customWidth="1"/>
    <col min="20" max="16384" width="9.1640625" style="103"/>
  </cols>
  <sheetData>
    <row r="1" spans="1:20" ht="15" thickTop="1" thickBot="1">
      <c r="A1" s="344" t="s">
        <v>179</v>
      </c>
      <c r="B1" s="650"/>
      <c r="C1" s="651"/>
      <c r="D1" s="819">
        <f>+Cover!D6</f>
        <v>91818</v>
      </c>
      <c r="E1" s="1267">
        <f>Cover!E9</f>
        <v>0</v>
      </c>
      <c r="F1" s="1268"/>
      <c r="G1" s="652"/>
      <c r="H1" s="652"/>
      <c r="I1" s="652"/>
    </row>
    <row r="2" spans="1:20" ht="15" thickTop="1" thickBot="1">
      <c r="A2" s="346"/>
      <c r="B2" s="345" t="s">
        <v>180</v>
      </c>
      <c r="C2" s="653"/>
      <c r="D2" s="653"/>
      <c r="E2" s="654"/>
      <c r="F2" s="655"/>
      <c r="G2" s="652"/>
      <c r="H2" s="652"/>
      <c r="I2" s="652"/>
      <c r="T2" s="103" t="s">
        <v>197</v>
      </c>
    </row>
    <row r="3" spans="1:20" ht="14" thickTop="1">
      <c r="A3" s="346"/>
      <c r="B3" s="1273" t="s">
        <v>181</v>
      </c>
      <c r="C3" s="1273"/>
      <c r="D3" s="1273"/>
      <c r="E3" s="175"/>
      <c r="F3" s="655"/>
      <c r="T3" s="103" t="s">
        <v>198</v>
      </c>
    </row>
    <row r="4" spans="1:20">
      <c r="A4" s="346"/>
      <c r="B4" s="1269" t="s">
        <v>182</v>
      </c>
      <c r="C4" s="1269"/>
      <c r="D4" s="1269"/>
      <c r="E4" s="176"/>
      <c r="F4" s="655"/>
      <c r="T4" s="103" t="s">
        <v>199</v>
      </c>
    </row>
    <row r="5" spans="1:20">
      <c r="A5" s="346"/>
      <c r="B5" s="1269" t="s">
        <v>183</v>
      </c>
      <c r="C5" s="1269"/>
      <c r="D5" s="1269"/>
      <c r="E5" s="176"/>
      <c r="F5" s="655"/>
      <c r="T5" s="103" t="s">
        <v>200</v>
      </c>
    </row>
    <row r="6" spans="1:20">
      <c r="A6" s="346"/>
      <c r="B6" s="1269" t="s">
        <v>184</v>
      </c>
      <c r="C6" s="1269"/>
      <c r="D6" s="1269"/>
      <c r="E6" s="177"/>
      <c r="F6" s="655"/>
      <c r="T6" s="103" t="s">
        <v>39</v>
      </c>
    </row>
    <row r="7" spans="1:20">
      <c r="A7" s="346"/>
      <c r="B7" s="1269" t="s">
        <v>185</v>
      </c>
      <c r="C7" s="1269"/>
      <c r="D7" s="1269"/>
      <c r="E7" s="177"/>
      <c r="F7" s="655"/>
    </row>
    <row r="8" spans="1:20">
      <c r="A8" s="346"/>
      <c r="B8" s="1269" t="s">
        <v>186</v>
      </c>
      <c r="C8" s="1269"/>
      <c r="D8" s="1269"/>
      <c r="E8" s="178"/>
      <c r="F8" s="655"/>
    </row>
    <row r="9" spans="1:20">
      <c r="A9" s="346"/>
      <c r="B9" s="1269" t="s">
        <v>187</v>
      </c>
      <c r="C9" s="1269"/>
      <c r="D9" s="1269"/>
      <c r="E9" s="179"/>
      <c r="F9" s="655"/>
    </row>
    <row r="10" spans="1:20">
      <c r="A10" s="346"/>
      <c r="B10" s="1269" t="s">
        <v>188</v>
      </c>
      <c r="C10" s="1269"/>
      <c r="D10" s="1269"/>
      <c r="E10" s="656">
        <f>+E12/12</f>
        <v>0</v>
      </c>
      <c r="F10" s="655"/>
    </row>
    <row r="11" spans="1:20">
      <c r="A11" s="346"/>
      <c r="B11" s="1270"/>
      <c r="C11" s="1271"/>
      <c r="D11" s="1271"/>
      <c r="E11" s="1272"/>
      <c r="F11" s="655"/>
    </row>
    <row r="12" spans="1:20">
      <c r="A12" s="346"/>
      <c r="B12" s="1269" t="s">
        <v>189</v>
      </c>
      <c r="C12" s="1269"/>
      <c r="D12" s="1269"/>
      <c r="E12" s="656">
        <f>IF(E8&gt;0, -PMT(E8/12,E9*12,E4), 0)*12</f>
        <v>0</v>
      </c>
      <c r="F12" s="655"/>
    </row>
    <row r="13" spans="1:20">
      <c r="A13" s="346"/>
      <c r="B13" s="1269" t="s">
        <v>477</v>
      </c>
      <c r="C13" s="1269"/>
      <c r="D13" s="1269"/>
      <c r="E13" s="179"/>
      <c r="F13" s="655"/>
    </row>
    <row r="14" spans="1:20">
      <c r="A14" s="346"/>
      <c r="B14" s="1269" t="s">
        <v>190</v>
      </c>
      <c r="C14" s="1269"/>
      <c r="D14" s="1269"/>
      <c r="E14" s="178"/>
      <c r="F14" s="655"/>
    </row>
    <row r="15" spans="1:20">
      <c r="A15" s="346"/>
      <c r="B15" s="1269" t="s">
        <v>191</v>
      </c>
      <c r="C15" s="1269"/>
      <c r="D15" s="1269"/>
      <c r="E15" s="177"/>
      <c r="F15" s="655"/>
    </row>
    <row r="16" spans="1:20">
      <c r="A16" s="346"/>
      <c r="B16" s="1269" t="s">
        <v>192</v>
      </c>
      <c r="C16" s="1269"/>
      <c r="D16" s="1269"/>
      <c r="E16" s="179"/>
      <c r="F16" s="655"/>
    </row>
    <row r="17" spans="1:6">
      <c r="A17" s="346"/>
      <c r="B17" s="1269" t="s">
        <v>193</v>
      </c>
      <c r="C17" s="1269"/>
      <c r="D17" s="1269"/>
      <c r="E17" s="177"/>
      <c r="F17" s="655"/>
    </row>
    <row r="18" spans="1:6" ht="14" thickBot="1">
      <c r="A18" s="346"/>
      <c r="B18" s="657"/>
      <c r="C18" s="657"/>
      <c r="D18" s="657"/>
      <c r="E18" s="657"/>
      <c r="F18" s="655"/>
    </row>
    <row r="19" spans="1:6" ht="15" thickTop="1" thickBot="1">
      <c r="A19" s="346"/>
      <c r="B19" s="345" t="s">
        <v>194</v>
      </c>
      <c r="C19" s="653"/>
      <c r="D19" s="653"/>
      <c r="E19" s="654"/>
      <c r="F19" s="655"/>
    </row>
    <row r="20" spans="1:6" ht="14" thickTop="1">
      <c r="A20" s="346"/>
      <c r="B20" s="1273" t="s">
        <v>181</v>
      </c>
      <c r="C20" s="1273"/>
      <c r="D20" s="1273"/>
      <c r="E20" s="175"/>
      <c r="F20" s="655"/>
    </row>
    <row r="21" spans="1:6">
      <c r="A21" s="346"/>
      <c r="B21" s="1269" t="s">
        <v>182</v>
      </c>
      <c r="C21" s="1269"/>
      <c r="D21" s="1269"/>
      <c r="E21" s="176"/>
      <c r="F21" s="655"/>
    </row>
    <row r="22" spans="1:6">
      <c r="A22" s="346"/>
      <c r="B22" s="1269" t="s">
        <v>183</v>
      </c>
      <c r="C22" s="1269"/>
      <c r="D22" s="1269"/>
      <c r="E22" s="176"/>
      <c r="F22" s="655"/>
    </row>
    <row r="23" spans="1:6">
      <c r="A23" s="346"/>
      <c r="B23" s="1269" t="s">
        <v>184</v>
      </c>
      <c r="C23" s="1269"/>
      <c r="D23" s="1269"/>
      <c r="E23" s="177"/>
      <c r="F23" s="655"/>
    </row>
    <row r="24" spans="1:6">
      <c r="A24" s="346"/>
      <c r="B24" s="1269" t="s">
        <v>185</v>
      </c>
      <c r="C24" s="1269"/>
      <c r="D24" s="1269"/>
      <c r="E24" s="177"/>
      <c r="F24" s="655"/>
    </row>
    <row r="25" spans="1:6">
      <c r="A25" s="346"/>
      <c r="B25" s="1269" t="s">
        <v>186</v>
      </c>
      <c r="C25" s="1269"/>
      <c r="D25" s="1269"/>
      <c r="E25" s="178"/>
      <c r="F25" s="655"/>
    </row>
    <row r="26" spans="1:6">
      <c r="A26" s="346"/>
      <c r="B26" s="1269" t="s">
        <v>187</v>
      </c>
      <c r="C26" s="1269"/>
      <c r="D26" s="1269"/>
      <c r="E26" s="179"/>
      <c r="F26" s="655"/>
    </row>
    <row r="27" spans="1:6">
      <c r="A27" s="346"/>
      <c r="B27" s="1269" t="s">
        <v>188</v>
      </c>
      <c r="C27" s="1269"/>
      <c r="D27" s="1269"/>
      <c r="E27" s="656">
        <f>+E29/12</f>
        <v>0</v>
      </c>
      <c r="F27" s="655"/>
    </row>
    <row r="28" spans="1:6">
      <c r="A28" s="346"/>
      <c r="B28" s="1270"/>
      <c r="C28" s="1271"/>
      <c r="D28" s="1271"/>
      <c r="E28" s="1272"/>
      <c r="F28" s="655"/>
    </row>
    <row r="29" spans="1:6">
      <c r="A29" s="346"/>
      <c r="B29" s="1269" t="s">
        <v>189</v>
      </c>
      <c r="C29" s="1269"/>
      <c r="D29" s="1269"/>
      <c r="E29" s="656">
        <f>IF(E25&gt;0, -PMT(E25/12,E26*12,E21), 0)*12</f>
        <v>0</v>
      </c>
      <c r="F29" s="655"/>
    </row>
    <row r="30" spans="1:6">
      <c r="A30" s="346"/>
      <c r="B30" s="1269" t="s">
        <v>477</v>
      </c>
      <c r="C30" s="1269"/>
      <c r="D30" s="1269"/>
      <c r="E30" s="179"/>
      <c r="F30" s="655"/>
    </row>
    <row r="31" spans="1:6">
      <c r="A31" s="346"/>
      <c r="B31" s="1269" t="s">
        <v>190</v>
      </c>
      <c r="C31" s="1269"/>
      <c r="D31" s="1269"/>
      <c r="E31" s="178"/>
      <c r="F31" s="655"/>
    </row>
    <row r="32" spans="1:6">
      <c r="A32" s="346"/>
      <c r="B32" s="1269" t="s">
        <v>191</v>
      </c>
      <c r="C32" s="1269"/>
      <c r="D32" s="1269"/>
      <c r="E32" s="177"/>
      <c r="F32" s="655"/>
    </row>
    <row r="33" spans="1:6">
      <c r="A33" s="346"/>
      <c r="B33" s="1269" t="s">
        <v>192</v>
      </c>
      <c r="C33" s="1269"/>
      <c r="D33" s="1269"/>
      <c r="E33" s="179"/>
      <c r="F33" s="655"/>
    </row>
    <row r="34" spans="1:6">
      <c r="A34" s="346"/>
      <c r="B34" s="1269" t="s">
        <v>193</v>
      </c>
      <c r="C34" s="1269"/>
      <c r="D34" s="1269"/>
      <c r="E34" s="177"/>
      <c r="F34" s="655"/>
    </row>
    <row r="35" spans="1:6" ht="14" thickBot="1">
      <c r="A35" s="346"/>
      <c r="B35" s="658"/>
      <c r="C35" s="658"/>
      <c r="D35" s="1266"/>
      <c r="E35" s="1266"/>
      <c r="F35" s="655"/>
    </row>
    <row r="36" spans="1:6" ht="15" thickTop="1" thickBot="1">
      <c r="A36" s="346"/>
      <c r="B36" s="345" t="s">
        <v>620</v>
      </c>
      <c r="C36" s="653"/>
      <c r="D36" s="653"/>
      <c r="E36" s="654"/>
      <c r="F36" s="655"/>
    </row>
    <row r="37" spans="1:6" ht="14" thickTop="1">
      <c r="A37" s="346"/>
      <c r="B37" s="1273" t="s">
        <v>181</v>
      </c>
      <c r="C37" s="1273"/>
      <c r="D37" s="1273"/>
      <c r="E37" s="659" t="s">
        <v>619</v>
      </c>
      <c r="F37" s="655"/>
    </row>
    <row r="38" spans="1:6">
      <c r="A38" s="346"/>
      <c r="B38" s="1269" t="s">
        <v>182</v>
      </c>
      <c r="C38" s="1269"/>
      <c r="D38" s="1269"/>
      <c r="E38" s="660">
        <f>+'Primary Input'!E30:G30</f>
        <v>0</v>
      </c>
      <c r="F38" s="655"/>
    </row>
    <row r="39" spans="1:6">
      <c r="A39" s="661"/>
      <c r="B39" s="1269" t="s">
        <v>186</v>
      </c>
      <c r="C39" s="1269"/>
      <c r="D39" s="1269"/>
      <c r="E39" s="662">
        <v>3.0200000000000001E-2</v>
      </c>
      <c r="F39" s="655"/>
    </row>
    <row r="40" spans="1:6">
      <c r="A40" s="661"/>
      <c r="B40" s="1269" t="s">
        <v>195</v>
      </c>
      <c r="C40" s="1269"/>
      <c r="D40" s="1269"/>
      <c r="E40" s="663">
        <f>+Amortization!G18</f>
        <v>0</v>
      </c>
      <c r="F40" s="655"/>
    </row>
    <row r="41" spans="1:6">
      <c r="A41" s="661"/>
      <c r="B41" s="1270" t="s">
        <v>196</v>
      </c>
      <c r="C41" s="1271"/>
      <c r="D41" s="1272"/>
      <c r="E41" s="867">
        <f>+E38-E40</f>
        <v>0</v>
      </c>
      <c r="F41" s="655"/>
    </row>
    <row r="42" spans="1:6">
      <c r="A42" s="664"/>
      <c r="B42" s="658"/>
      <c r="C42" s="658"/>
      <c r="D42" s="658"/>
      <c r="E42" s="658"/>
      <c r="F42" s="665"/>
    </row>
    <row r="43" spans="1:6">
      <c r="A43" s="664"/>
      <c r="B43" s="658"/>
      <c r="C43" s="658"/>
      <c r="D43" s="658"/>
      <c r="E43" s="658"/>
      <c r="F43" s="665"/>
    </row>
    <row r="44" spans="1:6">
      <c r="A44" s="664"/>
      <c r="B44" s="666"/>
      <c r="C44" s="666"/>
      <c r="D44" s="666"/>
      <c r="E44" s="666"/>
      <c r="F44" s="665"/>
    </row>
    <row r="45" spans="1:6">
      <c r="A45" s="664"/>
      <c r="B45" s="666"/>
      <c r="C45" s="666"/>
      <c r="D45" s="666"/>
      <c r="E45" s="666"/>
      <c r="F45" s="665"/>
    </row>
    <row r="46" spans="1:6">
      <c r="A46" s="664"/>
      <c r="B46" s="666"/>
      <c r="C46" s="666"/>
      <c r="D46" s="666"/>
      <c r="E46" s="666"/>
      <c r="F46" s="665"/>
    </row>
    <row r="47" spans="1:6">
      <c r="A47" s="664"/>
      <c r="B47" s="666"/>
      <c r="C47" s="666"/>
      <c r="D47" s="666"/>
      <c r="E47" s="666"/>
      <c r="F47" s="665"/>
    </row>
    <row r="48" spans="1:6">
      <c r="A48" s="664"/>
      <c r="B48" s="666"/>
      <c r="C48" s="666"/>
      <c r="D48" s="666"/>
      <c r="E48" s="666"/>
      <c r="F48" s="665"/>
    </row>
    <row r="49" spans="1:6">
      <c r="A49" s="664"/>
      <c r="B49" s="666"/>
      <c r="C49" s="666"/>
      <c r="D49" s="666"/>
      <c r="E49" s="666"/>
      <c r="F49" s="665"/>
    </row>
    <row r="50" spans="1:6">
      <c r="A50" s="664"/>
      <c r="B50" s="666"/>
      <c r="C50" s="666"/>
      <c r="D50" s="666"/>
      <c r="E50" s="666"/>
      <c r="F50" s="665"/>
    </row>
    <row r="51" spans="1:6">
      <c r="A51" s="664"/>
      <c r="B51" s="666"/>
      <c r="C51" s="666"/>
      <c r="D51" s="666"/>
      <c r="E51" s="666"/>
      <c r="F51" s="665"/>
    </row>
    <row r="52" spans="1:6">
      <c r="A52" s="664"/>
      <c r="B52" s="666"/>
      <c r="C52" s="666"/>
      <c r="D52" s="666"/>
      <c r="E52" s="666"/>
      <c r="F52" s="665"/>
    </row>
    <row r="53" spans="1:6">
      <c r="A53" s="664"/>
      <c r="B53" s="666"/>
      <c r="C53" s="666"/>
      <c r="D53" s="666"/>
      <c r="E53" s="666"/>
      <c r="F53" s="665"/>
    </row>
    <row r="54" spans="1:6" ht="14" thickBot="1">
      <c r="A54" s="667"/>
      <c r="B54" s="668"/>
      <c r="C54" s="668"/>
      <c r="D54" s="668"/>
      <c r="E54" s="668"/>
      <c r="F54" s="669"/>
    </row>
    <row r="55" spans="1:6" ht="14" thickTop="1"/>
  </sheetData>
  <sheetProtection algorithmName="SHA-512" hashValue="UpLzVgpxpVcmRNimua4gm4vp+utNEvrxwCVr4zMyu2WNuTDE9j1qh9l/oeCiwTlSLPS2uPb3aGrN3HTlB0Irow==" saltValue="gYWl4WD1/Cej9jualRLb3A==" spinCount="100000" sheet="1" objects="1" scenarios="1"/>
  <mergeCells count="37">
    <mergeCell ref="B3:D3"/>
    <mergeCell ref="B4:D4"/>
    <mergeCell ref="B5:D5"/>
    <mergeCell ref="B6:D6"/>
    <mergeCell ref="B7:D7"/>
    <mergeCell ref="B8:D8"/>
    <mergeCell ref="B9:D9"/>
    <mergeCell ref="B10:D10"/>
    <mergeCell ref="B12:D12"/>
    <mergeCell ref="B13:D13"/>
    <mergeCell ref="B14:D14"/>
    <mergeCell ref="B11:E11"/>
    <mergeCell ref="B15:D15"/>
    <mergeCell ref="B16:D16"/>
    <mergeCell ref="B17:D17"/>
    <mergeCell ref="B20:D20"/>
    <mergeCell ref="B21:D21"/>
    <mergeCell ref="B22:D22"/>
    <mergeCell ref="B30:D30"/>
    <mergeCell ref="B23:D23"/>
    <mergeCell ref="B24:D24"/>
    <mergeCell ref="D35:E35"/>
    <mergeCell ref="E1:F1"/>
    <mergeCell ref="B33:D33"/>
    <mergeCell ref="B34:D34"/>
    <mergeCell ref="B41:D41"/>
    <mergeCell ref="B37:D37"/>
    <mergeCell ref="B38:D38"/>
    <mergeCell ref="B39:D39"/>
    <mergeCell ref="B40:D40"/>
    <mergeCell ref="B29:D29"/>
    <mergeCell ref="B31:D31"/>
    <mergeCell ref="B32:D32"/>
    <mergeCell ref="B25:D25"/>
    <mergeCell ref="B26:D26"/>
    <mergeCell ref="B27:D27"/>
    <mergeCell ref="B28:E28"/>
  </mergeCells>
  <phoneticPr fontId="0" type="noConversion"/>
  <dataValidations count="1">
    <dataValidation type="list" allowBlank="1" showInputMessage="1" showErrorMessage="1" promptTitle="Loan Type" prompt="If selection is &quot;Other&quot;, please explain in text box." sqref="E17 E34" xr:uid="{00000000-0002-0000-0A00-000000000000}">
      <formula1>$T$1:$T$6</formula1>
    </dataValidation>
  </dataValidations>
  <printOptions horizontalCentered="1"/>
  <pageMargins left="0.75" right="0.75" top="1" bottom="1" header="0.5" footer="0.5"/>
  <pageSetup scale="93"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
  <sheetViews>
    <sheetView workbookViewId="0">
      <selection activeCell="G18" sqref="G18"/>
    </sheetView>
  </sheetViews>
  <sheetFormatPr baseColWidth="10" defaultColWidth="9.1640625" defaultRowHeight="13"/>
  <cols>
    <col min="1" max="1" width="3.6640625" style="3" customWidth="1"/>
    <col min="2" max="2" width="4.6640625" style="3" customWidth="1"/>
    <col min="3" max="7" width="8.6640625" style="3" customWidth="1"/>
    <col min="8" max="8" width="5.5" style="3" customWidth="1"/>
    <col min="9" max="9" width="4.83203125" style="3" customWidth="1"/>
    <col min="10" max="13" width="8.6640625" style="3" customWidth="1"/>
    <col min="14" max="14" width="2.83203125" style="3" customWidth="1"/>
    <col min="15" max="16384" width="9.1640625" style="3"/>
  </cols>
  <sheetData>
    <row r="1" spans="1:14">
      <c r="A1" s="1" t="s">
        <v>436</v>
      </c>
      <c r="B1" s="22"/>
      <c r="C1" s="22"/>
      <c r="D1" s="22"/>
      <c r="E1" s="22"/>
      <c r="F1" s="22"/>
      <c r="G1" s="22"/>
      <c r="H1" s="22"/>
      <c r="I1" s="22"/>
      <c r="J1" s="22"/>
      <c r="K1" s="984">
        <f>+Cover!$H$6</f>
        <v>0</v>
      </c>
      <c r="L1" s="984"/>
      <c r="M1" s="8"/>
      <c r="N1" s="22"/>
    </row>
    <row r="2" spans="1:14">
      <c r="A2" s="73"/>
      <c r="B2" s="74" t="s">
        <v>621</v>
      </c>
      <c r="C2" s="75"/>
      <c r="D2" s="75"/>
      <c r="E2" s="76"/>
      <c r="F2" s="76"/>
      <c r="G2" s="77"/>
      <c r="H2" s="22"/>
      <c r="I2" s="74" t="s">
        <v>437</v>
      </c>
      <c r="J2" s="75"/>
      <c r="K2" s="75"/>
      <c r="L2" s="76"/>
      <c r="M2" s="77"/>
      <c r="N2" s="22"/>
    </row>
    <row r="3" spans="1:14" ht="12.75" customHeight="1">
      <c r="A3" s="78"/>
      <c r="B3" s="79" t="s">
        <v>438</v>
      </c>
      <c r="C3" s="79" t="s">
        <v>439</v>
      </c>
      <c r="D3" s="79" t="s">
        <v>440</v>
      </c>
      <c r="E3" s="79" t="s">
        <v>441</v>
      </c>
      <c r="F3" s="79" t="s">
        <v>442</v>
      </c>
      <c r="G3" s="79" t="s">
        <v>443</v>
      </c>
      <c r="H3" s="22"/>
      <c r="I3" s="79" t="s">
        <v>438</v>
      </c>
      <c r="J3" s="79" t="s">
        <v>439</v>
      </c>
      <c r="K3" s="79" t="s">
        <v>444</v>
      </c>
      <c r="L3" s="84">
        <v>0.11</v>
      </c>
      <c r="M3" s="79" t="s">
        <v>552</v>
      </c>
      <c r="N3" s="22"/>
    </row>
    <row r="4" spans="1:14">
      <c r="A4" s="73"/>
      <c r="B4" s="80">
        <v>1</v>
      </c>
      <c r="C4" s="81">
        <f>+'Primary Input'!E30</f>
        <v>0</v>
      </c>
      <c r="D4" s="81">
        <f>+'Loan Information'!E$39*C4</f>
        <v>0</v>
      </c>
      <c r="E4" s="81">
        <f>+'Pro Forma'!D38</f>
        <v>0</v>
      </c>
      <c r="F4" s="81">
        <f>MAX(E4,0)</f>
        <v>0</v>
      </c>
      <c r="G4" s="81">
        <f>IF((C4+D4-E4)&lt;0,0,(C4+D4-F4))</f>
        <v>0</v>
      </c>
      <c r="H4" s="22"/>
      <c r="I4" s="80">
        <v>1</v>
      </c>
      <c r="J4" s="82">
        <f>+E4</f>
        <v>0</v>
      </c>
      <c r="K4" s="81">
        <f>MAX(J4,0)</f>
        <v>0</v>
      </c>
      <c r="L4" s="83">
        <f>1/(1+L$3)^(I4-1)</f>
        <v>1</v>
      </c>
      <c r="M4" s="81">
        <f>+K4*L4</f>
        <v>0</v>
      </c>
      <c r="N4" s="22"/>
    </row>
    <row r="5" spans="1:14">
      <c r="A5" s="73"/>
      <c r="B5" s="80">
        <v>2</v>
      </c>
      <c r="C5" s="81">
        <f>+G4</f>
        <v>0</v>
      </c>
      <c r="D5" s="81">
        <f>+'Loan Information'!E$39*C5</f>
        <v>0</v>
      </c>
      <c r="E5" s="81">
        <f>+'Pro Forma'!F38</f>
        <v>0</v>
      </c>
      <c r="F5" s="81">
        <f t="shared" ref="F5:F18" si="0">MAX(E5,0)</f>
        <v>0</v>
      </c>
      <c r="G5" s="81">
        <f t="shared" ref="G5:G18" si="1">IF((C5+D5-E5)&lt;0,0,(C5+D5-F5))</f>
        <v>0</v>
      </c>
      <c r="H5" s="22"/>
      <c r="I5" s="80">
        <f>+B5</f>
        <v>2</v>
      </c>
      <c r="J5" s="82">
        <f>+E5</f>
        <v>0</v>
      </c>
      <c r="K5" s="81">
        <f t="shared" ref="K5:K18" si="2">MAX(J5,0)</f>
        <v>0</v>
      </c>
      <c r="L5" s="83">
        <f t="shared" ref="L5:L18" si="3">1/(1+L$3)^(I5-1)</f>
        <v>0.9009009009009008</v>
      </c>
      <c r="M5" s="81">
        <f t="shared" ref="M5:M18" si="4">+K5*L5</f>
        <v>0</v>
      </c>
      <c r="N5" s="22"/>
    </row>
    <row r="6" spans="1:14">
      <c r="A6" s="73"/>
      <c r="B6" s="80">
        <v>3</v>
      </c>
      <c r="C6" s="81">
        <f t="shared" ref="C6:C18" si="5">+G5</f>
        <v>0</v>
      </c>
      <c r="D6" s="81">
        <f>+'Loan Information'!E$39*C6</f>
        <v>0</v>
      </c>
      <c r="E6" s="81">
        <f>+'Pro Forma'!H38</f>
        <v>0</v>
      </c>
      <c r="F6" s="81">
        <f t="shared" si="0"/>
        <v>0</v>
      </c>
      <c r="G6" s="81">
        <f t="shared" si="1"/>
        <v>0</v>
      </c>
      <c r="H6" s="22"/>
      <c r="I6" s="80">
        <f t="shared" ref="I6:I18" si="6">+B6</f>
        <v>3</v>
      </c>
      <c r="J6" s="82">
        <f t="shared" ref="J6:J18" si="7">+E6</f>
        <v>0</v>
      </c>
      <c r="K6" s="81">
        <f t="shared" si="2"/>
        <v>0</v>
      </c>
      <c r="L6" s="83">
        <f t="shared" si="3"/>
        <v>0.8116224332440547</v>
      </c>
      <c r="M6" s="81">
        <f t="shared" si="4"/>
        <v>0</v>
      </c>
      <c r="N6" s="22"/>
    </row>
    <row r="7" spans="1:14">
      <c r="A7" s="73"/>
      <c r="B7" s="80">
        <v>4</v>
      </c>
      <c r="C7" s="81">
        <f t="shared" si="5"/>
        <v>0</v>
      </c>
      <c r="D7" s="81">
        <f>+'Loan Information'!E$39*C7</f>
        <v>0</v>
      </c>
      <c r="E7" s="81">
        <f>+'Pro Forma'!J38</f>
        <v>0</v>
      </c>
      <c r="F7" s="81">
        <f t="shared" si="0"/>
        <v>0</v>
      </c>
      <c r="G7" s="81">
        <f t="shared" si="1"/>
        <v>0</v>
      </c>
      <c r="H7" s="22"/>
      <c r="I7" s="80">
        <f t="shared" si="6"/>
        <v>4</v>
      </c>
      <c r="J7" s="82">
        <f t="shared" si="7"/>
        <v>0</v>
      </c>
      <c r="K7" s="81">
        <f t="shared" si="2"/>
        <v>0</v>
      </c>
      <c r="L7" s="83">
        <f t="shared" si="3"/>
        <v>0.73119138130095018</v>
      </c>
      <c r="M7" s="81">
        <f t="shared" si="4"/>
        <v>0</v>
      </c>
      <c r="N7" s="22"/>
    </row>
    <row r="8" spans="1:14">
      <c r="A8" s="73"/>
      <c r="B8" s="80">
        <v>5</v>
      </c>
      <c r="C8" s="81">
        <f t="shared" si="5"/>
        <v>0</v>
      </c>
      <c r="D8" s="81">
        <f>+'Loan Information'!E$39*C8</f>
        <v>0</v>
      </c>
      <c r="E8" s="81">
        <f>+'Pro Forma'!L38</f>
        <v>0</v>
      </c>
      <c r="F8" s="81">
        <f t="shared" si="0"/>
        <v>0</v>
      </c>
      <c r="G8" s="81">
        <f t="shared" si="1"/>
        <v>0</v>
      </c>
      <c r="H8" s="22"/>
      <c r="I8" s="80">
        <f t="shared" si="6"/>
        <v>5</v>
      </c>
      <c r="J8" s="82">
        <f t="shared" si="7"/>
        <v>0</v>
      </c>
      <c r="K8" s="81">
        <f t="shared" si="2"/>
        <v>0</v>
      </c>
      <c r="L8" s="83">
        <f t="shared" si="3"/>
        <v>0.65873097414500015</v>
      </c>
      <c r="M8" s="81">
        <f t="shared" si="4"/>
        <v>0</v>
      </c>
      <c r="N8" s="22"/>
    </row>
    <row r="9" spans="1:14">
      <c r="A9" s="73"/>
      <c r="B9" s="80">
        <v>6</v>
      </c>
      <c r="C9" s="81">
        <f t="shared" si="5"/>
        <v>0</v>
      </c>
      <c r="D9" s="81">
        <f>+'Loan Information'!E$39*C9</f>
        <v>0</v>
      </c>
      <c r="E9" s="81">
        <f>+'Pro Forma'!N38</f>
        <v>0</v>
      </c>
      <c r="F9" s="81">
        <f t="shared" si="0"/>
        <v>0</v>
      </c>
      <c r="G9" s="81">
        <f t="shared" si="1"/>
        <v>0</v>
      </c>
      <c r="H9" s="22"/>
      <c r="I9" s="80">
        <f t="shared" si="6"/>
        <v>6</v>
      </c>
      <c r="J9" s="82">
        <f t="shared" si="7"/>
        <v>0</v>
      </c>
      <c r="K9" s="81">
        <f t="shared" si="2"/>
        <v>0</v>
      </c>
      <c r="L9" s="83">
        <f t="shared" si="3"/>
        <v>0.5934513280585586</v>
      </c>
      <c r="M9" s="81">
        <f t="shared" si="4"/>
        <v>0</v>
      </c>
      <c r="N9" s="22"/>
    </row>
    <row r="10" spans="1:14">
      <c r="A10" s="73"/>
      <c r="B10" s="80">
        <v>7</v>
      </c>
      <c r="C10" s="81">
        <f t="shared" si="5"/>
        <v>0</v>
      </c>
      <c r="D10" s="81">
        <f>+'Loan Information'!E$39*C10</f>
        <v>0</v>
      </c>
      <c r="E10" s="81">
        <f>+'Pro Forma'!P38</f>
        <v>0</v>
      </c>
      <c r="F10" s="81">
        <f t="shared" si="0"/>
        <v>0</v>
      </c>
      <c r="G10" s="81">
        <f t="shared" si="1"/>
        <v>0</v>
      </c>
      <c r="H10" s="22"/>
      <c r="I10" s="80">
        <f t="shared" si="6"/>
        <v>7</v>
      </c>
      <c r="J10" s="82">
        <f t="shared" si="7"/>
        <v>0</v>
      </c>
      <c r="K10" s="81">
        <f t="shared" si="2"/>
        <v>0</v>
      </c>
      <c r="L10" s="83">
        <f t="shared" si="3"/>
        <v>0.53464083608879154</v>
      </c>
      <c r="M10" s="81">
        <f t="shared" si="4"/>
        <v>0</v>
      </c>
      <c r="N10" s="22"/>
    </row>
    <row r="11" spans="1:14">
      <c r="A11" s="73"/>
      <c r="B11" s="80">
        <v>8</v>
      </c>
      <c r="C11" s="81">
        <f t="shared" si="5"/>
        <v>0</v>
      </c>
      <c r="D11" s="81">
        <f>+'Loan Information'!E$39*C11</f>
        <v>0</v>
      </c>
      <c r="E11" s="81">
        <f>+'Pro Forma'!R38</f>
        <v>0</v>
      </c>
      <c r="F11" s="81">
        <f t="shared" si="0"/>
        <v>0</v>
      </c>
      <c r="G11" s="81">
        <f t="shared" si="1"/>
        <v>0</v>
      </c>
      <c r="H11" s="22"/>
      <c r="I11" s="80">
        <f t="shared" si="6"/>
        <v>8</v>
      </c>
      <c r="J11" s="82">
        <f t="shared" si="7"/>
        <v>0</v>
      </c>
      <c r="K11" s="81">
        <f t="shared" si="2"/>
        <v>0</v>
      </c>
      <c r="L11" s="83">
        <f t="shared" si="3"/>
        <v>0.48165841089080319</v>
      </c>
      <c r="M11" s="81">
        <f t="shared" si="4"/>
        <v>0</v>
      </c>
      <c r="N11" s="22"/>
    </row>
    <row r="12" spans="1:14">
      <c r="A12" s="73"/>
      <c r="B12" s="80">
        <v>9</v>
      </c>
      <c r="C12" s="81">
        <f t="shared" si="5"/>
        <v>0</v>
      </c>
      <c r="D12" s="81">
        <f>+'Loan Information'!E$39*C12</f>
        <v>0</v>
      </c>
      <c r="E12" s="81">
        <f>+'Pro Forma'!T38</f>
        <v>0</v>
      </c>
      <c r="F12" s="81">
        <f t="shared" si="0"/>
        <v>0</v>
      </c>
      <c r="G12" s="81">
        <f t="shared" si="1"/>
        <v>0</v>
      </c>
      <c r="H12" s="22"/>
      <c r="I12" s="80">
        <f t="shared" si="6"/>
        <v>9</v>
      </c>
      <c r="J12" s="82">
        <f t="shared" si="7"/>
        <v>0</v>
      </c>
      <c r="K12" s="81">
        <f t="shared" si="2"/>
        <v>0</v>
      </c>
      <c r="L12" s="83">
        <f t="shared" si="3"/>
        <v>0.43392649629802077</v>
      </c>
      <c r="M12" s="81">
        <f t="shared" si="4"/>
        <v>0</v>
      </c>
      <c r="N12" s="22"/>
    </row>
    <row r="13" spans="1:14">
      <c r="A13" s="73"/>
      <c r="B13" s="80">
        <v>10</v>
      </c>
      <c r="C13" s="81">
        <f t="shared" si="5"/>
        <v>0</v>
      </c>
      <c r="D13" s="81">
        <f>+'Loan Information'!E$39*C13</f>
        <v>0</v>
      </c>
      <c r="E13" s="81">
        <f>+'Pro Forma'!V38</f>
        <v>0</v>
      </c>
      <c r="F13" s="81">
        <f t="shared" si="0"/>
        <v>0</v>
      </c>
      <c r="G13" s="81">
        <f t="shared" si="1"/>
        <v>0</v>
      </c>
      <c r="H13" s="22"/>
      <c r="I13" s="80">
        <f t="shared" si="6"/>
        <v>10</v>
      </c>
      <c r="J13" s="82">
        <f t="shared" si="7"/>
        <v>0</v>
      </c>
      <c r="K13" s="81">
        <f t="shared" si="2"/>
        <v>0</v>
      </c>
      <c r="L13" s="83">
        <f t="shared" si="3"/>
        <v>0.39092477143965831</v>
      </c>
      <c r="M13" s="81">
        <f t="shared" si="4"/>
        <v>0</v>
      </c>
      <c r="N13" s="22"/>
    </row>
    <row r="14" spans="1:14">
      <c r="A14" s="73"/>
      <c r="B14" s="80">
        <v>11</v>
      </c>
      <c r="C14" s="81">
        <f t="shared" si="5"/>
        <v>0</v>
      </c>
      <c r="D14" s="81">
        <f>+'Loan Information'!E$39*C14</f>
        <v>0</v>
      </c>
      <c r="E14" s="81">
        <f>+'Pro Forma'!X38</f>
        <v>0</v>
      </c>
      <c r="F14" s="81">
        <f t="shared" si="0"/>
        <v>0</v>
      </c>
      <c r="G14" s="81">
        <f t="shared" si="1"/>
        <v>0</v>
      </c>
      <c r="H14" s="22"/>
      <c r="I14" s="80">
        <f t="shared" si="6"/>
        <v>11</v>
      </c>
      <c r="J14" s="82">
        <f t="shared" si="7"/>
        <v>0</v>
      </c>
      <c r="K14" s="81">
        <f t="shared" si="2"/>
        <v>0</v>
      </c>
      <c r="L14" s="83">
        <f t="shared" si="3"/>
        <v>0.3521844787744669</v>
      </c>
      <c r="M14" s="81">
        <f t="shared" si="4"/>
        <v>0</v>
      </c>
      <c r="N14" s="22"/>
    </row>
    <row r="15" spans="1:14">
      <c r="A15" s="73"/>
      <c r="B15" s="80">
        <v>12</v>
      </c>
      <c r="C15" s="81">
        <f t="shared" si="5"/>
        <v>0</v>
      </c>
      <c r="D15" s="81">
        <f>+'Loan Information'!E$39*C15</f>
        <v>0</v>
      </c>
      <c r="E15" s="81">
        <f>+'Pro Forma'!Z38</f>
        <v>0</v>
      </c>
      <c r="F15" s="81">
        <f t="shared" si="0"/>
        <v>0</v>
      </c>
      <c r="G15" s="81">
        <f t="shared" si="1"/>
        <v>0</v>
      </c>
      <c r="H15" s="22"/>
      <c r="I15" s="80">
        <f t="shared" si="6"/>
        <v>12</v>
      </c>
      <c r="J15" s="82">
        <f t="shared" si="7"/>
        <v>0</v>
      </c>
      <c r="K15" s="81">
        <f t="shared" si="2"/>
        <v>0</v>
      </c>
      <c r="L15" s="83">
        <f t="shared" si="3"/>
        <v>0.31728331421123146</v>
      </c>
      <c r="M15" s="81">
        <f t="shared" si="4"/>
        <v>0</v>
      </c>
      <c r="N15" s="22"/>
    </row>
    <row r="16" spans="1:14">
      <c r="A16" s="73"/>
      <c r="B16" s="80">
        <v>13</v>
      </c>
      <c r="C16" s="81">
        <f t="shared" si="5"/>
        <v>0</v>
      </c>
      <c r="D16" s="81">
        <f>+'Loan Information'!E$39*C16</f>
        <v>0</v>
      </c>
      <c r="E16" s="81">
        <f>+'Pro Forma'!AB38</f>
        <v>0</v>
      </c>
      <c r="F16" s="81">
        <f t="shared" si="0"/>
        <v>0</v>
      </c>
      <c r="G16" s="81">
        <f t="shared" si="1"/>
        <v>0</v>
      </c>
      <c r="H16" s="22"/>
      <c r="I16" s="80">
        <f t="shared" si="6"/>
        <v>13</v>
      </c>
      <c r="J16" s="82">
        <f t="shared" si="7"/>
        <v>0</v>
      </c>
      <c r="K16" s="81">
        <f t="shared" si="2"/>
        <v>0</v>
      </c>
      <c r="L16" s="83">
        <f t="shared" si="3"/>
        <v>0.28584082361372198</v>
      </c>
      <c r="M16" s="81">
        <f t="shared" si="4"/>
        <v>0</v>
      </c>
      <c r="N16" s="22"/>
    </row>
    <row r="17" spans="1:14">
      <c r="A17" s="73"/>
      <c r="B17" s="80">
        <v>14</v>
      </c>
      <c r="C17" s="81">
        <f t="shared" si="5"/>
        <v>0</v>
      </c>
      <c r="D17" s="81">
        <f>+'Loan Information'!E$39*C17</f>
        <v>0</v>
      </c>
      <c r="E17" s="81">
        <f>+'Pro Forma'!AD38</f>
        <v>0</v>
      </c>
      <c r="F17" s="81">
        <f t="shared" si="0"/>
        <v>0</v>
      </c>
      <c r="G17" s="81">
        <f t="shared" si="1"/>
        <v>0</v>
      </c>
      <c r="H17" s="22"/>
      <c r="I17" s="80">
        <f t="shared" si="6"/>
        <v>14</v>
      </c>
      <c r="J17" s="82">
        <f t="shared" si="7"/>
        <v>0</v>
      </c>
      <c r="K17" s="81">
        <f t="shared" si="2"/>
        <v>0</v>
      </c>
      <c r="L17" s="83">
        <f t="shared" si="3"/>
        <v>0.25751425550785767</v>
      </c>
      <c r="M17" s="81">
        <f t="shared" si="4"/>
        <v>0</v>
      </c>
      <c r="N17" s="22"/>
    </row>
    <row r="18" spans="1:14">
      <c r="A18" s="73"/>
      <c r="B18" s="80">
        <v>15</v>
      </c>
      <c r="C18" s="81">
        <f t="shared" si="5"/>
        <v>0</v>
      </c>
      <c r="D18" s="81">
        <f>+'Loan Information'!E$39*C18</f>
        <v>0</v>
      </c>
      <c r="E18" s="81">
        <f>+'Pro Forma'!AF38</f>
        <v>0</v>
      </c>
      <c r="F18" s="81">
        <f t="shared" si="0"/>
        <v>0</v>
      </c>
      <c r="G18" s="81">
        <f t="shared" si="1"/>
        <v>0</v>
      </c>
      <c r="H18" s="22"/>
      <c r="I18" s="80">
        <f t="shared" si="6"/>
        <v>15</v>
      </c>
      <c r="J18" s="82">
        <f t="shared" si="7"/>
        <v>0</v>
      </c>
      <c r="K18" s="81">
        <f t="shared" si="2"/>
        <v>0</v>
      </c>
      <c r="L18" s="83">
        <f t="shared" si="3"/>
        <v>0.23199482478185374</v>
      </c>
      <c r="M18" s="81">
        <f t="shared" si="4"/>
        <v>0</v>
      </c>
      <c r="N18" s="22"/>
    </row>
    <row r="19" spans="1:14">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3" t="s">
        <v>445</v>
      </c>
      <c r="C22" s="22"/>
      <c r="D22" s="22"/>
      <c r="E22" s="22"/>
      <c r="F22" s="22"/>
      <c r="G22" s="22"/>
      <c r="H22" s="22"/>
      <c r="I22" s="22"/>
      <c r="J22" s="22"/>
      <c r="K22" s="22"/>
      <c r="L22" s="1274">
        <f>SUM(K4:K18)</f>
        <v>0</v>
      </c>
      <c r="M22" s="1275"/>
      <c r="N22" s="22"/>
    </row>
    <row r="23" spans="1:14">
      <c r="A23" s="22"/>
      <c r="B23" s="3" t="s">
        <v>446</v>
      </c>
      <c r="C23" s="22"/>
      <c r="D23" s="22"/>
      <c r="E23" s="22"/>
      <c r="F23" s="22"/>
      <c r="G23" s="22"/>
      <c r="H23" s="22"/>
      <c r="I23" s="22"/>
      <c r="J23" s="22"/>
      <c r="K23" s="22"/>
      <c r="L23" s="1274">
        <f>SUM(M4:M18)</f>
        <v>0</v>
      </c>
      <c r="M23" s="1275"/>
      <c r="N23" s="22"/>
    </row>
    <row r="24" spans="1:14">
      <c r="A24" s="22"/>
      <c r="B24" s="22"/>
      <c r="C24" s="22"/>
      <c r="D24" s="22"/>
      <c r="E24" s="22"/>
      <c r="F24" s="22"/>
      <c r="G24" s="22"/>
      <c r="H24" s="22"/>
      <c r="I24" s="22"/>
      <c r="J24" s="22"/>
      <c r="K24" s="22"/>
      <c r="L24" s="22"/>
      <c r="M24" s="22"/>
      <c r="N24" s="22"/>
    </row>
    <row r="25" spans="1:14">
      <c r="A25" s="22"/>
      <c r="B25" s="22"/>
      <c r="C25" s="22"/>
      <c r="D25" s="22"/>
      <c r="E25" s="22"/>
      <c r="F25" s="22"/>
      <c r="G25" s="22"/>
      <c r="H25" s="22"/>
      <c r="I25" s="22"/>
      <c r="J25" s="22"/>
      <c r="K25" s="22"/>
      <c r="L25" s="22"/>
      <c r="M25" s="22"/>
      <c r="N25" s="22"/>
    </row>
  </sheetData>
  <sheetProtection password="CC14" sheet="1" objects="1" scenarios="1"/>
  <mergeCells count="3">
    <mergeCell ref="K1:L1"/>
    <mergeCell ref="L22:M22"/>
    <mergeCell ref="L23:M2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J64"/>
  <sheetViews>
    <sheetView zoomScaleNormal="100" workbookViewId="0">
      <selection activeCell="F35" sqref="F35"/>
    </sheetView>
  </sheetViews>
  <sheetFormatPr baseColWidth="10" defaultColWidth="9.1640625" defaultRowHeight="13"/>
  <cols>
    <col min="1" max="2" width="3.6640625" style="3" customWidth="1"/>
    <col min="3" max="4" width="9.1640625" style="3"/>
    <col min="5" max="5" width="16.1640625" style="3" customWidth="1"/>
    <col min="6" max="6" width="11.5" style="3" customWidth="1"/>
    <col min="7" max="7" width="5" style="3" customWidth="1"/>
    <col min="8" max="8" width="34.33203125" style="3" customWidth="1"/>
    <col min="9" max="9" width="11.5" style="3" customWidth="1"/>
    <col min="10" max="10" width="3.6640625" style="3" customWidth="1"/>
    <col min="11" max="16384" width="9.1640625" style="3"/>
  </cols>
  <sheetData>
    <row r="1" spans="1:10" ht="19.5" customHeight="1" thickTop="1" thickBot="1">
      <c r="A1" s="347" t="s">
        <v>201</v>
      </c>
      <c r="B1" s="348"/>
      <c r="C1" s="348"/>
      <c r="D1" s="348"/>
      <c r="E1" s="823">
        <f>+Cover!D6</f>
        <v>91818</v>
      </c>
      <c r="F1" s="348"/>
      <c r="G1" s="1267">
        <f>+Cover!E9</f>
        <v>0</v>
      </c>
      <c r="H1" s="1267"/>
      <c r="I1" s="349"/>
      <c r="J1" s="138"/>
    </row>
    <row r="2" spans="1:10" ht="17" thickTop="1">
      <c r="A2" s="350"/>
      <c r="B2" s="351" t="s">
        <v>202</v>
      </c>
      <c r="C2" s="352"/>
      <c r="D2" s="352"/>
      <c r="E2" s="822"/>
      <c r="F2" s="353"/>
      <c r="G2" s="354"/>
      <c r="H2" s="354"/>
      <c r="I2" s="355"/>
      <c r="J2" s="137"/>
    </row>
    <row r="3" spans="1:10">
      <c r="A3" s="350"/>
      <c r="B3" s="350"/>
      <c r="C3" s="354"/>
      <c r="D3" s="354"/>
      <c r="E3" s="356"/>
      <c r="F3" s="357" t="s">
        <v>203</v>
      </c>
      <c r="G3" s="358"/>
      <c r="H3" s="358"/>
      <c r="I3" s="359"/>
      <c r="J3" s="21"/>
    </row>
    <row r="4" spans="1:10">
      <c r="A4" s="350"/>
      <c r="B4" s="360" t="s">
        <v>204</v>
      </c>
      <c r="C4" s="361"/>
      <c r="D4" s="361"/>
      <c r="E4" s="361"/>
      <c r="F4" s="504">
        <f>+'Loan Information'!E4</f>
        <v>0</v>
      </c>
      <c r="G4" s="358"/>
      <c r="H4" s="139"/>
      <c r="I4" s="140"/>
      <c r="J4" s="21"/>
    </row>
    <row r="5" spans="1:10">
      <c r="A5" s="350"/>
      <c r="B5" s="360" t="s">
        <v>205</v>
      </c>
      <c r="C5" s="361"/>
      <c r="D5" s="361"/>
      <c r="E5" s="361"/>
      <c r="F5" s="504">
        <f>+'Loan Information'!E21</f>
        <v>0</v>
      </c>
      <c r="G5" s="358"/>
      <c r="H5" s="139"/>
      <c r="I5" s="140"/>
      <c r="J5" s="21"/>
    </row>
    <row r="6" spans="1:10">
      <c r="A6" s="350"/>
      <c r="B6" s="360" t="s">
        <v>206</v>
      </c>
      <c r="C6" s="361"/>
      <c r="D6" s="361"/>
      <c r="E6" s="361"/>
      <c r="F6" s="143"/>
      <c r="G6" s="358"/>
      <c r="H6" s="139"/>
      <c r="I6" s="140"/>
      <c r="J6" s="21"/>
    </row>
    <row r="7" spans="1:10">
      <c r="A7" s="350"/>
      <c r="B7" s="362" t="s">
        <v>746</v>
      </c>
      <c r="C7" s="361"/>
      <c r="D7" s="361"/>
      <c r="E7" s="361"/>
      <c r="F7" s="504">
        <f>+'Primary Input'!E30</f>
        <v>0</v>
      </c>
      <c r="G7" s="358"/>
      <c r="H7" s="139"/>
      <c r="I7" s="140"/>
      <c r="J7" s="21"/>
    </row>
    <row r="8" spans="1:10">
      <c r="A8" s="350"/>
      <c r="B8" s="360" t="s">
        <v>557</v>
      </c>
      <c r="C8" s="361"/>
      <c r="D8" s="361"/>
      <c r="E8" s="361"/>
      <c r="F8" s="504">
        <f>SUM('Match Leverage'!D13:D19)</f>
        <v>0</v>
      </c>
      <c r="G8" s="358"/>
      <c r="H8" s="139"/>
      <c r="I8" s="140"/>
      <c r="J8" s="21"/>
    </row>
    <row r="9" spans="1:10">
      <c r="A9" s="350"/>
      <c r="B9" s="360"/>
      <c r="C9" s="361"/>
      <c r="D9" s="361"/>
      <c r="E9" s="1288"/>
      <c r="F9" s="1289"/>
      <c r="G9" s="358"/>
      <c r="H9" s="139"/>
      <c r="I9" s="140"/>
      <c r="J9" s="21"/>
    </row>
    <row r="10" spans="1:10">
      <c r="A10" s="350"/>
      <c r="B10" s="360" t="s">
        <v>207</v>
      </c>
      <c r="C10" s="361"/>
      <c r="D10" s="361"/>
      <c r="E10" s="1282"/>
      <c r="F10" s="1283"/>
      <c r="G10" s="358"/>
      <c r="H10" s="139"/>
      <c r="I10" s="140"/>
      <c r="J10" s="21"/>
    </row>
    <row r="11" spans="1:10">
      <c r="A11" s="350"/>
      <c r="B11" s="360" t="s">
        <v>208</v>
      </c>
      <c r="C11" s="361"/>
      <c r="D11" s="361"/>
      <c r="E11" s="363"/>
      <c r="F11" s="143"/>
      <c r="G11" s="358"/>
      <c r="H11" s="139"/>
      <c r="I11" s="140"/>
      <c r="J11" s="21"/>
    </row>
    <row r="12" spans="1:10">
      <c r="A12" s="350"/>
      <c r="B12" s="360" t="s">
        <v>209</v>
      </c>
      <c r="C12" s="361"/>
      <c r="D12" s="361"/>
      <c r="E12" s="1282"/>
      <c r="F12" s="1283"/>
      <c r="G12" s="358"/>
      <c r="H12" s="367"/>
      <c r="I12" s="359"/>
      <c r="J12" s="21"/>
    </row>
    <row r="13" spans="1:10" ht="14" thickBot="1">
      <c r="A13" s="350"/>
      <c r="B13" s="360" t="s">
        <v>210</v>
      </c>
      <c r="C13" s="361"/>
      <c r="D13" s="361"/>
      <c r="E13" s="361"/>
      <c r="F13" s="143"/>
      <c r="G13" s="358"/>
      <c r="H13" s="367"/>
      <c r="I13" s="359"/>
      <c r="J13" s="21"/>
    </row>
    <row r="14" spans="1:10" ht="17" thickTop="1">
      <c r="A14" s="350"/>
      <c r="B14" s="360" t="s">
        <v>211</v>
      </c>
      <c r="C14" s="361"/>
      <c r="D14" s="361"/>
      <c r="E14" s="361"/>
      <c r="F14" s="143"/>
      <c r="G14" s="358"/>
      <c r="H14" s="351" t="s">
        <v>478</v>
      </c>
      <c r="I14" s="384"/>
      <c r="J14" s="21"/>
    </row>
    <row r="15" spans="1:10">
      <c r="A15" s="350"/>
      <c r="B15" s="364" t="s">
        <v>212</v>
      </c>
      <c r="C15" s="361"/>
      <c r="D15" s="361"/>
      <c r="E15" s="361"/>
      <c r="F15" s="143"/>
      <c r="G15" s="358"/>
      <c r="H15" s="385"/>
      <c r="I15" s="386" t="s">
        <v>203</v>
      </c>
      <c r="J15" s="26"/>
    </row>
    <row r="16" spans="1:10">
      <c r="A16" s="350"/>
      <c r="B16" s="360" t="s">
        <v>556</v>
      </c>
      <c r="C16" s="361"/>
      <c r="D16" s="361"/>
      <c r="E16" s="361"/>
      <c r="F16" s="143"/>
      <c r="G16" s="358"/>
      <c r="H16" s="387" t="s">
        <v>213</v>
      </c>
      <c r="I16" s="866"/>
      <c r="J16" s="21"/>
    </row>
    <row r="17" spans="1:10">
      <c r="A17" s="350"/>
      <c r="B17" s="780" t="s">
        <v>890</v>
      </c>
      <c r="C17" s="141" t="s">
        <v>737</v>
      </c>
      <c r="D17" s="141"/>
      <c r="E17" s="142"/>
      <c r="F17" s="143"/>
      <c r="G17" s="358"/>
      <c r="H17" s="387" t="s">
        <v>215</v>
      </c>
      <c r="I17" s="866"/>
      <c r="J17" s="21"/>
    </row>
    <row r="18" spans="1:10">
      <c r="A18" s="350"/>
      <c r="B18" s="144" t="s">
        <v>216</v>
      </c>
      <c r="C18" s="141" t="s">
        <v>889</v>
      </c>
      <c r="D18" s="141"/>
      <c r="E18" s="142"/>
      <c r="F18" s="143"/>
      <c r="G18" s="358"/>
      <c r="H18" s="387" t="s">
        <v>217</v>
      </c>
      <c r="I18" s="866"/>
      <c r="J18" s="21"/>
    </row>
    <row r="19" spans="1:10">
      <c r="A19" s="350"/>
      <c r="B19" s="144" t="s">
        <v>218</v>
      </c>
      <c r="C19" s="141" t="s">
        <v>1200</v>
      </c>
      <c r="D19" s="141"/>
      <c r="E19" s="142"/>
      <c r="F19" s="143"/>
      <c r="G19" s="358"/>
      <c r="H19" s="387" t="s">
        <v>219</v>
      </c>
      <c r="I19" s="866"/>
      <c r="J19" s="21"/>
    </row>
    <row r="20" spans="1:10">
      <c r="A20" s="350"/>
      <c r="B20" s="144" t="s">
        <v>220</v>
      </c>
      <c r="C20" s="141" t="s">
        <v>1201</v>
      </c>
      <c r="D20" s="141"/>
      <c r="E20" s="142"/>
      <c r="F20" s="143"/>
      <c r="G20" s="358"/>
      <c r="H20" s="387" t="s">
        <v>221</v>
      </c>
      <c r="I20" s="866"/>
      <c r="J20" s="21"/>
    </row>
    <row r="21" spans="1:10">
      <c r="A21" s="350"/>
      <c r="B21" s="144" t="s">
        <v>222</v>
      </c>
      <c r="C21" s="141"/>
      <c r="D21" s="141"/>
      <c r="E21" s="142"/>
      <c r="F21" s="143"/>
      <c r="G21" s="358"/>
      <c r="H21" s="387" t="s">
        <v>622</v>
      </c>
      <c r="I21" s="866"/>
      <c r="J21" s="27"/>
    </row>
    <row r="22" spans="1:10">
      <c r="A22" s="350"/>
      <c r="B22" s="360" t="s">
        <v>223</v>
      </c>
      <c r="C22" s="361"/>
      <c r="D22" s="361"/>
      <c r="E22" s="363"/>
      <c r="F22" s="505">
        <f>+F47-F23</f>
        <v>0</v>
      </c>
      <c r="G22" s="358"/>
      <c r="H22" s="387" t="s">
        <v>224</v>
      </c>
      <c r="I22" s="866"/>
      <c r="J22" s="21"/>
    </row>
    <row r="23" spans="1:10" ht="14" thickBot="1">
      <c r="A23" s="350"/>
      <c r="B23" s="365" t="s">
        <v>225</v>
      </c>
      <c r="C23" s="366"/>
      <c r="D23" s="366"/>
      <c r="E23" s="366"/>
      <c r="F23" s="506">
        <f>SUM(F4:F7)+SUM(F13:F21)+F11</f>
        <v>0</v>
      </c>
      <c r="G23" s="358"/>
      <c r="H23" s="387" t="s">
        <v>226</v>
      </c>
      <c r="I23" s="866"/>
      <c r="J23" s="21"/>
    </row>
    <row r="24" spans="1:10" ht="14" thickTop="1">
      <c r="A24" s="350"/>
      <c r="B24" s="354"/>
      <c r="C24" s="354"/>
      <c r="D24" s="354"/>
      <c r="E24" s="354"/>
      <c r="F24" s="354"/>
      <c r="G24" s="358"/>
      <c r="H24" s="387" t="s">
        <v>227</v>
      </c>
      <c r="I24" s="866"/>
      <c r="J24" s="21"/>
    </row>
    <row r="25" spans="1:10">
      <c r="A25" s="382"/>
      <c r="B25" s="354"/>
      <c r="C25" s="354"/>
      <c r="D25" s="354"/>
      <c r="E25" s="354"/>
      <c r="F25" s="358"/>
      <c r="G25" s="358"/>
      <c r="H25" s="387" t="s">
        <v>228</v>
      </c>
      <c r="I25" s="866"/>
      <c r="J25" s="21"/>
    </row>
    <row r="26" spans="1:10">
      <c r="A26" s="382"/>
      <c r="B26" s="354"/>
      <c r="C26" s="354"/>
      <c r="D26" s="354"/>
      <c r="E26" s="354"/>
      <c r="F26" s="358"/>
      <c r="G26" s="358"/>
      <c r="H26" s="387" t="s">
        <v>229</v>
      </c>
      <c r="I26" s="866"/>
      <c r="J26" s="21"/>
    </row>
    <row r="27" spans="1:10">
      <c r="A27" s="350"/>
      <c r="B27" s="367"/>
      <c r="C27" s="354"/>
      <c r="D27" s="354"/>
      <c r="E27" s="354"/>
      <c r="F27" s="358"/>
      <c r="G27" s="358"/>
      <c r="H27" s="387" t="s">
        <v>230</v>
      </c>
      <c r="I27" s="866"/>
      <c r="J27" s="21"/>
    </row>
    <row r="28" spans="1:10" ht="14" thickBot="1">
      <c r="A28" s="350"/>
      <c r="B28" s="367"/>
      <c r="C28" s="354"/>
      <c r="D28" s="354"/>
      <c r="E28" s="354"/>
      <c r="F28" s="354"/>
      <c r="G28" s="358"/>
      <c r="H28" s="387" t="s">
        <v>231</v>
      </c>
      <c r="I28" s="866"/>
      <c r="J28" s="21"/>
    </row>
    <row r="29" spans="1:10" ht="17" thickTop="1">
      <c r="A29" s="350"/>
      <c r="B29" s="351" t="s">
        <v>232</v>
      </c>
      <c r="C29" s="352"/>
      <c r="D29" s="352"/>
      <c r="E29" s="352"/>
      <c r="F29" s="353"/>
      <c r="G29" s="358"/>
      <c r="H29" s="387" t="s">
        <v>472</v>
      </c>
      <c r="I29" s="866"/>
      <c r="J29" s="21"/>
    </row>
    <row r="30" spans="1:10">
      <c r="A30" s="350"/>
      <c r="B30" s="350"/>
      <c r="C30" s="354"/>
      <c r="D30" s="354"/>
      <c r="E30" s="368"/>
      <c r="F30" s="147" t="s">
        <v>203</v>
      </c>
      <c r="G30" s="358"/>
      <c r="H30" s="387" t="s">
        <v>233</v>
      </c>
      <c r="I30" s="866"/>
      <c r="J30" s="21"/>
    </row>
    <row r="31" spans="1:10">
      <c r="A31" s="350"/>
      <c r="B31" s="369" t="s">
        <v>234</v>
      </c>
      <c r="C31" s="370"/>
      <c r="D31" s="361"/>
      <c r="E31" s="371"/>
      <c r="F31" s="507">
        <f>IF('Rehab or New Construction'!F22&gt;0, 'Rehab or New Construction'!F22+'Rehab or New Construction'!F53, 0)</f>
        <v>0</v>
      </c>
      <c r="G31" s="358"/>
      <c r="H31" s="1286"/>
      <c r="I31" s="1287"/>
      <c r="J31" s="21"/>
    </row>
    <row r="32" spans="1:10">
      <c r="A32" s="350"/>
      <c r="B32" s="372" t="s">
        <v>745</v>
      </c>
      <c r="C32" s="361"/>
      <c r="D32" s="361"/>
      <c r="E32" s="371"/>
      <c r="F32" s="507">
        <f>IF('Rehab or New Construction'!F45&gt; 0, 'Rehab or New Construction'!F45+'Rehab or New Construction'!F53, 0)</f>
        <v>0</v>
      </c>
      <c r="G32" s="358"/>
      <c r="H32" s="388" t="s">
        <v>235</v>
      </c>
      <c r="I32" s="146"/>
      <c r="J32" s="21"/>
    </row>
    <row r="33" spans="1:10">
      <c r="A33" s="350"/>
      <c r="B33" s="369" t="s">
        <v>236</v>
      </c>
      <c r="C33" s="361"/>
      <c r="D33" s="361"/>
      <c r="E33" s="371"/>
      <c r="F33" s="507">
        <f>+I47</f>
        <v>0</v>
      </c>
      <c r="G33" s="358"/>
      <c r="H33" s="1280" t="s">
        <v>871</v>
      </c>
      <c r="I33" s="1281"/>
      <c r="J33" s="21"/>
    </row>
    <row r="34" spans="1:10">
      <c r="A34" s="350"/>
      <c r="B34" s="369" t="s">
        <v>237</v>
      </c>
      <c r="C34" s="361"/>
      <c r="D34" s="361"/>
      <c r="E34" s="1284"/>
      <c r="F34" s="1285"/>
      <c r="G34" s="358"/>
      <c r="H34" s="387" t="s">
        <v>623</v>
      </c>
      <c r="I34" s="145"/>
      <c r="J34" s="21"/>
    </row>
    <row r="35" spans="1:10">
      <c r="A35" s="350"/>
      <c r="B35" s="369" t="s">
        <v>238</v>
      </c>
      <c r="C35" s="361"/>
      <c r="D35" s="361"/>
      <c r="E35" s="371"/>
      <c r="F35" s="143"/>
      <c r="G35" s="358"/>
      <c r="H35" s="387" t="s">
        <v>239</v>
      </c>
      <c r="I35" s="145"/>
      <c r="J35" s="21"/>
    </row>
    <row r="36" spans="1:10">
      <c r="A36" s="350"/>
      <c r="B36" s="369" t="s">
        <v>240</v>
      </c>
      <c r="C36" s="361"/>
      <c r="D36" s="361"/>
      <c r="E36" s="371"/>
      <c r="F36" s="143"/>
      <c r="G36" s="358"/>
      <c r="H36" s="387" t="s">
        <v>241</v>
      </c>
      <c r="I36" s="145"/>
      <c r="J36" s="21"/>
    </row>
    <row r="37" spans="1:10">
      <c r="A37" s="350"/>
      <c r="B37" s="373" t="s">
        <v>242</v>
      </c>
      <c r="C37" s="374"/>
      <c r="D37" s="374"/>
      <c r="E37" s="375"/>
      <c r="F37" s="143"/>
      <c r="G37" s="358"/>
      <c r="H37" s="387" t="s">
        <v>243</v>
      </c>
      <c r="I37" s="145"/>
      <c r="J37" s="21"/>
    </row>
    <row r="38" spans="1:10">
      <c r="A38" s="350"/>
      <c r="B38" s="373" t="s">
        <v>242</v>
      </c>
      <c r="C38" s="374"/>
      <c r="D38" s="374"/>
      <c r="E38" s="375"/>
      <c r="F38" s="143"/>
      <c r="G38" s="358"/>
      <c r="H38" s="387" t="s">
        <v>244</v>
      </c>
      <c r="I38" s="866"/>
      <c r="J38" s="21"/>
    </row>
    <row r="39" spans="1:10">
      <c r="A39" s="350"/>
      <c r="B39" s="369" t="s">
        <v>245</v>
      </c>
      <c r="C39" s="361"/>
      <c r="D39" s="361"/>
      <c r="E39" s="371"/>
      <c r="F39" s="143"/>
      <c r="G39" s="358"/>
      <c r="H39" s="387" t="s">
        <v>246</v>
      </c>
      <c r="I39" s="866"/>
      <c r="J39" s="21"/>
    </row>
    <row r="40" spans="1:10">
      <c r="A40" s="350"/>
      <c r="B40" s="373" t="s">
        <v>242</v>
      </c>
      <c r="C40" s="374"/>
      <c r="D40" s="374"/>
      <c r="E40" s="375"/>
      <c r="F40" s="143"/>
      <c r="G40" s="358"/>
      <c r="H40" s="387" t="s">
        <v>247</v>
      </c>
      <c r="I40" s="866"/>
      <c r="J40" s="21"/>
    </row>
    <row r="41" spans="1:10">
      <c r="A41" s="350"/>
      <c r="B41" s="376" t="s">
        <v>248</v>
      </c>
      <c r="C41" s="361"/>
      <c r="D41" s="361"/>
      <c r="E41" s="377"/>
      <c r="F41" s="508">
        <f>SUM(F31:F40)</f>
        <v>0</v>
      </c>
      <c r="G41" s="358"/>
      <c r="H41" s="777" t="s">
        <v>887</v>
      </c>
      <c r="I41" s="866"/>
      <c r="J41" s="21"/>
    </row>
    <row r="42" spans="1:10">
      <c r="A42" s="350"/>
      <c r="B42" s="369" t="s">
        <v>249</v>
      </c>
      <c r="C42" s="361"/>
      <c r="D42" s="361"/>
      <c r="E42" s="377"/>
      <c r="F42" s="143"/>
      <c r="G42" s="358"/>
      <c r="H42" s="777" t="s">
        <v>888</v>
      </c>
      <c r="I42" s="145"/>
      <c r="J42" s="21"/>
    </row>
    <row r="43" spans="1:10">
      <c r="A43" s="350"/>
      <c r="B43" s="369" t="s">
        <v>250</v>
      </c>
      <c r="C43" s="361"/>
      <c r="D43" s="361"/>
      <c r="E43" s="377"/>
      <c r="F43" s="143"/>
      <c r="G43" s="358"/>
      <c r="H43" s="1278"/>
      <c r="I43" s="1279"/>
      <c r="J43" s="21"/>
    </row>
    <row r="44" spans="1:10">
      <c r="A44" s="350"/>
      <c r="B44" s="360" t="s">
        <v>556</v>
      </c>
      <c r="C44" s="361"/>
      <c r="D44" s="361"/>
      <c r="E44" s="377"/>
      <c r="F44" s="507">
        <f>+F16</f>
        <v>0</v>
      </c>
      <c r="G44" s="358"/>
      <c r="H44" s="1278"/>
      <c r="I44" s="1279"/>
      <c r="J44" s="21"/>
    </row>
    <row r="45" spans="1:10">
      <c r="A45" s="350"/>
      <c r="B45" s="373" t="s">
        <v>214</v>
      </c>
      <c r="C45" s="374"/>
      <c r="D45" s="374"/>
      <c r="E45" s="375"/>
      <c r="F45" s="143"/>
      <c r="G45" s="358"/>
      <c r="H45" s="1278"/>
      <c r="I45" s="1279"/>
      <c r="J45" s="21"/>
    </row>
    <row r="46" spans="1:10">
      <c r="A46" s="350"/>
      <c r="B46" s="373" t="s">
        <v>216</v>
      </c>
      <c r="C46" s="374"/>
      <c r="D46" s="374"/>
      <c r="E46" s="375"/>
      <c r="F46" s="143"/>
      <c r="G46" s="358"/>
      <c r="H46" s="1278"/>
      <c r="I46" s="1279"/>
      <c r="J46" s="21"/>
    </row>
    <row r="47" spans="1:10" ht="14" thickBot="1">
      <c r="A47" s="350"/>
      <c r="B47" s="378" t="s">
        <v>251</v>
      </c>
      <c r="C47" s="379"/>
      <c r="D47" s="379"/>
      <c r="E47" s="379"/>
      <c r="F47" s="506">
        <f>SUM(F41:F46)</f>
        <v>0</v>
      </c>
      <c r="G47" s="358"/>
      <c r="H47" s="389" t="s">
        <v>252</v>
      </c>
      <c r="I47" s="509">
        <f>SUM(I16:I46)</f>
        <v>0</v>
      </c>
      <c r="J47" s="21"/>
    </row>
    <row r="48" spans="1:10" ht="14" thickTop="1">
      <c r="A48" s="350"/>
      <c r="B48" s="358"/>
      <c r="C48" s="358"/>
      <c r="D48" s="358"/>
      <c r="E48" s="358"/>
      <c r="F48" s="358"/>
      <c r="G48" s="358"/>
      <c r="H48" s="354"/>
      <c r="I48" s="359"/>
      <c r="J48" s="21"/>
    </row>
    <row r="49" spans="1:10" ht="14" thickBot="1">
      <c r="A49" s="383"/>
      <c r="B49" s="380"/>
      <c r="C49" s="380"/>
      <c r="D49" s="380"/>
      <c r="E49" s="380"/>
      <c r="F49" s="380"/>
      <c r="G49" s="380"/>
      <c r="H49" s="379"/>
      <c r="I49" s="381"/>
      <c r="J49" s="21"/>
    </row>
    <row r="50" spans="1:10" ht="14" thickTop="1">
      <c r="A50" s="358"/>
      <c r="B50" s="224"/>
      <c r="C50" s="224"/>
      <c r="D50" s="224"/>
      <c r="E50" s="224"/>
      <c r="F50" s="224"/>
      <c r="G50" s="224"/>
      <c r="H50" s="224"/>
      <c r="I50" s="224"/>
      <c r="J50" s="21"/>
    </row>
    <row r="51" spans="1:10" ht="15.75" customHeight="1">
      <c r="A51" s="1276" t="s">
        <v>709</v>
      </c>
      <c r="B51" s="1277"/>
      <c r="C51" s="1277"/>
      <c r="D51" s="1277"/>
      <c r="E51" s="1277"/>
      <c r="F51" s="1277"/>
      <c r="G51" s="1277"/>
      <c r="H51" s="1277"/>
      <c r="I51" s="1277"/>
      <c r="J51" s="21"/>
    </row>
    <row r="52" spans="1:10">
      <c r="A52" s="1277"/>
      <c r="B52" s="1277"/>
      <c r="C52" s="1277"/>
      <c r="D52" s="1277"/>
      <c r="E52" s="1277"/>
      <c r="F52" s="1277"/>
      <c r="G52" s="1277"/>
      <c r="H52" s="1277"/>
      <c r="I52" s="1277"/>
    </row>
    <row r="53" spans="1:10">
      <c r="A53" s="1277"/>
      <c r="B53" s="1277"/>
      <c r="C53" s="1277"/>
      <c r="D53" s="1277"/>
      <c r="E53" s="1277"/>
      <c r="F53" s="1277"/>
      <c r="G53" s="1277"/>
      <c r="H53" s="1277"/>
      <c r="I53" s="1277"/>
    </row>
    <row r="54" spans="1:10">
      <c r="A54" s="1277"/>
      <c r="B54" s="1277"/>
      <c r="C54" s="1277"/>
      <c r="D54" s="1277"/>
      <c r="E54" s="1277"/>
      <c r="F54" s="1277"/>
      <c r="G54" s="1277"/>
      <c r="H54" s="1277"/>
      <c r="I54" s="1277"/>
    </row>
    <row r="55" spans="1:10">
      <c r="A55" s="1277"/>
      <c r="B55" s="1277"/>
      <c r="C55" s="1277"/>
      <c r="D55" s="1277"/>
      <c r="E55" s="1277"/>
      <c r="F55" s="1277"/>
      <c r="G55" s="1277"/>
      <c r="H55" s="1277"/>
      <c r="I55" s="1277"/>
    </row>
    <row r="56" spans="1:10">
      <c r="A56" s="1277"/>
      <c r="B56" s="1277"/>
      <c r="C56" s="1277"/>
      <c r="D56" s="1277"/>
      <c r="E56" s="1277"/>
      <c r="F56" s="1277"/>
      <c r="G56" s="1277"/>
      <c r="H56" s="1277"/>
      <c r="I56" s="1277"/>
    </row>
    <row r="57" spans="1:10">
      <c r="A57" s="1277"/>
      <c r="B57" s="1277"/>
      <c r="C57" s="1277"/>
      <c r="D57" s="1277"/>
      <c r="E57" s="1277"/>
      <c r="F57" s="1277"/>
      <c r="G57" s="1277"/>
      <c r="H57" s="1277"/>
      <c r="I57" s="1277"/>
    </row>
    <row r="58" spans="1:10">
      <c r="A58" s="1277"/>
      <c r="B58" s="1277"/>
      <c r="C58" s="1277"/>
      <c r="D58" s="1277"/>
      <c r="E58" s="1277"/>
      <c r="F58" s="1277"/>
      <c r="G58" s="1277"/>
      <c r="H58" s="1277"/>
      <c r="I58" s="1277"/>
    </row>
    <row r="59" spans="1:10">
      <c r="A59" s="1277"/>
      <c r="B59" s="1277"/>
      <c r="C59" s="1277"/>
      <c r="D59" s="1277"/>
      <c r="E59" s="1277"/>
      <c r="F59" s="1277"/>
      <c r="G59" s="1277"/>
      <c r="H59" s="1277"/>
      <c r="I59" s="1277"/>
    </row>
    <row r="60" spans="1:10">
      <c r="A60" s="1277"/>
      <c r="B60" s="1277"/>
      <c r="C60" s="1277"/>
      <c r="D60" s="1277"/>
      <c r="E60" s="1277"/>
      <c r="F60" s="1277"/>
      <c r="G60" s="1277"/>
      <c r="H60" s="1277"/>
      <c r="I60" s="1277"/>
    </row>
    <row r="61" spans="1:10">
      <c r="A61" s="1277"/>
      <c r="B61" s="1277"/>
      <c r="C61" s="1277"/>
      <c r="D61" s="1277"/>
      <c r="E61" s="1277"/>
      <c r="F61" s="1277"/>
      <c r="G61" s="1277"/>
      <c r="H61" s="1277"/>
      <c r="I61" s="1277"/>
    </row>
    <row r="62" spans="1:10">
      <c r="A62" s="1277"/>
      <c r="B62" s="1277"/>
      <c r="C62" s="1277"/>
      <c r="D62" s="1277"/>
      <c r="E62" s="1277"/>
      <c r="F62" s="1277"/>
      <c r="G62" s="1277"/>
      <c r="H62" s="1277"/>
      <c r="I62" s="1277"/>
    </row>
    <row r="63" spans="1:10">
      <c r="A63" s="1277"/>
      <c r="B63" s="1277"/>
      <c r="C63" s="1277"/>
      <c r="D63" s="1277"/>
      <c r="E63" s="1277"/>
      <c r="F63" s="1277"/>
      <c r="G63" s="1277"/>
      <c r="H63" s="1277"/>
      <c r="I63" s="1277"/>
    </row>
    <row r="64" spans="1:10">
      <c r="A64" s="203"/>
      <c r="B64" s="203"/>
      <c r="C64" s="203"/>
      <c r="D64" s="203"/>
      <c r="E64" s="203"/>
      <c r="F64" s="203"/>
      <c r="G64" s="203"/>
      <c r="H64" s="203"/>
      <c r="I64" s="203"/>
    </row>
  </sheetData>
  <sheetProtection algorithmName="SHA-512" hashValue="FLzMxb+SsA1l9iwz/fPuw5ibAE5KLhMK+mjOQLuscarKbSPwT5RMoFPIuQJvkcc+LiC6TmvAVpm9d9SOMwXVsA==" saltValue="p7ZXNobpYAFDofYJvk6lug==" spinCount="100000" sheet="1" objects="1" scenarios="1"/>
  <mergeCells count="12">
    <mergeCell ref="H33:I33"/>
    <mergeCell ref="G1:H1"/>
    <mergeCell ref="E10:F10"/>
    <mergeCell ref="E12:F12"/>
    <mergeCell ref="E34:F34"/>
    <mergeCell ref="H31:I31"/>
    <mergeCell ref="E9:F9"/>
    <mergeCell ref="A51:I63"/>
    <mergeCell ref="H43:I43"/>
    <mergeCell ref="H44:I44"/>
    <mergeCell ref="H45:I45"/>
    <mergeCell ref="H46:I46"/>
  </mergeCells>
  <phoneticPr fontId="0" type="noConversion"/>
  <printOptions horizontalCentered="1"/>
  <pageMargins left="0.75" right="0.75" top="1" bottom="1" header="0.5" footer="0.5"/>
  <pageSetup scale="84"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fitToPage="1"/>
  </sheetPr>
  <dimension ref="A1:L109"/>
  <sheetViews>
    <sheetView zoomScaleNormal="100" workbookViewId="0">
      <selection activeCell="S18" sqref="S18"/>
    </sheetView>
  </sheetViews>
  <sheetFormatPr baseColWidth="10" defaultColWidth="9.1640625" defaultRowHeight="12"/>
  <cols>
    <col min="1" max="1" width="3.6640625" style="4" customWidth="1"/>
    <col min="2" max="2" width="6.83203125" style="4" customWidth="1"/>
    <col min="3" max="3" width="33.5" style="4" customWidth="1"/>
    <col min="4" max="4" width="7.5" style="4" customWidth="1"/>
    <col min="5" max="8" width="10.6640625" style="4" hidden="1" customWidth="1"/>
    <col min="9" max="9" width="19.5" style="4" customWidth="1"/>
    <col min="10" max="10" width="11" style="4" customWidth="1"/>
    <col min="11" max="11" width="16.6640625" style="4" customWidth="1"/>
    <col min="12" max="13" width="3.6640625" style="4" customWidth="1"/>
    <col min="14" max="16384" width="9.1640625" style="4"/>
  </cols>
  <sheetData>
    <row r="1" spans="1:12" ht="13" thickBot="1">
      <c r="A1" s="670" t="s">
        <v>300</v>
      </c>
      <c r="B1" s="671"/>
      <c r="C1" s="671"/>
      <c r="D1" s="671"/>
      <c r="E1" s="671"/>
      <c r="F1" s="671"/>
      <c r="G1" s="671"/>
      <c r="H1" s="671"/>
      <c r="I1" s="1293"/>
      <c r="J1" s="1293"/>
      <c r="K1" s="672"/>
      <c r="L1" s="7"/>
    </row>
    <row r="2" spans="1:12" ht="13" thickTop="1">
      <c r="A2" s="1297">
        <f>+Cover!D6</f>
        <v>91818</v>
      </c>
      <c r="B2" s="1297"/>
      <c r="C2" s="675"/>
      <c r="D2" s="676"/>
      <c r="E2" s="677" t="s">
        <v>301</v>
      </c>
      <c r="F2" s="677" t="s">
        <v>301</v>
      </c>
      <c r="G2" s="677" t="s">
        <v>301</v>
      </c>
      <c r="H2" s="677" t="s">
        <v>301</v>
      </c>
      <c r="I2" s="677" t="s">
        <v>302</v>
      </c>
      <c r="J2" s="677" t="s">
        <v>303</v>
      </c>
      <c r="K2" s="672"/>
      <c r="L2" s="7"/>
    </row>
    <row r="3" spans="1:12" ht="32.25" customHeight="1" thickBot="1">
      <c r="A3" s="673"/>
      <c r="B3" s="674"/>
      <c r="C3" s="675">
        <f>+Cover!E9</f>
        <v>0</v>
      </c>
      <c r="D3" s="676"/>
      <c r="E3" s="678" t="s">
        <v>555</v>
      </c>
      <c r="F3" s="678" t="s">
        <v>555</v>
      </c>
      <c r="G3" s="679" t="s">
        <v>304</v>
      </c>
      <c r="H3" s="679" t="s">
        <v>304</v>
      </c>
      <c r="I3" s="679" t="s">
        <v>305</v>
      </c>
      <c r="J3" s="679" t="s">
        <v>306</v>
      </c>
      <c r="K3" s="672"/>
    </row>
    <row r="4" spans="1:12" ht="13" thickTop="1">
      <c r="A4" s="673"/>
      <c r="B4" s="1294" t="s">
        <v>307</v>
      </c>
      <c r="C4" s="1295"/>
      <c r="D4" s="1296"/>
      <c r="E4" s="680"/>
      <c r="F4" s="680"/>
      <c r="G4" s="680"/>
      <c r="H4" s="680"/>
      <c r="I4" s="681"/>
      <c r="J4" s="682"/>
      <c r="K4" s="672"/>
    </row>
    <row r="5" spans="1:12">
      <c r="A5" s="673"/>
      <c r="B5" s="683"/>
      <c r="C5" s="684"/>
      <c r="D5" s="685"/>
      <c r="E5" s="686"/>
      <c r="F5" s="686"/>
      <c r="G5" s="686"/>
      <c r="H5" s="686"/>
      <c r="I5" s="687"/>
      <c r="J5" s="688"/>
      <c r="K5" s="672"/>
    </row>
    <row r="6" spans="1:12">
      <c r="A6" s="673"/>
      <c r="B6" s="683" t="s">
        <v>176</v>
      </c>
      <c r="C6" s="684"/>
      <c r="D6" s="685"/>
      <c r="E6" s="689"/>
      <c r="F6" s="689"/>
      <c r="G6" s="689"/>
      <c r="H6" s="689"/>
      <c r="I6" s="690"/>
      <c r="J6" s="688"/>
      <c r="K6" s="672"/>
    </row>
    <row r="7" spans="1:12">
      <c r="A7" s="673"/>
      <c r="B7" s="691"/>
      <c r="C7" s="684" t="s">
        <v>308</v>
      </c>
      <c r="D7" s="685"/>
      <c r="E7" s="692"/>
      <c r="F7" s="692"/>
      <c r="G7" s="692"/>
      <c r="H7" s="692"/>
      <c r="I7" s="693"/>
      <c r="J7" s="688"/>
      <c r="K7" s="672"/>
    </row>
    <row r="8" spans="1:12">
      <c r="A8" s="673"/>
      <c r="B8" s="691">
        <v>5121</v>
      </c>
      <c r="C8" s="694" t="s">
        <v>309</v>
      </c>
      <c r="D8" s="685"/>
      <c r="E8" s="695"/>
      <c r="F8" s="695"/>
      <c r="G8" s="695"/>
      <c r="H8" s="695"/>
      <c r="I8" s="696">
        <f>+'Rental Income'!$K$10*12</f>
        <v>0</v>
      </c>
      <c r="J8" s="688"/>
      <c r="K8" s="672"/>
    </row>
    <row r="9" spans="1:12">
      <c r="A9" s="673"/>
      <c r="B9" s="691">
        <v>5121</v>
      </c>
      <c r="C9" s="694" t="s">
        <v>310</v>
      </c>
      <c r="D9" s="685"/>
      <c r="E9" s="695"/>
      <c r="F9" s="695"/>
      <c r="G9" s="695"/>
      <c r="H9" s="695"/>
      <c r="I9" s="697"/>
      <c r="J9" s="688"/>
      <c r="K9" s="672"/>
    </row>
    <row r="10" spans="1:12">
      <c r="A10" s="673"/>
      <c r="B10" s="691">
        <v>5140</v>
      </c>
      <c r="C10" s="684" t="s">
        <v>311</v>
      </c>
      <c r="D10" s="685"/>
      <c r="E10" s="695"/>
      <c r="F10" s="695"/>
      <c r="G10" s="695"/>
      <c r="H10" s="695"/>
      <c r="I10" s="697"/>
      <c r="J10" s="688"/>
      <c r="K10" s="672" t="str">
        <f>IF(I10&gt;0,"MUST PROVIDE SUPPORT WITH APPLICATION","")</f>
        <v/>
      </c>
    </row>
    <row r="11" spans="1:12">
      <c r="A11" s="673"/>
      <c r="B11" s="683" t="s">
        <v>312</v>
      </c>
      <c r="C11" s="684"/>
      <c r="D11" s="685"/>
      <c r="E11" s="698">
        <f>SUM(E8:E10)</f>
        <v>0</v>
      </c>
      <c r="F11" s="698">
        <f>SUM(F8:F10)</f>
        <v>0</v>
      </c>
      <c r="G11" s="698">
        <f>SUM(G8:G10)</f>
        <v>0</v>
      </c>
      <c r="H11" s="698">
        <f>SUM(H8:H10)</f>
        <v>0</v>
      </c>
      <c r="I11" s="699">
        <f>SUM(I8:I10)</f>
        <v>0</v>
      </c>
      <c r="J11" s="700">
        <v>0.02</v>
      </c>
      <c r="K11" s="672"/>
    </row>
    <row r="12" spans="1:12">
      <c r="A12" s="673"/>
      <c r="B12" s="691"/>
      <c r="C12" s="684"/>
      <c r="D12" s="685"/>
      <c r="E12" s="701"/>
      <c r="F12" s="701"/>
      <c r="G12" s="701"/>
      <c r="H12" s="701"/>
      <c r="I12" s="702"/>
      <c r="J12" s="688"/>
      <c r="K12" s="672"/>
    </row>
    <row r="13" spans="1:12">
      <c r="A13" s="673"/>
      <c r="B13" s="683" t="s">
        <v>313</v>
      </c>
      <c r="C13" s="684"/>
      <c r="D13" s="685"/>
      <c r="E13" s="701"/>
      <c r="F13" s="701"/>
      <c r="G13" s="701"/>
      <c r="H13" s="701"/>
      <c r="I13" s="702"/>
      <c r="J13" s="688"/>
      <c r="K13" s="672"/>
    </row>
    <row r="14" spans="1:12">
      <c r="A14" s="673"/>
      <c r="B14" s="691">
        <v>5220</v>
      </c>
      <c r="C14" s="684" t="s">
        <v>314</v>
      </c>
      <c r="D14" s="703">
        <v>7.0000000000000007E-2</v>
      </c>
      <c r="E14" s="695"/>
      <c r="F14" s="695"/>
      <c r="G14" s="695"/>
      <c r="H14" s="695"/>
      <c r="I14" s="873">
        <f>-D14*I8</f>
        <v>0</v>
      </c>
      <c r="J14" s="688"/>
      <c r="K14" s="672"/>
    </row>
    <row r="15" spans="1:12">
      <c r="A15" s="673"/>
      <c r="B15" s="691">
        <v>5270</v>
      </c>
      <c r="C15" s="684" t="s">
        <v>315</v>
      </c>
      <c r="D15" s="685"/>
      <c r="E15" s="695"/>
      <c r="F15" s="695"/>
      <c r="G15" s="695"/>
      <c r="H15" s="695"/>
      <c r="I15" s="697"/>
      <c r="J15" s="688"/>
      <c r="K15" s="672"/>
    </row>
    <row r="16" spans="1:12">
      <c r="A16" s="673"/>
      <c r="B16" s="691">
        <v>5290</v>
      </c>
      <c r="C16" s="684" t="s">
        <v>316</v>
      </c>
      <c r="D16" s="704"/>
      <c r="E16" s="695"/>
      <c r="F16" s="695"/>
      <c r="G16" s="695"/>
      <c r="H16" s="695"/>
      <c r="I16" s="697"/>
      <c r="J16" s="688"/>
      <c r="K16" s="672"/>
    </row>
    <row r="17" spans="1:11">
      <c r="A17" s="673"/>
      <c r="B17" s="683" t="s">
        <v>317</v>
      </c>
      <c r="C17" s="684"/>
      <c r="D17" s="704"/>
      <c r="E17" s="705">
        <f>SUM(E14:E16)</f>
        <v>0</v>
      </c>
      <c r="F17" s="705">
        <f>SUM(F14:F16)</f>
        <v>0</v>
      </c>
      <c r="G17" s="705">
        <f>SUM(G14:G16)</f>
        <v>0</v>
      </c>
      <c r="H17" s="705">
        <f>SUM(H14:H16)</f>
        <v>0</v>
      </c>
      <c r="I17" s="873">
        <f>SUM(I14:I16)</f>
        <v>0</v>
      </c>
      <c r="J17" s="688"/>
      <c r="K17" s="672"/>
    </row>
    <row r="18" spans="1:11">
      <c r="A18" s="673"/>
      <c r="B18" s="683" t="s">
        <v>318</v>
      </c>
      <c r="C18" s="684"/>
      <c r="D18" s="704"/>
      <c r="E18" s="706">
        <f>E11+E17</f>
        <v>0</v>
      </c>
      <c r="F18" s="706">
        <f>F11+F17</f>
        <v>0</v>
      </c>
      <c r="G18" s="706">
        <f>G11+G17</f>
        <v>0</v>
      </c>
      <c r="H18" s="706">
        <f>H11+H17</f>
        <v>0</v>
      </c>
      <c r="I18" s="707">
        <f>I11+I17</f>
        <v>0</v>
      </c>
      <c r="J18" s="688"/>
      <c r="K18" s="672"/>
    </row>
    <row r="19" spans="1:11">
      <c r="A19" s="673"/>
      <c r="B19" s="708"/>
      <c r="C19" s="684"/>
      <c r="D19" s="704"/>
      <c r="E19" s="701"/>
      <c r="F19" s="701"/>
      <c r="G19" s="701"/>
      <c r="H19" s="701"/>
      <c r="I19" s="702"/>
      <c r="J19" s="688"/>
      <c r="K19" s="672"/>
    </row>
    <row r="20" spans="1:11">
      <c r="A20" s="673"/>
      <c r="B20" s="709" t="s">
        <v>319</v>
      </c>
      <c r="C20" s="684"/>
      <c r="D20" s="704"/>
      <c r="E20" s="701"/>
      <c r="F20" s="701"/>
      <c r="G20" s="701"/>
      <c r="H20" s="701"/>
      <c r="I20" s="702"/>
      <c r="J20" s="688"/>
      <c r="K20" s="672"/>
    </row>
    <row r="21" spans="1:11">
      <c r="A21" s="673"/>
      <c r="B21" s="710">
        <v>5910</v>
      </c>
      <c r="C21" s="684" t="s">
        <v>320</v>
      </c>
      <c r="D21" s="704"/>
      <c r="E21" s="695"/>
      <c r="F21" s="695"/>
      <c r="G21" s="695"/>
      <c r="H21" s="695"/>
      <c r="I21" s="697"/>
      <c r="J21" s="688"/>
      <c r="K21" s="672" t="str">
        <f>IF(I21&gt;0,"MUST PROVIDE SUPPORT WITH APPLICATION","")</f>
        <v/>
      </c>
    </row>
    <row r="22" spans="1:11">
      <c r="A22" s="673"/>
      <c r="B22" s="691">
        <v>6370</v>
      </c>
      <c r="C22" s="684" t="s">
        <v>874</v>
      </c>
      <c r="D22" s="704"/>
      <c r="E22" s="695"/>
      <c r="F22" s="695"/>
      <c r="G22" s="695"/>
      <c r="H22" s="695"/>
      <c r="I22" s="697"/>
      <c r="J22" s="688"/>
      <c r="K22" s="672"/>
    </row>
    <row r="23" spans="1:11">
      <c r="A23" s="673"/>
      <c r="B23" s="691">
        <v>6370</v>
      </c>
      <c r="C23" s="684" t="s">
        <v>875</v>
      </c>
      <c r="D23" s="704"/>
      <c r="E23" s="695"/>
      <c r="F23" s="695"/>
      <c r="G23" s="695"/>
      <c r="H23" s="695"/>
      <c r="I23" s="697"/>
      <c r="J23" s="688"/>
      <c r="K23" s="672"/>
    </row>
    <row r="24" spans="1:11">
      <c r="A24" s="673"/>
      <c r="B24" s="710">
        <v>5920</v>
      </c>
      <c r="C24" s="684" t="s">
        <v>321</v>
      </c>
      <c r="D24" s="704"/>
      <c r="E24" s="695"/>
      <c r="F24" s="695"/>
      <c r="G24" s="695"/>
      <c r="H24" s="695"/>
      <c r="I24" s="697"/>
      <c r="J24" s="688"/>
      <c r="K24" s="672" t="str">
        <f>IF(I24&gt;0,"MUST PROVIDE SUPPORT WITH APPLICATION","")</f>
        <v/>
      </c>
    </row>
    <row r="25" spans="1:11">
      <c r="A25" s="673"/>
      <c r="B25" s="709" t="s">
        <v>322</v>
      </c>
      <c r="C25" s="684"/>
      <c r="D25" s="704"/>
      <c r="E25" s="711">
        <f>SUM(E21:E24)</f>
        <v>0</v>
      </c>
      <c r="F25" s="711">
        <f>SUM(F21:F24)</f>
        <v>0</v>
      </c>
      <c r="G25" s="711">
        <f>SUM(G21:G24)</f>
        <v>0</v>
      </c>
      <c r="H25" s="711">
        <f>SUM(H21:H24)</f>
        <v>0</v>
      </c>
      <c r="I25" s="712">
        <f>SUM(I21:I24)</f>
        <v>0</v>
      </c>
      <c r="J25" s="700">
        <v>0.03</v>
      </c>
      <c r="K25" s="672" t="str">
        <f>IF(I25&gt;0,"MUST PROVIDE SUPPORT WITH APPLICATION","")</f>
        <v/>
      </c>
    </row>
    <row r="26" spans="1:11">
      <c r="A26" s="673"/>
      <c r="B26" s="709" t="s">
        <v>323</v>
      </c>
      <c r="C26" s="684"/>
      <c r="D26" s="704"/>
      <c r="E26" s="713">
        <f>E18+E25</f>
        <v>0</v>
      </c>
      <c r="F26" s="713">
        <f>F18+F25</f>
        <v>0</v>
      </c>
      <c r="G26" s="713">
        <f>G18+G25</f>
        <v>0</v>
      </c>
      <c r="H26" s="713">
        <f>H18+H25</f>
        <v>0</v>
      </c>
      <c r="I26" s="699">
        <f>I18+I25</f>
        <v>0</v>
      </c>
      <c r="J26" s="688"/>
      <c r="K26" s="672"/>
    </row>
    <row r="27" spans="1:11">
      <c r="A27" s="673"/>
      <c r="B27" s="709"/>
      <c r="C27" s="684"/>
      <c r="D27" s="704"/>
      <c r="E27" s="701"/>
      <c r="F27" s="701"/>
      <c r="G27" s="701"/>
      <c r="H27" s="701"/>
      <c r="I27" s="702"/>
      <c r="J27" s="688"/>
      <c r="K27" s="672"/>
    </row>
    <row r="28" spans="1:11">
      <c r="A28" s="673"/>
      <c r="B28" s="709" t="s">
        <v>324</v>
      </c>
      <c r="C28" s="684"/>
      <c r="D28" s="704"/>
      <c r="E28" s="701"/>
      <c r="F28" s="701"/>
      <c r="G28" s="701"/>
      <c r="H28" s="701"/>
      <c r="I28" s="702"/>
      <c r="J28" s="688"/>
      <c r="K28" s="672"/>
    </row>
    <row r="29" spans="1:11">
      <c r="A29" s="673"/>
      <c r="B29" s="710">
        <v>6210</v>
      </c>
      <c r="C29" s="684" t="s">
        <v>325</v>
      </c>
      <c r="D29" s="704"/>
      <c r="E29" s="695"/>
      <c r="F29" s="695"/>
      <c r="G29" s="695"/>
      <c r="H29" s="695"/>
      <c r="I29" s="697"/>
      <c r="J29" s="688"/>
      <c r="K29" s="672"/>
    </row>
    <row r="30" spans="1:11">
      <c r="A30" s="673"/>
      <c r="B30" s="710">
        <v>6250</v>
      </c>
      <c r="C30" s="684" t="s">
        <v>326</v>
      </c>
      <c r="D30" s="704"/>
      <c r="E30" s="701"/>
      <c r="F30" s="701"/>
      <c r="G30" s="695"/>
      <c r="H30" s="695"/>
      <c r="I30" s="697"/>
      <c r="J30" s="688"/>
      <c r="K30" s="672"/>
    </row>
    <row r="31" spans="1:11">
      <c r="A31" s="673"/>
      <c r="B31" s="710">
        <v>6310</v>
      </c>
      <c r="C31" s="684" t="s">
        <v>327</v>
      </c>
      <c r="D31" s="704"/>
      <c r="E31" s="701"/>
      <c r="F31" s="701"/>
      <c r="G31" s="695"/>
      <c r="H31" s="695"/>
      <c r="I31" s="697"/>
      <c r="J31" s="688"/>
      <c r="K31" s="672"/>
    </row>
    <row r="32" spans="1:11">
      <c r="A32" s="673"/>
      <c r="B32" s="691">
        <v>6311</v>
      </c>
      <c r="C32" s="684" t="s">
        <v>328</v>
      </c>
      <c r="D32" s="704"/>
      <c r="E32" s="701"/>
      <c r="F32" s="701"/>
      <c r="G32" s="695"/>
      <c r="H32" s="695"/>
      <c r="I32" s="697"/>
      <c r="J32" s="688"/>
      <c r="K32" s="672"/>
    </row>
    <row r="33" spans="1:11">
      <c r="A33" s="673"/>
      <c r="B33" s="691">
        <v>6320</v>
      </c>
      <c r="C33" s="694" t="s">
        <v>329</v>
      </c>
      <c r="D33" s="704"/>
      <c r="E33" s="701"/>
      <c r="F33" s="701"/>
      <c r="G33" s="695"/>
      <c r="H33" s="695"/>
      <c r="I33" s="697"/>
      <c r="J33" s="714">
        <v>0.03</v>
      </c>
      <c r="K33" s="672"/>
    </row>
    <row r="34" spans="1:11">
      <c r="A34" s="673"/>
      <c r="B34" s="691">
        <v>6330</v>
      </c>
      <c r="C34" s="684" t="s">
        <v>330</v>
      </c>
      <c r="D34" s="704"/>
      <c r="E34" s="701"/>
      <c r="F34" s="701"/>
      <c r="G34" s="695"/>
      <c r="H34" s="695"/>
      <c r="I34" s="697"/>
      <c r="J34" s="688"/>
      <c r="K34" s="672"/>
    </row>
    <row r="35" spans="1:11">
      <c r="A35" s="673"/>
      <c r="B35" s="691">
        <v>6331</v>
      </c>
      <c r="C35" s="684" t="s">
        <v>331</v>
      </c>
      <c r="D35" s="704"/>
      <c r="E35" s="701"/>
      <c r="F35" s="701"/>
      <c r="G35" s="695"/>
      <c r="H35" s="695"/>
      <c r="I35" s="697"/>
      <c r="J35" s="688"/>
      <c r="K35" s="672"/>
    </row>
    <row r="36" spans="1:11">
      <c r="A36" s="673"/>
      <c r="B36" s="691">
        <v>6340</v>
      </c>
      <c r="C36" s="684" t="s">
        <v>332</v>
      </c>
      <c r="D36" s="704"/>
      <c r="E36" s="701"/>
      <c r="F36" s="701"/>
      <c r="G36" s="695"/>
      <c r="H36" s="695"/>
      <c r="I36" s="697"/>
      <c r="J36" s="688"/>
      <c r="K36" s="672"/>
    </row>
    <row r="37" spans="1:11">
      <c r="A37" s="673"/>
      <c r="B37" s="691">
        <v>6350</v>
      </c>
      <c r="C37" s="684" t="s">
        <v>333</v>
      </c>
      <c r="D37" s="704"/>
      <c r="E37" s="701"/>
      <c r="F37" s="701"/>
      <c r="G37" s="695"/>
      <c r="H37" s="695"/>
      <c r="I37" s="697"/>
      <c r="J37" s="688"/>
      <c r="K37" s="672"/>
    </row>
    <row r="38" spans="1:11">
      <c r="A38" s="673"/>
      <c r="B38" s="691">
        <v>6351</v>
      </c>
      <c r="C38" s="684" t="s">
        <v>334</v>
      </c>
      <c r="D38" s="704"/>
      <c r="E38" s="701"/>
      <c r="F38" s="701"/>
      <c r="G38" s="695"/>
      <c r="H38" s="695"/>
      <c r="I38" s="697"/>
      <c r="J38" s="688"/>
      <c r="K38" s="672"/>
    </row>
    <row r="39" spans="1:11">
      <c r="A39" s="673"/>
      <c r="B39" s="691">
        <v>6390</v>
      </c>
      <c r="C39" s="684" t="s">
        <v>335</v>
      </c>
      <c r="D39" s="704"/>
      <c r="E39" s="701"/>
      <c r="F39" s="701"/>
      <c r="G39" s="695"/>
      <c r="H39" s="695"/>
      <c r="I39" s="697"/>
      <c r="J39" s="688"/>
      <c r="K39" s="672"/>
    </row>
    <row r="40" spans="1:11">
      <c r="A40" s="673"/>
      <c r="B40" s="715" t="s">
        <v>336</v>
      </c>
      <c r="C40" s="684"/>
      <c r="D40" s="704"/>
      <c r="E40" s="716">
        <f>SUM(E29:E39)-E33</f>
        <v>0</v>
      </c>
      <c r="F40" s="716">
        <f>SUM(F29:F39)-F33</f>
        <v>0</v>
      </c>
      <c r="G40" s="716">
        <f>SUM(G29:G39)-G33</f>
        <v>0</v>
      </c>
      <c r="H40" s="716">
        <f>SUM(H29:H39)-H33</f>
        <v>0</v>
      </c>
      <c r="I40" s="712">
        <f>SUM(I29:I39)-I33</f>
        <v>0</v>
      </c>
      <c r="J40" s="714">
        <v>0.03</v>
      </c>
      <c r="K40" s="672"/>
    </row>
    <row r="41" spans="1:11">
      <c r="A41" s="673"/>
      <c r="B41" s="709" t="s">
        <v>337</v>
      </c>
      <c r="C41" s="684"/>
      <c r="D41" s="704"/>
      <c r="E41" s="711">
        <f>SUM(E29:E39)</f>
        <v>0</v>
      </c>
      <c r="F41" s="711">
        <f>SUM(F29:F39)</f>
        <v>0</v>
      </c>
      <c r="G41" s="711">
        <f>SUM(G29:G39)</f>
        <v>0</v>
      </c>
      <c r="H41" s="711">
        <f>SUM(H29:H39)</f>
        <v>0</v>
      </c>
      <c r="I41" s="712">
        <f>SUM(I29:I39)</f>
        <v>0</v>
      </c>
      <c r="J41" s="688"/>
      <c r="K41" s="672"/>
    </row>
    <row r="42" spans="1:11">
      <c r="A42" s="673"/>
      <c r="B42" s="709" t="s">
        <v>338</v>
      </c>
      <c r="C42" s="684"/>
      <c r="D42" s="704"/>
      <c r="E42" s="701"/>
      <c r="F42" s="701"/>
      <c r="G42" s="701"/>
      <c r="H42" s="701"/>
      <c r="I42" s="702"/>
      <c r="J42" s="688"/>
      <c r="K42" s="672"/>
    </row>
    <row r="43" spans="1:11">
      <c r="A43" s="673"/>
      <c r="B43" s="710">
        <v>6420</v>
      </c>
      <c r="C43" s="684" t="s">
        <v>339</v>
      </c>
      <c r="D43" s="704"/>
      <c r="E43" s="695"/>
      <c r="F43" s="695"/>
      <c r="G43" s="695"/>
      <c r="H43" s="695"/>
      <c r="I43" s="697"/>
      <c r="J43" s="688"/>
      <c r="K43" s="672"/>
    </row>
    <row r="44" spans="1:11">
      <c r="A44" s="673"/>
      <c r="B44" s="710">
        <v>6420</v>
      </c>
      <c r="C44" s="684" t="s">
        <v>340</v>
      </c>
      <c r="D44" s="704"/>
      <c r="E44" s="701"/>
      <c r="F44" s="701"/>
      <c r="G44" s="695"/>
      <c r="H44" s="695"/>
      <c r="I44" s="697"/>
      <c r="J44" s="688"/>
      <c r="K44" s="672"/>
    </row>
    <row r="45" spans="1:11">
      <c r="A45" s="673"/>
      <c r="B45" s="710">
        <v>6450</v>
      </c>
      <c r="C45" s="684" t="s">
        <v>341</v>
      </c>
      <c r="D45" s="704"/>
      <c r="E45" s="701"/>
      <c r="F45" s="701"/>
      <c r="G45" s="695"/>
      <c r="H45" s="695"/>
      <c r="I45" s="697"/>
      <c r="J45" s="688"/>
      <c r="K45" s="672"/>
    </row>
    <row r="46" spans="1:11">
      <c r="A46" s="673"/>
      <c r="B46" s="710">
        <v>6451</v>
      </c>
      <c r="C46" s="684" t="s">
        <v>342</v>
      </c>
      <c r="D46" s="704"/>
      <c r="E46" s="701"/>
      <c r="F46" s="701"/>
      <c r="G46" s="695"/>
      <c r="H46" s="695"/>
      <c r="I46" s="697"/>
      <c r="J46" s="688"/>
      <c r="K46" s="672"/>
    </row>
    <row r="47" spans="1:11">
      <c r="A47" s="673"/>
      <c r="B47" s="710">
        <v>6452</v>
      </c>
      <c r="C47" s="684" t="s">
        <v>343</v>
      </c>
      <c r="D47" s="704"/>
      <c r="E47" s="701"/>
      <c r="F47" s="701"/>
      <c r="G47" s="695"/>
      <c r="H47" s="695"/>
      <c r="I47" s="697"/>
      <c r="J47" s="688"/>
      <c r="K47" s="672"/>
    </row>
    <row r="48" spans="1:11">
      <c r="A48" s="673"/>
      <c r="B48" s="710">
        <v>6453</v>
      </c>
      <c r="C48" s="684" t="s">
        <v>344</v>
      </c>
      <c r="D48" s="704"/>
      <c r="E48" s="701"/>
      <c r="F48" s="701"/>
      <c r="G48" s="695"/>
      <c r="H48" s="695"/>
      <c r="I48" s="697"/>
      <c r="J48" s="688"/>
      <c r="K48" s="672"/>
    </row>
    <row r="49" spans="1:11" ht="13" thickBot="1">
      <c r="A49" s="673"/>
      <c r="B49" s="709" t="s">
        <v>345</v>
      </c>
      <c r="C49" s="684"/>
      <c r="D49" s="704"/>
      <c r="E49" s="711">
        <f>SUM(E43:E47)</f>
        <v>0</v>
      </c>
      <c r="F49" s="711">
        <f>SUM(F43:F47)</f>
        <v>0</v>
      </c>
      <c r="G49" s="717">
        <f>SUM(G43:G48)</f>
        <v>0</v>
      </c>
      <c r="H49" s="717">
        <f>SUM(H43:H48)</f>
        <v>0</v>
      </c>
      <c r="I49" s="712">
        <f>SUM(I43:I48)</f>
        <v>0</v>
      </c>
      <c r="J49" s="718">
        <v>0.03</v>
      </c>
      <c r="K49" s="672"/>
    </row>
    <row r="50" spans="1:11" ht="14" thickTop="1" thickBot="1">
      <c r="A50" s="671"/>
      <c r="B50" s="691"/>
      <c r="C50" s="684"/>
      <c r="D50" s="719"/>
      <c r="E50" s="720"/>
      <c r="F50" s="720"/>
      <c r="G50" s="720"/>
      <c r="H50" s="720"/>
      <c r="I50" s="721"/>
      <c r="J50" s="722">
        <f>Cover!$H$6</f>
        <v>0</v>
      </c>
      <c r="K50" s="672"/>
    </row>
    <row r="51" spans="1:11" ht="13" thickTop="1">
      <c r="A51" s="673"/>
      <c r="B51" s="691"/>
      <c r="C51" s="684"/>
      <c r="D51" s="704"/>
      <c r="E51" s="723" t="s">
        <v>301</v>
      </c>
      <c r="F51" s="723" t="s">
        <v>301</v>
      </c>
      <c r="G51" s="723" t="s">
        <v>301</v>
      </c>
      <c r="H51" s="723" t="s">
        <v>301</v>
      </c>
      <c r="I51" s="724" t="s">
        <v>302</v>
      </c>
      <c r="J51" s="677" t="s">
        <v>303</v>
      </c>
      <c r="K51" s="672"/>
    </row>
    <row r="52" spans="1:11" ht="13" thickBot="1">
      <c r="A52" s="673"/>
      <c r="B52" s="691"/>
      <c r="C52" s="684"/>
      <c r="D52" s="704"/>
      <c r="E52" s="725" t="s">
        <v>304</v>
      </c>
      <c r="F52" s="725" t="s">
        <v>304</v>
      </c>
      <c r="G52" s="725" t="s">
        <v>304</v>
      </c>
      <c r="H52" s="725" t="s">
        <v>304</v>
      </c>
      <c r="I52" s="726" t="s">
        <v>305</v>
      </c>
      <c r="J52" s="679" t="s">
        <v>306</v>
      </c>
      <c r="K52" s="672"/>
    </row>
    <row r="53" spans="1:11" ht="13" thickTop="1">
      <c r="A53" s="673"/>
      <c r="B53" s="709" t="s">
        <v>346</v>
      </c>
      <c r="C53" s="684"/>
      <c r="D53" s="704"/>
      <c r="E53" s="727"/>
      <c r="F53" s="727"/>
      <c r="G53" s="727"/>
      <c r="H53" s="727"/>
      <c r="I53" s="702"/>
      <c r="J53" s="682"/>
      <c r="K53" s="672"/>
    </row>
    <row r="54" spans="1:11">
      <c r="A54" s="673"/>
      <c r="B54" s="710">
        <v>6510</v>
      </c>
      <c r="C54" s="684" t="s">
        <v>347</v>
      </c>
      <c r="D54" s="704"/>
      <c r="E54" s="695"/>
      <c r="F54" s="695"/>
      <c r="G54" s="695"/>
      <c r="H54" s="695"/>
      <c r="I54" s="697"/>
      <c r="J54" s="688"/>
      <c r="K54" s="672"/>
    </row>
    <row r="55" spans="1:11">
      <c r="A55" s="673"/>
      <c r="B55" s="710">
        <v>6515</v>
      </c>
      <c r="C55" s="684" t="s">
        <v>348</v>
      </c>
      <c r="D55" s="704"/>
      <c r="E55" s="701"/>
      <c r="F55" s="701"/>
      <c r="G55" s="695"/>
      <c r="H55" s="695"/>
      <c r="I55" s="697"/>
      <c r="J55" s="688"/>
      <c r="K55" s="672"/>
    </row>
    <row r="56" spans="1:11">
      <c r="A56" s="673"/>
      <c r="B56" s="710">
        <v>6520</v>
      </c>
      <c r="C56" s="684" t="s">
        <v>349</v>
      </c>
      <c r="D56" s="704"/>
      <c r="E56" s="701"/>
      <c r="F56" s="701"/>
      <c r="G56" s="695"/>
      <c r="H56" s="695"/>
      <c r="I56" s="697"/>
      <c r="J56" s="688"/>
      <c r="K56" s="672"/>
    </row>
    <row r="57" spans="1:11">
      <c r="A57" s="673"/>
      <c r="B57" s="710">
        <v>6525</v>
      </c>
      <c r="C57" s="684" t="s">
        <v>350</v>
      </c>
      <c r="D57" s="704"/>
      <c r="E57" s="701"/>
      <c r="F57" s="701"/>
      <c r="G57" s="695"/>
      <c r="H57" s="695"/>
      <c r="I57" s="697"/>
      <c r="J57" s="688"/>
      <c r="K57" s="672"/>
    </row>
    <row r="58" spans="1:11">
      <c r="A58" s="673"/>
      <c r="B58" s="691">
        <v>6530</v>
      </c>
      <c r="C58" s="684" t="s">
        <v>351</v>
      </c>
      <c r="D58" s="704"/>
      <c r="E58" s="701"/>
      <c r="F58" s="701"/>
      <c r="G58" s="695"/>
      <c r="H58" s="695"/>
      <c r="I58" s="697"/>
      <c r="J58" s="688"/>
      <c r="K58" s="672"/>
    </row>
    <row r="59" spans="1:11">
      <c r="A59" s="673"/>
      <c r="B59" s="691">
        <v>6545</v>
      </c>
      <c r="C59" s="684" t="s">
        <v>352</v>
      </c>
      <c r="D59" s="704"/>
      <c r="E59" s="701"/>
      <c r="F59" s="701"/>
      <c r="G59" s="695"/>
      <c r="H59" s="695"/>
      <c r="I59" s="697"/>
      <c r="J59" s="688"/>
      <c r="K59" s="672"/>
    </row>
    <row r="60" spans="1:11">
      <c r="A60" s="673"/>
      <c r="B60" s="691">
        <v>6546</v>
      </c>
      <c r="C60" s="684" t="s">
        <v>872</v>
      </c>
      <c r="D60" s="704"/>
      <c r="E60" s="701"/>
      <c r="F60" s="701"/>
      <c r="G60" s="695"/>
      <c r="H60" s="695"/>
      <c r="I60" s="697"/>
      <c r="J60" s="688"/>
      <c r="K60" s="672"/>
    </row>
    <row r="61" spans="1:11">
      <c r="A61" s="673"/>
      <c r="B61" s="691">
        <v>6570</v>
      </c>
      <c r="C61" s="684" t="s">
        <v>353</v>
      </c>
      <c r="D61" s="704"/>
      <c r="E61" s="701"/>
      <c r="F61" s="701"/>
      <c r="G61" s="695"/>
      <c r="H61" s="695"/>
      <c r="I61" s="697"/>
      <c r="J61" s="688"/>
      <c r="K61" s="672"/>
    </row>
    <row r="62" spans="1:11">
      <c r="A62" s="673"/>
      <c r="B62" s="691">
        <v>6590</v>
      </c>
      <c r="C62" s="684" t="s">
        <v>354</v>
      </c>
      <c r="D62" s="704"/>
      <c r="E62" s="701"/>
      <c r="F62" s="701"/>
      <c r="G62" s="695"/>
      <c r="H62" s="695"/>
      <c r="I62" s="697"/>
      <c r="J62" s="688"/>
      <c r="K62" s="672"/>
    </row>
    <row r="63" spans="1:11">
      <c r="A63" s="673"/>
      <c r="B63" s="715"/>
      <c r="C63" s="684" t="s">
        <v>355</v>
      </c>
      <c r="D63" s="704"/>
      <c r="E63" s="701"/>
      <c r="F63" s="701"/>
      <c r="G63" s="695"/>
      <c r="H63" s="695"/>
      <c r="I63" s="697"/>
      <c r="J63" s="688"/>
      <c r="K63" s="672"/>
    </row>
    <row r="64" spans="1:11">
      <c r="A64" s="673"/>
      <c r="B64" s="709" t="s">
        <v>356</v>
      </c>
      <c r="C64" s="684"/>
      <c r="D64" s="704"/>
      <c r="E64" s="711">
        <f>SUM(E54:E63)</f>
        <v>0</v>
      </c>
      <c r="F64" s="711">
        <f>SUM(F54:F63)</f>
        <v>0</v>
      </c>
      <c r="G64" s="711">
        <f>SUM(G54:G63)</f>
        <v>0</v>
      </c>
      <c r="H64" s="711">
        <f>SUM(H54:H63)</f>
        <v>0</v>
      </c>
      <c r="I64" s="712">
        <f>SUM(I54:I63)</f>
        <v>0</v>
      </c>
      <c r="J64" s="700">
        <v>0.03</v>
      </c>
      <c r="K64" s="672"/>
    </row>
    <row r="65" spans="1:11">
      <c r="A65" s="673"/>
      <c r="B65" s="709" t="s">
        <v>357</v>
      </c>
      <c r="C65" s="684"/>
      <c r="D65" s="704"/>
      <c r="E65" s="728"/>
      <c r="F65" s="728"/>
      <c r="G65" s="728"/>
      <c r="H65" s="728"/>
      <c r="I65" s="729"/>
      <c r="J65" s="688"/>
      <c r="K65" s="672"/>
    </row>
    <row r="66" spans="1:11">
      <c r="A66" s="673"/>
      <c r="B66" s="710">
        <v>6710</v>
      </c>
      <c r="C66" s="684" t="s">
        <v>358</v>
      </c>
      <c r="D66" s="704"/>
      <c r="E66" s="695"/>
      <c r="F66" s="695"/>
      <c r="G66" s="695"/>
      <c r="H66" s="695"/>
      <c r="I66" s="697"/>
      <c r="J66" s="714">
        <v>0.03</v>
      </c>
      <c r="K66" s="672"/>
    </row>
    <row r="67" spans="1:11">
      <c r="A67" s="673"/>
      <c r="B67" s="710">
        <v>6711</v>
      </c>
      <c r="C67" s="684" t="s">
        <v>359</v>
      </c>
      <c r="D67" s="704"/>
      <c r="E67" s="701"/>
      <c r="F67" s="701"/>
      <c r="G67" s="695"/>
      <c r="H67" s="695"/>
      <c r="I67" s="697"/>
      <c r="J67" s="688"/>
      <c r="K67" s="672"/>
    </row>
    <row r="68" spans="1:11">
      <c r="A68" s="673"/>
      <c r="B68" s="710">
        <v>6719</v>
      </c>
      <c r="C68" s="684" t="s">
        <v>360</v>
      </c>
      <c r="D68" s="704"/>
      <c r="E68" s="701"/>
      <c r="F68" s="701"/>
      <c r="G68" s="695"/>
      <c r="H68" s="695"/>
      <c r="I68" s="697"/>
      <c r="J68" s="688"/>
      <c r="K68" s="672"/>
    </row>
    <row r="69" spans="1:11">
      <c r="A69" s="673"/>
      <c r="B69" s="710">
        <v>6720</v>
      </c>
      <c r="C69" s="684" t="s">
        <v>361</v>
      </c>
      <c r="D69" s="704"/>
      <c r="E69" s="701"/>
      <c r="F69" s="701"/>
      <c r="G69" s="695"/>
      <c r="H69" s="695"/>
      <c r="I69" s="697"/>
      <c r="J69" s="714">
        <v>0.03</v>
      </c>
      <c r="K69" s="672"/>
    </row>
    <row r="70" spans="1:11">
      <c r="A70" s="673"/>
      <c r="B70" s="691">
        <v>6721</v>
      </c>
      <c r="C70" s="684" t="s">
        <v>362</v>
      </c>
      <c r="D70" s="704"/>
      <c r="E70" s="701"/>
      <c r="F70" s="701"/>
      <c r="G70" s="695"/>
      <c r="H70" s="695"/>
      <c r="I70" s="697"/>
      <c r="J70" s="688"/>
      <c r="K70" s="672"/>
    </row>
    <row r="71" spans="1:11">
      <c r="A71" s="673"/>
      <c r="B71" s="691">
        <v>6722</v>
      </c>
      <c r="C71" s="684" t="s">
        <v>363</v>
      </c>
      <c r="D71" s="704"/>
      <c r="E71" s="701"/>
      <c r="F71" s="701"/>
      <c r="G71" s="695"/>
      <c r="H71" s="695"/>
      <c r="I71" s="697"/>
      <c r="J71" s="688"/>
      <c r="K71" s="672"/>
    </row>
    <row r="72" spans="1:11">
      <c r="A72" s="673"/>
      <c r="B72" s="710">
        <v>6723</v>
      </c>
      <c r="C72" s="684" t="s">
        <v>364</v>
      </c>
      <c r="D72" s="704"/>
      <c r="E72" s="701"/>
      <c r="F72" s="701"/>
      <c r="G72" s="695"/>
      <c r="H72" s="695"/>
      <c r="I72" s="697"/>
      <c r="J72" s="688"/>
      <c r="K72" s="672"/>
    </row>
    <row r="73" spans="1:11">
      <c r="A73" s="673"/>
      <c r="B73" s="710">
        <v>6279</v>
      </c>
      <c r="C73" s="684" t="s">
        <v>365</v>
      </c>
      <c r="D73" s="704"/>
      <c r="E73" s="701"/>
      <c r="F73" s="701"/>
      <c r="G73" s="695"/>
      <c r="H73" s="695"/>
      <c r="I73" s="697"/>
      <c r="J73" s="714">
        <v>0.03</v>
      </c>
      <c r="K73" s="672"/>
    </row>
    <row r="74" spans="1:11">
      <c r="A74" s="673"/>
      <c r="B74" s="709" t="s">
        <v>366</v>
      </c>
      <c r="C74" s="684"/>
      <c r="D74" s="704"/>
      <c r="E74" s="711">
        <f>SUM(E66:E73)</f>
        <v>0</v>
      </c>
      <c r="F74" s="711">
        <f>SUM(F66:F73)</f>
        <v>0</v>
      </c>
      <c r="G74" s="711">
        <f>SUM(G66:G73)</f>
        <v>0</v>
      </c>
      <c r="H74" s="711">
        <f>SUM(H66:H73)</f>
        <v>0</v>
      </c>
      <c r="I74" s="712">
        <f>SUM(I66:I73)</f>
        <v>0</v>
      </c>
      <c r="J74" s="730"/>
      <c r="K74" s="672"/>
    </row>
    <row r="75" spans="1:11">
      <c r="A75" s="673"/>
      <c r="B75" s="691"/>
      <c r="C75" s="684"/>
      <c r="D75" s="704"/>
      <c r="E75" s="728"/>
      <c r="F75" s="728"/>
      <c r="G75" s="728"/>
      <c r="H75" s="728"/>
      <c r="I75" s="729"/>
      <c r="J75" s="688"/>
      <c r="K75" s="672"/>
    </row>
    <row r="76" spans="1:11">
      <c r="A76" s="673"/>
      <c r="B76" s="709" t="s">
        <v>367</v>
      </c>
      <c r="C76" s="731"/>
      <c r="D76" s="732"/>
      <c r="E76" s="713">
        <f>E41+E49+E64+E74</f>
        <v>0</v>
      </c>
      <c r="F76" s="713">
        <f>F41+F49+F64+F74</f>
        <v>0</v>
      </c>
      <c r="G76" s="713">
        <f>G41+G49+G64+G74</f>
        <v>0</v>
      </c>
      <c r="H76" s="713">
        <f>H41+H49+H64+H74</f>
        <v>0</v>
      </c>
      <c r="I76" s="699">
        <f>I41+I49+I64+I74</f>
        <v>0</v>
      </c>
      <c r="J76" s="688"/>
      <c r="K76" s="672"/>
    </row>
    <row r="77" spans="1:11" ht="13" thickBot="1">
      <c r="A77" s="673"/>
      <c r="B77" s="709"/>
      <c r="C77" s="731"/>
      <c r="D77" s="732"/>
      <c r="E77" s="713"/>
      <c r="F77" s="713"/>
      <c r="G77" s="713"/>
      <c r="H77" s="713"/>
      <c r="I77" s="687"/>
      <c r="J77" s="688"/>
      <c r="K77" s="672"/>
    </row>
    <row r="78" spans="1:11" ht="14" thickTop="1" thickBot="1">
      <c r="A78" s="673"/>
      <c r="B78" s="709" t="s">
        <v>368</v>
      </c>
      <c r="C78" s="731"/>
      <c r="D78" s="732"/>
      <c r="E78" s="733">
        <f>E26-E76</f>
        <v>0</v>
      </c>
      <c r="F78" s="733">
        <f>F26-F76</f>
        <v>0</v>
      </c>
      <c r="G78" s="733">
        <f>G26-G76</f>
        <v>0</v>
      </c>
      <c r="H78" s="733">
        <f>H26-H76</f>
        <v>0</v>
      </c>
      <c r="I78" s="699">
        <f>I26-I76</f>
        <v>0</v>
      </c>
      <c r="J78" s="688"/>
      <c r="K78" s="672"/>
    </row>
    <row r="79" spans="1:11" ht="13" thickTop="1">
      <c r="A79" s="673"/>
      <c r="B79" s="709"/>
      <c r="C79" s="731"/>
      <c r="D79" s="732"/>
      <c r="E79" s="734"/>
      <c r="F79" s="734"/>
      <c r="G79" s="734"/>
      <c r="H79" s="734"/>
      <c r="I79" s="687"/>
      <c r="J79" s="688"/>
      <c r="K79" s="672"/>
    </row>
    <row r="80" spans="1:11">
      <c r="A80" s="673"/>
      <c r="B80" s="709" t="s">
        <v>369</v>
      </c>
      <c r="C80" s="731"/>
      <c r="D80" s="735"/>
      <c r="E80" s="695"/>
      <c r="F80" s="695"/>
      <c r="G80" s="695"/>
      <c r="H80" s="695"/>
      <c r="I80" s="712">
        <f>300*'Primary Input'!E51</f>
        <v>0</v>
      </c>
      <c r="J80" s="714">
        <v>0.03</v>
      </c>
      <c r="K80" s="672"/>
    </row>
    <row r="81" spans="1:12" ht="13" thickBot="1">
      <c r="A81" s="673"/>
      <c r="B81" s="709"/>
      <c r="C81" s="731"/>
      <c r="D81" s="732"/>
      <c r="E81" s="736"/>
      <c r="F81" s="736"/>
      <c r="G81" s="736"/>
      <c r="H81" s="736"/>
      <c r="I81" s="737"/>
      <c r="J81" s="688"/>
      <c r="K81" s="672"/>
    </row>
    <row r="82" spans="1:12" ht="14" thickTop="1" thickBot="1">
      <c r="A82" s="673"/>
      <c r="B82" s="709" t="s">
        <v>370</v>
      </c>
      <c r="C82" s="731"/>
      <c r="D82" s="732"/>
      <c r="E82" s="733">
        <f>E78-E80</f>
        <v>0</v>
      </c>
      <c r="F82" s="733">
        <f>F78-F80</f>
        <v>0</v>
      </c>
      <c r="G82" s="733">
        <f>G78-G80</f>
        <v>0</v>
      </c>
      <c r="H82" s="733">
        <f>H78-H80</f>
        <v>0</v>
      </c>
      <c r="I82" s="699">
        <f>I78-I80</f>
        <v>0</v>
      </c>
      <c r="J82" s="688"/>
      <c r="K82" s="672"/>
    </row>
    <row r="83" spans="1:12" ht="13" thickTop="1">
      <c r="A83" s="673"/>
      <c r="B83" s="691"/>
      <c r="C83" s="684"/>
      <c r="D83" s="704"/>
      <c r="E83" s="701"/>
      <c r="F83" s="701"/>
      <c r="G83" s="701"/>
      <c r="H83" s="701"/>
      <c r="I83" s="702"/>
      <c r="J83" s="688"/>
      <c r="K83" s="672"/>
    </row>
    <row r="84" spans="1:12">
      <c r="A84" s="673"/>
      <c r="B84" s="738" t="s">
        <v>371</v>
      </c>
      <c r="C84" s="684"/>
      <c r="D84" s="704"/>
      <c r="E84" s="739"/>
      <c r="F84" s="739"/>
      <c r="G84" s="739"/>
      <c r="H84" s="739"/>
      <c r="I84" s="693"/>
      <c r="J84" s="688"/>
      <c r="K84" s="672"/>
    </row>
    <row r="85" spans="1:12">
      <c r="A85" s="673"/>
      <c r="B85" s="683" t="s">
        <v>372</v>
      </c>
      <c r="C85" s="684"/>
      <c r="D85" s="704"/>
      <c r="E85" s="695"/>
      <c r="F85" s="695"/>
      <c r="G85" s="695"/>
      <c r="H85" s="695"/>
      <c r="I85" s="696">
        <f>+'Loan Information'!E12</f>
        <v>0</v>
      </c>
      <c r="J85" s="688"/>
      <c r="K85" s="672"/>
    </row>
    <row r="86" spans="1:12">
      <c r="A86" s="673"/>
      <c r="B86" s="683" t="s">
        <v>373</v>
      </c>
      <c r="C86" s="684"/>
      <c r="D86" s="704"/>
      <c r="E86" s="695"/>
      <c r="F86" s="695"/>
      <c r="G86" s="695"/>
      <c r="H86" s="695"/>
      <c r="I86" s="696">
        <f>+'Loan Information'!E29</f>
        <v>0</v>
      </c>
      <c r="J86" s="688"/>
      <c r="K86" s="672"/>
    </row>
    <row r="87" spans="1:12" ht="13" thickBot="1">
      <c r="A87" s="673"/>
      <c r="B87" s="683"/>
      <c r="C87" s="684"/>
      <c r="D87" s="704"/>
      <c r="E87" s="740"/>
      <c r="F87" s="740"/>
      <c r="G87" s="740"/>
      <c r="H87" s="740"/>
      <c r="I87" s="741"/>
      <c r="J87" s="688"/>
      <c r="K87" s="672"/>
    </row>
    <row r="88" spans="1:12" ht="14" thickTop="1" thickBot="1">
      <c r="A88" s="673"/>
      <c r="B88" s="709" t="s">
        <v>374</v>
      </c>
      <c r="C88" s="731"/>
      <c r="D88" s="732"/>
      <c r="E88" s="733">
        <f>+E82-E84-E85-E86</f>
        <v>0</v>
      </c>
      <c r="F88" s="733">
        <f>+F82-F84-F85-F86</f>
        <v>0</v>
      </c>
      <c r="G88" s="733">
        <f>+G82-G84-G85-G86</f>
        <v>0</v>
      </c>
      <c r="H88" s="733">
        <f>+H82-H84-H85-H86</f>
        <v>0</v>
      </c>
      <c r="I88" s="699">
        <f>+I82-I84-I85-I86</f>
        <v>0</v>
      </c>
      <c r="J88" s="688"/>
      <c r="K88" s="672"/>
    </row>
    <row r="89" spans="1:12" ht="14" thickTop="1" thickBot="1">
      <c r="A89" s="673"/>
      <c r="B89" s="683"/>
      <c r="C89" s="684"/>
      <c r="D89" s="704"/>
      <c r="E89" s="742"/>
      <c r="F89" s="742"/>
      <c r="G89" s="742"/>
      <c r="H89" s="742"/>
      <c r="I89" s="741"/>
      <c r="J89" s="688"/>
      <c r="K89" s="672"/>
    </row>
    <row r="90" spans="1:12" ht="14" thickTop="1" thickBot="1">
      <c r="A90" s="673"/>
      <c r="B90" s="709"/>
      <c r="C90" s="731"/>
      <c r="D90" s="732"/>
      <c r="E90" s="733">
        <f>MAX(0,+E88-10000)</f>
        <v>0</v>
      </c>
      <c r="F90" s="733">
        <f>MAX(0,+F88-10000)</f>
        <v>0</v>
      </c>
      <c r="G90" s="733">
        <f>MAX(0,+G88-10000)</f>
        <v>0</v>
      </c>
      <c r="H90" s="733">
        <f>MAX(0,+H88-10000)</f>
        <v>0</v>
      </c>
      <c r="I90" s="699"/>
      <c r="J90" s="688"/>
      <c r="K90" s="672"/>
    </row>
    <row r="91" spans="1:12" ht="13" thickTop="1">
      <c r="A91" s="673"/>
      <c r="B91" s="683"/>
      <c r="C91" s="684"/>
      <c r="D91" s="704"/>
      <c r="E91" s="740"/>
      <c r="F91" s="740"/>
      <c r="G91" s="740"/>
      <c r="H91" s="740"/>
      <c r="I91" s="741"/>
      <c r="J91" s="688"/>
      <c r="K91" s="672"/>
    </row>
    <row r="92" spans="1:12">
      <c r="A92" s="743">
        <v>0.75</v>
      </c>
      <c r="B92" s="683" t="s">
        <v>624</v>
      </c>
      <c r="C92" s="684"/>
      <c r="D92" s="744">
        <v>0.5</v>
      </c>
      <c r="E92" s="695">
        <f>+E90*$D92</f>
        <v>0</v>
      </c>
      <c r="F92" s="695">
        <f>+F90*$D92</f>
        <v>0</v>
      </c>
      <c r="G92" s="695">
        <f>+G90*$D92</f>
        <v>0</v>
      </c>
      <c r="H92" s="695">
        <f>+H90*$D92</f>
        <v>0</v>
      </c>
      <c r="I92" s="696">
        <f>+I88*$D92</f>
        <v>0</v>
      </c>
      <c r="J92" s="688"/>
      <c r="K92" s="672"/>
      <c r="L92" s="745">
        <v>0.5</v>
      </c>
    </row>
    <row r="93" spans="1:12">
      <c r="A93" s="743">
        <v>0.33300000000000002</v>
      </c>
      <c r="B93" s="1290" t="str">
        <f>IF(D92&lt;0.5, "PROJECT MUST BE SERVING &lt;30% AMI ONLY","")</f>
        <v/>
      </c>
      <c r="C93" s="1291"/>
      <c r="D93" s="1292"/>
      <c r="E93" s="740"/>
      <c r="F93" s="740"/>
      <c r="G93" s="740"/>
      <c r="H93" s="740"/>
      <c r="I93" s="741"/>
      <c r="J93" s="688"/>
      <c r="K93" s="672"/>
      <c r="L93" s="745">
        <v>0</v>
      </c>
    </row>
    <row r="94" spans="1:12">
      <c r="A94" s="673"/>
      <c r="B94" s="746" t="s">
        <v>375</v>
      </c>
      <c r="C94" s="684"/>
      <c r="D94" s="744">
        <f>1-D92</f>
        <v>0.5</v>
      </c>
      <c r="E94" s="695">
        <f>+E90-E92</f>
        <v>0</v>
      </c>
      <c r="F94" s="695">
        <f>+F90-F92</f>
        <v>0</v>
      </c>
      <c r="G94" s="695">
        <f>+G90-G92</f>
        <v>0</v>
      </c>
      <c r="H94" s="695">
        <f>+H90-H92</f>
        <v>0</v>
      </c>
      <c r="I94" s="696">
        <f>+I88-I92</f>
        <v>0</v>
      </c>
      <c r="J94" s="688"/>
      <c r="K94" s="672"/>
      <c r="L94" s="71"/>
    </row>
    <row r="95" spans="1:12">
      <c r="A95" s="673"/>
      <c r="B95" s="746" t="s">
        <v>376</v>
      </c>
      <c r="C95" s="684"/>
      <c r="D95" s="704"/>
      <c r="E95" s="695">
        <v>0</v>
      </c>
      <c r="F95" s="695">
        <v>0</v>
      </c>
      <c r="G95" s="695">
        <v>0</v>
      </c>
      <c r="H95" s="695">
        <v>0</v>
      </c>
      <c r="I95" s="697"/>
      <c r="J95" s="688"/>
      <c r="K95" s="672"/>
    </row>
    <row r="96" spans="1:12">
      <c r="A96" s="673"/>
      <c r="B96" s="691"/>
      <c r="C96" s="684"/>
      <c r="D96" s="704"/>
      <c r="E96" s="739"/>
      <c r="F96" s="739"/>
      <c r="G96" s="739"/>
      <c r="H96" s="739"/>
      <c r="I96" s="693"/>
      <c r="J96" s="688"/>
      <c r="K96" s="672"/>
    </row>
    <row r="97" spans="1:11" ht="13" thickBot="1">
      <c r="A97" s="673"/>
      <c r="B97" s="683" t="s">
        <v>873</v>
      </c>
      <c r="C97" s="747"/>
      <c r="D97" s="704"/>
      <c r="E97" s="748" t="str">
        <f>IF(E82=0,"0",E82/SUM(E85:E86))</f>
        <v>0</v>
      </c>
      <c r="F97" s="748" t="str">
        <f>IF(F82=0,"0",F82/SUM(F85:F86))</f>
        <v>0</v>
      </c>
      <c r="G97" s="748" t="str">
        <f>IF(G82=0,"0",G82/SUM(G85:G86))</f>
        <v>0</v>
      </c>
      <c r="H97" s="748" t="str">
        <f>IF(H82=0,"0",H82/SUM(H85:H86))</f>
        <v>0</v>
      </c>
      <c r="I97" s="749" t="str">
        <f>IF((I85+I86)=0,"0",I82/SUM(I85:I86))</f>
        <v>0</v>
      </c>
      <c r="J97" s="750"/>
      <c r="K97" s="672"/>
    </row>
    <row r="98" spans="1:11" ht="13" thickTop="1">
      <c r="A98" s="751"/>
      <c r="B98" s="752"/>
      <c r="C98" s="684"/>
      <c r="D98" s="719"/>
      <c r="E98" s="675"/>
      <c r="F98" s="675"/>
      <c r="G98" s="675"/>
      <c r="H98" s="675"/>
      <c r="I98" s="675"/>
      <c r="J98" s="753"/>
      <c r="K98" s="672"/>
    </row>
    <row r="99" spans="1:11">
      <c r="A99" s="751"/>
      <c r="B99" s="752"/>
      <c r="C99" s="684"/>
      <c r="D99" s="719"/>
      <c r="E99" s="675"/>
      <c r="F99" s="675"/>
      <c r="G99" s="675"/>
      <c r="H99" s="675"/>
      <c r="I99" s="675"/>
      <c r="J99" s="754"/>
      <c r="K99" s="672"/>
    </row>
    <row r="100" spans="1:11">
      <c r="A100" s="751"/>
      <c r="B100" s="752"/>
      <c r="C100" s="684"/>
      <c r="D100" s="719"/>
      <c r="E100" s="675"/>
      <c r="F100" s="675"/>
      <c r="G100" s="675"/>
      <c r="H100" s="675"/>
      <c r="I100" s="675"/>
      <c r="J100" s="754"/>
      <c r="K100" s="672"/>
    </row>
    <row r="101" spans="1:11">
      <c r="A101" s="751"/>
      <c r="B101" s="752"/>
      <c r="C101" s="684"/>
      <c r="D101" s="719"/>
      <c r="E101" s="675"/>
      <c r="F101" s="675"/>
      <c r="G101" s="675"/>
      <c r="H101" s="675"/>
      <c r="I101" s="675"/>
      <c r="J101" s="754"/>
      <c r="K101" s="672"/>
    </row>
    <row r="102" spans="1:11">
      <c r="A102" s="751"/>
      <c r="B102" s="752"/>
      <c r="C102" s="684"/>
      <c r="D102" s="719"/>
      <c r="E102" s="675"/>
      <c r="F102" s="675"/>
      <c r="G102" s="675"/>
      <c r="H102" s="675"/>
      <c r="I102" s="675"/>
      <c r="J102" s="754"/>
      <c r="K102" s="672"/>
    </row>
    <row r="103" spans="1:11">
      <c r="A103" s="751"/>
      <c r="B103" s="752"/>
      <c r="C103" s="684"/>
      <c r="D103" s="719"/>
      <c r="E103" s="675"/>
      <c r="F103" s="675"/>
      <c r="G103" s="675"/>
      <c r="H103" s="675"/>
      <c r="I103" s="675"/>
      <c r="J103" s="754"/>
      <c r="K103" s="672"/>
    </row>
    <row r="104" spans="1:11">
      <c r="A104" s="751"/>
      <c r="B104" s="752"/>
      <c r="C104" s="684"/>
      <c r="D104" s="719"/>
      <c r="E104" s="675"/>
      <c r="F104" s="675"/>
      <c r="G104" s="675"/>
      <c r="H104" s="675"/>
      <c r="I104" s="675"/>
      <c r="J104" s="754"/>
      <c r="K104" s="672"/>
    </row>
    <row r="105" spans="1:11">
      <c r="A105" s="751"/>
      <c r="B105" s="752"/>
      <c r="C105" s="684"/>
      <c r="D105" s="719"/>
      <c r="E105" s="675"/>
      <c r="F105" s="675"/>
      <c r="G105" s="675"/>
      <c r="H105" s="675"/>
      <c r="I105" s="675"/>
      <c r="J105" s="754"/>
      <c r="K105" s="672"/>
    </row>
    <row r="106" spans="1:11">
      <c r="A106" s="751"/>
      <c r="B106" s="752"/>
      <c r="C106" s="684"/>
      <c r="D106" s="719"/>
      <c r="E106" s="675"/>
      <c r="F106" s="675"/>
      <c r="G106" s="675"/>
      <c r="H106" s="675"/>
      <c r="I106" s="675"/>
      <c r="J106" s="754"/>
      <c r="K106" s="672"/>
    </row>
    <row r="107" spans="1:11" ht="13" thickBot="1">
      <c r="A107" s="755"/>
      <c r="B107" s="756"/>
      <c r="C107" s="757"/>
      <c r="D107" s="758"/>
      <c r="E107" s="759"/>
      <c r="F107" s="759"/>
      <c r="G107" s="759"/>
      <c r="H107" s="759"/>
      <c r="I107" s="759"/>
      <c r="J107" s="760"/>
      <c r="K107" s="672"/>
    </row>
    <row r="108" spans="1:11" ht="13" thickTop="1">
      <c r="A108" s="720"/>
      <c r="B108" s="720"/>
      <c r="C108" s="720"/>
      <c r="D108" s="720"/>
      <c r="E108" s="720"/>
      <c r="F108" s="720"/>
      <c r="G108" s="720"/>
      <c r="H108" s="720"/>
      <c r="I108" s="720"/>
      <c r="J108" s="720"/>
      <c r="K108" s="672"/>
    </row>
    <row r="109" spans="1:11">
      <c r="A109" s="720"/>
      <c r="B109" s="720"/>
      <c r="C109" s="720"/>
      <c r="D109" s="720"/>
      <c r="E109" s="720"/>
      <c r="F109" s="720"/>
      <c r="G109" s="720"/>
      <c r="H109" s="720"/>
      <c r="I109" s="720"/>
      <c r="J109" s="720"/>
      <c r="K109" s="720"/>
    </row>
  </sheetData>
  <sheetProtection algorithmName="SHA-512" hashValue="0XpAGNeofrnl44MGznUQH4Y00uFrdM/T1yRALaUoYQG1XE7Jx/LoPkPp3iWSRtruFhiWaZI5r4npxps8BzL1dw==" saltValue="c2kj5kp8MPt9iVpOwPFfvQ==" spinCount="100000" sheet="1" objects="1" scenarios="1"/>
  <mergeCells count="4">
    <mergeCell ref="B93:D93"/>
    <mergeCell ref="I1:J1"/>
    <mergeCell ref="B4:D4"/>
    <mergeCell ref="A2:B2"/>
  </mergeCells>
  <phoneticPr fontId="0" type="noConversion"/>
  <dataValidations count="1">
    <dataValidation type="list" allowBlank="1" showInputMessage="1" showErrorMessage="1" sqref="D92" xr:uid="{00000000-0002-0000-0D00-000000000000}">
      <formula1>$L$92:$L$93</formula1>
    </dataValidation>
  </dataValidations>
  <printOptions horizontalCentered="1"/>
  <pageMargins left="0.47" right="0.45" top="1" bottom="0.75" header="0.5" footer="0.5"/>
  <pageSetup scale="99" fitToHeight="0" orientation="portrait" r:id="rId1"/>
  <headerFooter alignWithMargins="0">
    <oddFooter>&amp;C&amp;P</oddFooter>
  </headerFooter>
  <rowBreaks count="1" manualBreakCount="1">
    <brk id="50" max="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R59"/>
  <sheetViews>
    <sheetView workbookViewId="0">
      <selection activeCell="D6" sqref="D6"/>
    </sheetView>
  </sheetViews>
  <sheetFormatPr baseColWidth="10" defaultColWidth="9.1640625" defaultRowHeight="13"/>
  <cols>
    <col min="1" max="1" width="2.33203125" style="3" customWidth="1"/>
    <col min="2" max="2" width="18.6640625" style="3" customWidth="1"/>
    <col min="3" max="3" width="11.33203125" style="3" customWidth="1"/>
    <col min="4" max="35" width="8.6640625" style="3" customWidth="1"/>
    <col min="36" max="42" width="7.6640625" style="3" customWidth="1"/>
    <col min="43" max="16384" width="9.1640625" style="3"/>
  </cols>
  <sheetData>
    <row r="1" spans="1:43" s="869" customFormat="1" ht="39" customHeight="1" thickBot="1">
      <c r="A1" s="1298" t="s">
        <v>377</v>
      </c>
      <c r="B1" s="1298"/>
      <c r="C1" s="1298"/>
      <c r="D1" s="1299">
        <f>+Cover!E9</f>
        <v>0</v>
      </c>
      <c r="E1" s="1299"/>
      <c r="F1" s="868"/>
      <c r="G1" s="868"/>
      <c r="H1" s="868"/>
      <c r="I1" s="868"/>
      <c r="J1" s="868"/>
      <c r="K1" s="868"/>
      <c r="L1" s="868"/>
      <c r="M1" s="868"/>
      <c r="N1" s="868"/>
      <c r="O1" s="868"/>
      <c r="P1" s="1299">
        <f>+Cover!E9</f>
        <v>0</v>
      </c>
      <c r="Q1" s="1299"/>
      <c r="R1" s="868"/>
      <c r="S1" s="868"/>
      <c r="T1" s="868"/>
      <c r="U1" s="868"/>
      <c r="V1" s="868"/>
      <c r="W1" s="868"/>
      <c r="X1" s="868"/>
      <c r="Y1" s="868"/>
      <c r="Z1" s="1299">
        <f>+Cover!E9</f>
        <v>0</v>
      </c>
      <c r="AA1" s="1299"/>
      <c r="AB1" s="868"/>
      <c r="AC1" s="868"/>
      <c r="AD1" s="868"/>
      <c r="AE1" s="868"/>
      <c r="AF1" s="868"/>
      <c r="AG1" s="868"/>
      <c r="AH1" s="868"/>
    </row>
    <row r="2" spans="1:43" ht="15" thickTop="1" thickBot="1">
      <c r="A2" s="30"/>
      <c r="B2" s="30"/>
      <c r="C2" s="21"/>
      <c r="D2" s="31">
        <v>1</v>
      </c>
      <c r="E2" s="31"/>
      <c r="F2" s="31">
        <f>D2+1</f>
        <v>2</v>
      </c>
      <c r="G2" s="31"/>
      <c r="H2" s="31">
        <f>F2+1</f>
        <v>3</v>
      </c>
      <c r="I2" s="31"/>
      <c r="J2" s="31">
        <f>H2+1</f>
        <v>4</v>
      </c>
      <c r="K2" s="31"/>
      <c r="L2" s="31">
        <f>J2+1</f>
        <v>5</v>
      </c>
      <c r="M2" s="31"/>
      <c r="N2" s="31">
        <f>L2+1</f>
        <v>6</v>
      </c>
      <c r="O2" s="31"/>
      <c r="P2" s="31">
        <f>N2+1</f>
        <v>7</v>
      </c>
      <c r="Q2" s="31"/>
      <c r="R2" s="31">
        <f>P2+1</f>
        <v>8</v>
      </c>
      <c r="S2" s="31"/>
      <c r="T2" s="31">
        <f>R2+1</f>
        <v>9</v>
      </c>
      <c r="U2" s="31"/>
      <c r="V2" s="31">
        <f>T2+1</f>
        <v>10</v>
      </c>
      <c r="W2" s="31"/>
      <c r="X2" s="31">
        <f>V2+1</f>
        <v>11</v>
      </c>
      <c r="Y2" s="31"/>
      <c r="Z2" s="31">
        <f>X2+1</f>
        <v>12</v>
      </c>
      <c r="AA2" s="31"/>
      <c r="AB2" s="31">
        <f>Z2+1</f>
        <v>13</v>
      </c>
      <c r="AC2" s="31"/>
      <c r="AD2" s="31">
        <f>AB2+1</f>
        <v>14</v>
      </c>
      <c r="AE2" s="31"/>
      <c r="AF2" s="31">
        <f>AD2+1</f>
        <v>15</v>
      </c>
      <c r="AG2" s="31"/>
      <c r="AH2" s="31">
        <f>AF2+1</f>
        <v>16</v>
      </c>
      <c r="AI2" s="31"/>
      <c r="AJ2" s="31">
        <f>AH2+1</f>
        <v>17</v>
      </c>
      <c r="AK2" s="31"/>
      <c r="AL2" s="31">
        <f>AJ2+1</f>
        <v>18</v>
      </c>
      <c r="AM2" s="31"/>
      <c r="AN2" s="31">
        <f>AL2+1</f>
        <v>19</v>
      </c>
      <c r="AO2" s="31"/>
      <c r="AP2" s="31">
        <f>AN2+1</f>
        <v>20</v>
      </c>
      <c r="AQ2" s="31"/>
    </row>
    <row r="3" spans="1:43" ht="15" thickTop="1" thickBot="1">
      <c r="A3" s="27"/>
      <c r="B3" s="32"/>
      <c r="C3" s="21"/>
      <c r="D3" s="33" t="s">
        <v>378</v>
      </c>
      <c r="E3" s="33" t="s">
        <v>379</v>
      </c>
      <c r="F3" s="33" t="s">
        <v>380</v>
      </c>
      <c r="G3" s="33" t="s">
        <v>379</v>
      </c>
      <c r="H3" s="33" t="s">
        <v>380</v>
      </c>
      <c r="I3" s="33" t="s">
        <v>379</v>
      </c>
      <c r="J3" s="33" t="s">
        <v>380</v>
      </c>
      <c r="K3" s="33" t="s">
        <v>379</v>
      </c>
      <c r="L3" s="33" t="s">
        <v>380</v>
      </c>
      <c r="M3" s="33" t="s">
        <v>379</v>
      </c>
      <c r="N3" s="33" t="s">
        <v>380</v>
      </c>
      <c r="O3" s="33" t="s">
        <v>379</v>
      </c>
      <c r="P3" s="33" t="s">
        <v>380</v>
      </c>
      <c r="Q3" s="33" t="s">
        <v>379</v>
      </c>
      <c r="R3" s="33" t="s">
        <v>380</v>
      </c>
      <c r="S3" s="33" t="s">
        <v>379</v>
      </c>
      <c r="T3" s="33" t="s">
        <v>380</v>
      </c>
      <c r="U3" s="33" t="s">
        <v>379</v>
      </c>
      <c r="V3" s="33" t="s">
        <v>380</v>
      </c>
      <c r="W3" s="33" t="s">
        <v>379</v>
      </c>
      <c r="X3" s="33" t="s">
        <v>380</v>
      </c>
      <c r="Y3" s="33" t="s">
        <v>379</v>
      </c>
      <c r="Z3" s="33" t="s">
        <v>380</v>
      </c>
      <c r="AA3" s="33" t="s">
        <v>379</v>
      </c>
      <c r="AB3" s="33" t="s">
        <v>380</v>
      </c>
      <c r="AC3" s="33" t="s">
        <v>379</v>
      </c>
      <c r="AD3" s="33" t="s">
        <v>380</v>
      </c>
      <c r="AE3" s="33" t="s">
        <v>379</v>
      </c>
      <c r="AF3" s="33" t="s">
        <v>380</v>
      </c>
      <c r="AG3" s="33" t="s">
        <v>379</v>
      </c>
      <c r="AH3" s="33" t="s">
        <v>380</v>
      </c>
      <c r="AI3" s="33" t="s">
        <v>379</v>
      </c>
      <c r="AJ3" s="33" t="s">
        <v>380</v>
      </c>
      <c r="AK3" s="33" t="s">
        <v>379</v>
      </c>
      <c r="AL3" s="33" t="s">
        <v>380</v>
      </c>
      <c r="AM3" s="33" t="s">
        <v>379</v>
      </c>
      <c r="AN3" s="33" t="s">
        <v>380</v>
      </c>
      <c r="AO3" s="33" t="s">
        <v>379</v>
      </c>
      <c r="AP3" s="33" t="s">
        <v>380</v>
      </c>
      <c r="AQ3" s="33" t="s">
        <v>379</v>
      </c>
    </row>
    <row r="4" spans="1:43" ht="15" thickTop="1">
      <c r="A4" s="27"/>
      <c r="B4" s="34" t="s">
        <v>381</v>
      </c>
      <c r="C4" s="35"/>
      <c r="D4" s="36"/>
      <c r="E4" s="37"/>
      <c r="F4" s="38"/>
      <c r="G4" s="39"/>
      <c r="H4" s="38"/>
      <c r="I4" s="39"/>
      <c r="J4" s="38"/>
      <c r="K4" s="39"/>
      <c r="L4" s="40"/>
      <c r="M4" s="39"/>
      <c r="N4" s="38"/>
      <c r="O4" s="39"/>
      <c r="P4" s="38"/>
      <c r="Q4" s="39"/>
      <c r="R4" s="38"/>
      <c r="S4" s="39"/>
      <c r="T4" s="38"/>
      <c r="U4" s="39"/>
      <c r="V4" s="38"/>
      <c r="W4" s="39"/>
      <c r="X4" s="40"/>
      <c r="Y4" s="39"/>
      <c r="Z4" s="38"/>
      <c r="AA4" s="39"/>
      <c r="AB4" s="38"/>
      <c r="AC4" s="39"/>
      <c r="AD4" s="38"/>
      <c r="AE4" s="39"/>
      <c r="AF4" s="38"/>
      <c r="AG4" s="39"/>
      <c r="AH4" s="38"/>
      <c r="AI4" s="39"/>
      <c r="AJ4" s="38"/>
      <c r="AK4" s="39"/>
      <c r="AL4" s="38"/>
      <c r="AM4" s="39"/>
      <c r="AN4" s="38"/>
      <c r="AO4" s="39"/>
      <c r="AP4" s="38"/>
      <c r="AQ4" s="39"/>
    </row>
    <row r="5" spans="1:43">
      <c r="A5" s="27"/>
      <c r="B5" s="41" t="s">
        <v>382</v>
      </c>
      <c r="C5" s="42"/>
      <c r="D5" s="43">
        <f>+'Pro Forma Calculation'!I11</f>
        <v>0</v>
      </c>
      <c r="E5" s="44">
        <f>IF(D5=0,0,D5/'Primary Input'!$J$23)</f>
        <v>0</v>
      </c>
      <c r="F5" s="43">
        <f>+D5*(1+'Pro Forma Calculation'!$J$11)</f>
        <v>0</v>
      </c>
      <c r="G5" s="44">
        <f>IF(F5=0,0,F5/'Primary Input'!$J$23)</f>
        <v>0</v>
      </c>
      <c r="H5" s="43">
        <f>+F5*(1+'Pro Forma Calculation'!$J$11)</f>
        <v>0</v>
      </c>
      <c r="I5" s="44">
        <f>IF(H5=0,0,H5/'Primary Input'!$J$23)</f>
        <v>0</v>
      </c>
      <c r="J5" s="43">
        <f>+H5*(1+'Pro Forma Calculation'!$J$11)</f>
        <v>0</v>
      </c>
      <c r="K5" s="44">
        <f>IF(J5=0,0,J5/'Primary Input'!$J$23)</f>
        <v>0</v>
      </c>
      <c r="L5" s="45">
        <f>+J5*(1+'Pro Forma Calculation'!$J$11)</f>
        <v>0</v>
      </c>
      <c r="M5" s="44">
        <f>IF(L5=0,0,L5/'Primary Input'!$J$23)</f>
        <v>0</v>
      </c>
      <c r="N5" s="43">
        <f>+L5*(1+'Pro Forma Calculation'!$J$11)</f>
        <v>0</v>
      </c>
      <c r="O5" s="44">
        <f>IF(N5=0,0,N5/'Primary Input'!$J$23)</f>
        <v>0</v>
      </c>
      <c r="P5" s="43">
        <f>+N5*(1+'Pro Forma Calculation'!$J$11)</f>
        <v>0</v>
      </c>
      <c r="Q5" s="44">
        <f>IF(P5=0,0,P5/'Primary Input'!$J$23)</f>
        <v>0</v>
      </c>
      <c r="R5" s="43">
        <f>+P5*(1+'Pro Forma Calculation'!$J$11)</f>
        <v>0</v>
      </c>
      <c r="S5" s="44">
        <f>IF(R5=0,0,R5/'Primary Input'!$J$23)</f>
        <v>0</v>
      </c>
      <c r="T5" s="43">
        <f>+R5*(1+'Pro Forma Calculation'!$J$11)</f>
        <v>0</v>
      </c>
      <c r="U5" s="44">
        <f>IF(T5=0,0,T5/'Primary Input'!$J$23)</f>
        <v>0</v>
      </c>
      <c r="V5" s="43">
        <f>+T5*(1+'Pro Forma Calculation'!$J$11)</f>
        <v>0</v>
      </c>
      <c r="W5" s="44">
        <f>IF(V5=0,0,V5/'Primary Input'!$J$23)</f>
        <v>0</v>
      </c>
      <c r="X5" s="45">
        <f>+V5*(1+'Pro Forma Calculation'!$J$11)</f>
        <v>0</v>
      </c>
      <c r="Y5" s="44">
        <f>IF(X5=0,0,X5/'Primary Input'!$J$23)</f>
        <v>0</v>
      </c>
      <c r="Z5" s="43">
        <f>+X5*(1+'Pro Forma Calculation'!$J$11)</f>
        <v>0</v>
      </c>
      <c r="AA5" s="44">
        <f>IF(Z5=0,0,Z5/'Primary Input'!$J$23)</f>
        <v>0</v>
      </c>
      <c r="AB5" s="43">
        <f>+Z5*(1+'Pro Forma Calculation'!$J$11)</f>
        <v>0</v>
      </c>
      <c r="AC5" s="44">
        <f>IF(AB5=0,0,AB5/'Primary Input'!$J$23)</f>
        <v>0</v>
      </c>
      <c r="AD5" s="43">
        <f>+AB5*(1+'Pro Forma Calculation'!$J$11)</f>
        <v>0</v>
      </c>
      <c r="AE5" s="44">
        <f>IF(AD5=0,0,AD5/'Primary Input'!$J$23)</f>
        <v>0</v>
      </c>
      <c r="AF5" s="43">
        <f>+AD5*(1+'Pro Forma Calculation'!$J$11)</f>
        <v>0</v>
      </c>
      <c r="AG5" s="44">
        <f>IF(AF5=0,0,AF5/'Primary Input'!$J$23)</f>
        <v>0</v>
      </c>
      <c r="AH5" s="43">
        <f>+AF5*(1+'Pro Forma Calculation'!$J$11)</f>
        <v>0</v>
      </c>
      <c r="AI5" s="44">
        <f>IF(AH5=0,0,AH5/'Primary Input'!$J$23)</f>
        <v>0</v>
      </c>
      <c r="AJ5" s="43">
        <f>+AH5*(1+'Pro Forma Calculation'!$J$11)</f>
        <v>0</v>
      </c>
      <c r="AK5" s="44">
        <f>IF(AJ5=0,0,AJ5/'Primary Input'!$J$23)</f>
        <v>0</v>
      </c>
      <c r="AL5" s="43">
        <f>+AJ5*(1+'Pro Forma Calculation'!$J$11)</f>
        <v>0</v>
      </c>
      <c r="AM5" s="44">
        <f>IF(AL5=0,0,AL5/'Primary Input'!$J$23)</f>
        <v>0</v>
      </c>
      <c r="AN5" s="43">
        <f>+AL5*(1+'Pro Forma Calculation'!$J$11)</f>
        <v>0</v>
      </c>
      <c r="AO5" s="44">
        <f>IF(AN5=0,0,AN5/'Primary Input'!$J$23)</f>
        <v>0</v>
      </c>
      <c r="AP5" s="43">
        <f>+AN5*(1+'Pro Forma Calculation'!$J$11)</f>
        <v>0</v>
      </c>
      <c r="AQ5" s="44">
        <f>IF(AP5=0,0,AP5/'Primary Input'!$J$23)</f>
        <v>0</v>
      </c>
    </row>
    <row r="6" spans="1:43">
      <c r="A6" s="27"/>
      <c r="B6" s="41" t="s">
        <v>383</v>
      </c>
      <c r="C6" s="42"/>
      <c r="D6" s="43">
        <f>+'Pro Forma Calculation'!I17</f>
        <v>0</v>
      </c>
      <c r="E6" s="44">
        <f>IF(D6=0,0,D6/'Primary Input'!$J$23)</f>
        <v>0</v>
      </c>
      <c r="F6" s="43">
        <f>+D6*(1+'Pro Forma Calculation'!$J$11)</f>
        <v>0</v>
      </c>
      <c r="G6" s="44">
        <f>IF(F6=0,0,F6/'Primary Input'!$J$23)</f>
        <v>0</v>
      </c>
      <c r="H6" s="43">
        <f>+F6*(1+'Pro Forma Calculation'!$J$11)</f>
        <v>0</v>
      </c>
      <c r="I6" s="44">
        <f>IF(H6=0,0,H6/'Primary Input'!$J$23)</f>
        <v>0</v>
      </c>
      <c r="J6" s="43">
        <f>+H6*(1+'Pro Forma Calculation'!$J$11)</f>
        <v>0</v>
      </c>
      <c r="K6" s="44">
        <f>IF(J6=0,0,J6/'Primary Input'!$J$23)</f>
        <v>0</v>
      </c>
      <c r="L6" s="45">
        <f>+J6*(1+'Pro Forma Calculation'!$J$11)</f>
        <v>0</v>
      </c>
      <c r="M6" s="44">
        <f>IF(L6=0,0,L6/'Primary Input'!$J$23)</f>
        <v>0</v>
      </c>
      <c r="N6" s="43">
        <f>+L6*(1+'Pro Forma Calculation'!$J$11)</f>
        <v>0</v>
      </c>
      <c r="O6" s="44">
        <f>IF(N6=0,0,N6/'Primary Input'!$J$23)</f>
        <v>0</v>
      </c>
      <c r="P6" s="43">
        <f>+N6*(1+'Pro Forma Calculation'!$J$11)</f>
        <v>0</v>
      </c>
      <c r="Q6" s="44">
        <f>IF(P6=0,0,P6/'Primary Input'!$J$23)</f>
        <v>0</v>
      </c>
      <c r="R6" s="43">
        <f>+P6*(1+'Pro Forma Calculation'!$J$11)</f>
        <v>0</v>
      </c>
      <c r="S6" s="44">
        <f>IF(R6=0,0,R6/'Primary Input'!$J$23)</f>
        <v>0</v>
      </c>
      <c r="T6" s="43">
        <f>+R6*(1+'Pro Forma Calculation'!$J$11)</f>
        <v>0</v>
      </c>
      <c r="U6" s="44">
        <f>IF(T6=0,0,T6/'Primary Input'!$J$23)</f>
        <v>0</v>
      </c>
      <c r="V6" s="43">
        <f>+T6*(1+'Pro Forma Calculation'!$J$11)</f>
        <v>0</v>
      </c>
      <c r="W6" s="44">
        <f>IF(V6=0,0,V6/'Primary Input'!$J$23)</f>
        <v>0</v>
      </c>
      <c r="X6" s="45">
        <f>+V6*(1+'Pro Forma Calculation'!$J$11)</f>
        <v>0</v>
      </c>
      <c r="Y6" s="44">
        <f>IF(X6=0,0,X6/'Primary Input'!$J$23)</f>
        <v>0</v>
      </c>
      <c r="Z6" s="43">
        <f>+X6*(1+'Pro Forma Calculation'!$J$11)</f>
        <v>0</v>
      </c>
      <c r="AA6" s="44">
        <f>IF(Z6=0,0,Z6/'Primary Input'!$J$23)</f>
        <v>0</v>
      </c>
      <c r="AB6" s="43">
        <f>+Z6*(1+'Pro Forma Calculation'!$J$11)</f>
        <v>0</v>
      </c>
      <c r="AC6" s="44">
        <f>IF(AB6=0,0,AB6/'Primary Input'!$J$23)</f>
        <v>0</v>
      </c>
      <c r="AD6" s="43">
        <f>+AB6*(1+'Pro Forma Calculation'!$J$11)</f>
        <v>0</v>
      </c>
      <c r="AE6" s="44">
        <f>IF(AD6=0,0,AD6/'Primary Input'!$J$23)</f>
        <v>0</v>
      </c>
      <c r="AF6" s="43">
        <f>+AD6*(1+'Pro Forma Calculation'!$J$11)</f>
        <v>0</v>
      </c>
      <c r="AG6" s="44">
        <f>IF(AF6=0,0,AF6/'Primary Input'!$J$23)</f>
        <v>0</v>
      </c>
      <c r="AH6" s="43">
        <f>+AF6*(1+'Pro Forma Calculation'!$J$11)</f>
        <v>0</v>
      </c>
      <c r="AI6" s="44">
        <f>IF(AH6=0,0,AH6/'Primary Input'!$J$23)</f>
        <v>0</v>
      </c>
      <c r="AJ6" s="43">
        <f>+AH6*(1+'Pro Forma Calculation'!$J$11)</f>
        <v>0</v>
      </c>
      <c r="AK6" s="44">
        <f>IF(AJ6=0,0,AJ6/'Primary Input'!$J$23)</f>
        <v>0</v>
      </c>
      <c r="AL6" s="43">
        <f>+AJ6*(1+'Pro Forma Calculation'!$J$11)</f>
        <v>0</v>
      </c>
      <c r="AM6" s="44">
        <f>IF(AL6=0,0,AL6/'Primary Input'!$J$23)</f>
        <v>0</v>
      </c>
      <c r="AN6" s="43">
        <f>+AL6*(1+'Pro Forma Calculation'!$J$11)</f>
        <v>0</v>
      </c>
      <c r="AO6" s="44">
        <f>IF(AN6=0,0,AN6/'Primary Input'!$J$23)</f>
        <v>0</v>
      </c>
      <c r="AP6" s="43">
        <f>+AN6*(1+'Pro Forma Calculation'!$J$11)</f>
        <v>0</v>
      </c>
      <c r="AQ6" s="44">
        <f>IF(AP6=0,0,AP6/'Primary Input'!$J$23)</f>
        <v>0</v>
      </c>
    </row>
    <row r="7" spans="1:43">
      <c r="A7" s="27"/>
      <c r="B7" s="41" t="s">
        <v>384</v>
      </c>
      <c r="C7" s="42"/>
      <c r="D7" s="43">
        <f>+'Pro Forma Calculation'!I25</f>
        <v>0</v>
      </c>
      <c r="E7" s="44">
        <f>IF(D7=0,0,D7/'Primary Input'!$J$23)</f>
        <v>0</v>
      </c>
      <c r="F7" s="43">
        <f>+D7*(1+'Pro Forma Calculation'!$J$25)</f>
        <v>0</v>
      </c>
      <c r="G7" s="44">
        <f>IF(F7=0,0,F7/'Primary Input'!$J$23)</f>
        <v>0</v>
      </c>
      <c r="H7" s="43">
        <f>+F7*(1+'Pro Forma Calculation'!$J$25)</f>
        <v>0</v>
      </c>
      <c r="I7" s="44">
        <f>IF(H7=0,0,H7/'Primary Input'!$J$23)</f>
        <v>0</v>
      </c>
      <c r="J7" s="43">
        <f>+H7*(1+'Pro Forma Calculation'!$J$25)</f>
        <v>0</v>
      </c>
      <c r="K7" s="44">
        <f>IF(J7=0,0,J7/'Primary Input'!$J$23)</f>
        <v>0</v>
      </c>
      <c r="L7" s="45">
        <f>+J7*(1+'Pro Forma Calculation'!$J$25)</f>
        <v>0</v>
      </c>
      <c r="M7" s="44">
        <f>IF(L7=0,0,L7/'Primary Input'!$J$23)</f>
        <v>0</v>
      </c>
      <c r="N7" s="43">
        <f>+L7*(1+'Pro Forma Calculation'!$J$25)</f>
        <v>0</v>
      </c>
      <c r="O7" s="44">
        <f>IF(N7=0,0,N7/'Primary Input'!$J$23)</f>
        <v>0</v>
      </c>
      <c r="P7" s="43">
        <f>+N7*(1+'Pro Forma Calculation'!$J$25)</f>
        <v>0</v>
      </c>
      <c r="Q7" s="44">
        <f>IF(P7=0,0,P7/'Primary Input'!$J$23)</f>
        <v>0</v>
      </c>
      <c r="R7" s="43">
        <f>+P7*(1+'Pro Forma Calculation'!$J$25)</f>
        <v>0</v>
      </c>
      <c r="S7" s="44">
        <f>IF(R7=0,0,R7/'Primary Input'!$J$23)</f>
        <v>0</v>
      </c>
      <c r="T7" s="43">
        <f>+R7*(1+'Pro Forma Calculation'!$J$25)</f>
        <v>0</v>
      </c>
      <c r="U7" s="44">
        <f>IF(T7=0,0,T7/'Primary Input'!$J$23)</f>
        <v>0</v>
      </c>
      <c r="V7" s="43">
        <f>+T7*(1+'Pro Forma Calculation'!$J$25)</f>
        <v>0</v>
      </c>
      <c r="W7" s="44">
        <f>IF(V7=0,0,V7/'Primary Input'!$J$23)</f>
        <v>0</v>
      </c>
      <c r="X7" s="45">
        <f>+V7*(1+'Pro Forma Calculation'!$J$25)</f>
        <v>0</v>
      </c>
      <c r="Y7" s="44">
        <f>IF(X7=0,0,X7/'Primary Input'!$J$23)</f>
        <v>0</v>
      </c>
      <c r="Z7" s="43">
        <f>+X7*(1+'Pro Forma Calculation'!$J$25)</f>
        <v>0</v>
      </c>
      <c r="AA7" s="44">
        <f>IF(Z7=0,0,Z7/'Primary Input'!$J$23)</f>
        <v>0</v>
      </c>
      <c r="AB7" s="43">
        <f>+Z7*(1+'Pro Forma Calculation'!$J$25)</f>
        <v>0</v>
      </c>
      <c r="AC7" s="44">
        <f>IF(AB7=0,0,AB7/'Primary Input'!$J$23)</f>
        <v>0</v>
      </c>
      <c r="AD7" s="43">
        <f>+AB7*(1+'Pro Forma Calculation'!$J$25)</f>
        <v>0</v>
      </c>
      <c r="AE7" s="44">
        <f>IF(AD7=0,0,AD7/'Primary Input'!$J$23)</f>
        <v>0</v>
      </c>
      <c r="AF7" s="43">
        <f>+AD7*(1+'Pro Forma Calculation'!$J$25)</f>
        <v>0</v>
      </c>
      <c r="AG7" s="44">
        <f>IF(AF7=0,0,AF7/'Primary Input'!$J$23)</f>
        <v>0</v>
      </c>
      <c r="AH7" s="43">
        <f>+AF7*(1+'Pro Forma Calculation'!$J$25)</f>
        <v>0</v>
      </c>
      <c r="AI7" s="44">
        <f>IF(AH7=0,0,AH7/'Primary Input'!$J$23)</f>
        <v>0</v>
      </c>
      <c r="AJ7" s="43">
        <f>+AH7*(1+'Pro Forma Calculation'!$J$25)</f>
        <v>0</v>
      </c>
      <c r="AK7" s="44">
        <f>IF(AJ7=0,0,AJ7/'Primary Input'!$J$23)</f>
        <v>0</v>
      </c>
      <c r="AL7" s="43">
        <f>+AJ7*(1+'Pro Forma Calculation'!$J$25)</f>
        <v>0</v>
      </c>
      <c r="AM7" s="44">
        <f>IF(AL7=0,0,AL7/'Primary Input'!$J$23)</f>
        <v>0</v>
      </c>
      <c r="AN7" s="43">
        <f>+AL7*(1+'Pro Forma Calculation'!$J$25)</f>
        <v>0</v>
      </c>
      <c r="AO7" s="44">
        <f>IF(AN7=0,0,AN7/'Primary Input'!$J$23)</f>
        <v>0</v>
      </c>
      <c r="AP7" s="43">
        <f>+AN7*(1+'Pro Forma Calculation'!$J$25)</f>
        <v>0</v>
      </c>
      <c r="AQ7" s="44">
        <f>IF(AP7=0,0,AP7/'Primary Input'!$J$23)</f>
        <v>0</v>
      </c>
    </row>
    <row r="8" spans="1:43">
      <c r="A8" s="27"/>
      <c r="B8" s="41"/>
      <c r="C8" s="42"/>
      <c r="D8" s="43"/>
      <c r="E8" s="44"/>
      <c r="F8" s="43"/>
      <c r="G8" s="44"/>
      <c r="H8" s="43"/>
      <c r="I8" s="44"/>
      <c r="J8" s="43"/>
      <c r="K8" s="44"/>
      <c r="L8" s="45"/>
      <c r="M8" s="44"/>
      <c r="N8" s="43"/>
      <c r="O8" s="44"/>
      <c r="P8" s="43"/>
      <c r="Q8" s="44"/>
      <c r="R8" s="43"/>
      <c r="S8" s="44"/>
      <c r="T8" s="43"/>
      <c r="U8" s="44"/>
      <c r="V8" s="43"/>
      <c r="W8" s="44"/>
      <c r="X8" s="45"/>
      <c r="Y8" s="44"/>
      <c r="Z8" s="43"/>
      <c r="AA8" s="44"/>
      <c r="AB8" s="43"/>
      <c r="AC8" s="44"/>
      <c r="AD8" s="43"/>
      <c r="AE8" s="44"/>
      <c r="AF8" s="43"/>
      <c r="AG8" s="44"/>
      <c r="AH8" s="43"/>
      <c r="AI8" s="44"/>
      <c r="AJ8" s="43"/>
      <c r="AK8" s="44"/>
      <c r="AL8" s="43"/>
      <c r="AM8" s="44"/>
      <c r="AN8" s="43"/>
      <c r="AO8" s="44"/>
      <c r="AP8" s="43"/>
      <c r="AQ8" s="44"/>
    </row>
    <row r="9" spans="1:43" ht="14">
      <c r="A9" s="46"/>
      <c r="B9" s="47" t="s">
        <v>385</v>
      </c>
      <c r="C9" s="48"/>
      <c r="D9" s="49">
        <f>SUM(D5:D7)</f>
        <v>0</v>
      </c>
      <c r="E9" s="44">
        <f>IF(D9=0,0,D9/'Primary Input'!$J$23)</f>
        <v>0</v>
      </c>
      <c r="F9" s="50">
        <f>SUM(F5:F7)</f>
        <v>0</v>
      </c>
      <c r="G9" s="44">
        <f>IF(F9=0,0,F9/'Primary Input'!$J$23)</f>
        <v>0</v>
      </c>
      <c r="H9" s="50">
        <f>SUM(H5:H7)</f>
        <v>0</v>
      </c>
      <c r="I9" s="44">
        <f>IF(H9=0,0,H9/'Primary Input'!$J$23)</f>
        <v>0</v>
      </c>
      <c r="J9" s="50">
        <f>SUM(J5:J7)</f>
        <v>0</v>
      </c>
      <c r="K9" s="44">
        <f>IF(J9=0,0,J9/'Primary Input'!$J$23)</f>
        <v>0</v>
      </c>
      <c r="L9" s="50">
        <f>SUM(L5:L7)</f>
        <v>0</v>
      </c>
      <c r="M9" s="44">
        <f>IF(L9=0,0,L9/'Primary Input'!$J$23)</f>
        <v>0</v>
      </c>
      <c r="N9" s="50">
        <f>SUM(N5:N7)</f>
        <v>0</v>
      </c>
      <c r="O9" s="44">
        <f>IF(N9=0,0,N9/'Primary Input'!$J$23)</f>
        <v>0</v>
      </c>
      <c r="P9" s="50">
        <f>SUM(P5:P7)</f>
        <v>0</v>
      </c>
      <c r="Q9" s="44">
        <f>IF(P9=0,0,P9/'Primary Input'!$J$23)</f>
        <v>0</v>
      </c>
      <c r="R9" s="50">
        <f>SUM(R5:R7)</f>
        <v>0</v>
      </c>
      <c r="S9" s="44">
        <f>IF(R9=0,0,R9/'Primary Input'!$J$23)</f>
        <v>0</v>
      </c>
      <c r="T9" s="50">
        <f>SUM(T5:T7)</f>
        <v>0</v>
      </c>
      <c r="U9" s="44">
        <f>IF(T9=0,0,T9/'Primary Input'!$J$23)</f>
        <v>0</v>
      </c>
      <c r="V9" s="50">
        <f>SUM(V5:V7)</f>
        <v>0</v>
      </c>
      <c r="W9" s="44">
        <f>IF(V9=0,0,V9/'Primary Input'!$J$23)</f>
        <v>0</v>
      </c>
      <c r="X9" s="50">
        <f>SUM(X5:X7)</f>
        <v>0</v>
      </c>
      <c r="Y9" s="44">
        <f>IF(X9=0,0,X9/'Primary Input'!$J$23)</f>
        <v>0</v>
      </c>
      <c r="Z9" s="50">
        <f>SUM(Z5:Z7)</f>
        <v>0</v>
      </c>
      <c r="AA9" s="44">
        <f>IF(Z9=0,0,Z9/'Primary Input'!$J$23)</f>
        <v>0</v>
      </c>
      <c r="AB9" s="50">
        <f>SUM(AB5:AB7)</f>
        <v>0</v>
      </c>
      <c r="AC9" s="44">
        <f>IF(AB9=0,0,AB9/'Primary Input'!$J$23)</f>
        <v>0</v>
      </c>
      <c r="AD9" s="50">
        <f>SUM(AD5:AD7)</f>
        <v>0</v>
      </c>
      <c r="AE9" s="44">
        <f>IF(AD9=0,0,AD9/'Primary Input'!$J$23)</f>
        <v>0</v>
      </c>
      <c r="AF9" s="50">
        <f>SUM(AF5:AF7)</f>
        <v>0</v>
      </c>
      <c r="AG9" s="44">
        <f>IF(AF9=0,0,AF9/'Primary Input'!$J$23)</f>
        <v>0</v>
      </c>
      <c r="AH9" s="50">
        <f>SUM(AH5:AH7)</f>
        <v>0</v>
      </c>
      <c r="AI9" s="44">
        <f>IF(AH9=0,0,AH9/'Primary Input'!$J$23)</f>
        <v>0</v>
      </c>
      <c r="AJ9" s="50">
        <f>SUM(AJ5:AJ7)</f>
        <v>0</v>
      </c>
      <c r="AK9" s="44">
        <f>IF(AJ9=0,0,AJ9/'Primary Input'!$J$23)</f>
        <v>0</v>
      </c>
      <c r="AL9" s="50">
        <f>SUM(AL5:AL7)</f>
        <v>0</v>
      </c>
      <c r="AM9" s="44">
        <f>IF(AL9=0,0,AL9/'Primary Input'!$J$23)</f>
        <v>0</v>
      </c>
      <c r="AN9" s="50">
        <f>SUM(AN5:AN7)</f>
        <v>0</v>
      </c>
      <c r="AO9" s="44">
        <f>IF(AN9=0,0,AN9/'Primary Input'!$J$23)</f>
        <v>0</v>
      </c>
      <c r="AP9" s="50">
        <f>SUM(AP5:AP7)</f>
        <v>0</v>
      </c>
      <c r="AQ9" s="44">
        <f>IF(AP9=0,0,AP9/'Primary Input'!$J$23)</f>
        <v>0</v>
      </c>
    </row>
    <row r="10" spans="1:43">
      <c r="A10" s="27"/>
      <c r="B10" s="41"/>
      <c r="C10" s="42"/>
      <c r="D10" s="43"/>
      <c r="E10" s="44"/>
      <c r="F10" s="43"/>
      <c r="G10" s="44"/>
      <c r="H10" s="43"/>
      <c r="I10" s="44"/>
      <c r="J10" s="43"/>
      <c r="K10" s="44"/>
      <c r="L10" s="45"/>
      <c r="M10" s="44"/>
      <c r="N10" s="43"/>
      <c r="O10" s="44"/>
      <c r="P10" s="43"/>
      <c r="Q10" s="44"/>
      <c r="R10" s="43"/>
      <c r="S10" s="44"/>
      <c r="T10" s="43"/>
      <c r="U10" s="44"/>
      <c r="V10" s="43"/>
      <c r="W10" s="44"/>
      <c r="X10" s="45"/>
      <c r="Y10" s="44"/>
      <c r="Z10" s="43"/>
      <c r="AA10" s="44"/>
      <c r="AB10" s="43"/>
      <c r="AC10" s="44"/>
      <c r="AD10" s="43"/>
      <c r="AE10" s="44"/>
      <c r="AF10" s="43"/>
      <c r="AG10" s="44"/>
      <c r="AH10" s="43"/>
      <c r="AI10" s="44"/>
      <c r="AJ10" s="43"/>
      <c r="AK10" s="44"/>
      <c r="AL10" s="43"/>
      <c r="AM10" s="44"/>
      <c r="AN10" s="43"/>
      <c r="AO10" s="44"/>
      <c r="AP10" s="43"/>
      <c r="AQ10" s="44"/>
    </row>
    <row r="11" spans="1:43" ht="14">
      <c r="A11" s="27"/>
      <c r="B11" s="51" t="s">
        <v>386</v>
      </c>
      <c r="C11" s="42"/>
      <c r="D11" s="43"/>
      <c r="E11" s="44"/>
      <c r="F11" s="43"/>
      <c r="G11" s="44"/>
      <c r="H11" s="43"/>
      <c r="I11" s="44"/>
      <c r="J11" s="43"/>
      <c r="K11" s="44"/>
      <c r="L11" s="45"/>
      <c r="M11" s="44"/>
      <c r="N11" s="43"/>
      <c r="O11" s="44"/>
      <c r="P11" s="43"/>
      <c r="Q11" s="44"/>
      <c r="R11" s="43"/>
      <c r="S11" s="44"/>
      <c r="T11" s="43"/>
      <c r="U11" s="44"/>
      <c r="V11" s="43"/>
      <c r="W11" s="44"/>
      <c r="X11" s="45"/>
      <c r="Y11" s="44"/>
      <c r="Z11" s="43"/>
      <c r="AA11" s="44"/>
      <c r="AB11" s="43"/>
      <c r="AC11" s="44"/>
      <c r="AD11" s="43"/>
      <c r="AE11" s="44"/>
      <c r="AF11" s="43"/>
      <c r="AG11" s="44"/>
      <c r="AH11" s="43"/>
      <c r="AI11" s="44"/>
      <c r="AJ11" s="43"/>
      <c r="AK11" s="44"/>
      <c r="AL11" s="43"/>
      <c r="AM11" s="44"/>
      <c r="AN11" s="43"/>
      <c r="AO11" s="44"/>
      <c r="AP11" s="43"/>
      <c r="AQ11" s="44"/>
    </row>
    <row r="12" spans="1:43">
      <c r="A12" s="27"/>
      <c r="B12" s="52" t="s">
        <v>387</v>
      </c>
      <c r="C12" s="42"/>
      <c r="D12" s="43">
        <f>+'Pro Forma Calculation'!I33</f>
        <v>0</v>
      </c>
      <c r="E12" s="44">
        <f>IF(D12=0,0,D12/'Primary Input'!$J$23)</f>
        <v>0</v>
      </c>
      <c r="F12" s="43">
        <f>+D12*(1+'Pro Forma Calculation'!$J$33)</f>
        <v>0</v>
      </c>
      <c r="G12" s="44">
        <f>IF(F12=0,0,F12/'Primary Input'!$J$23)</f>
        <v>0</v>
      </c>
      <c r="H12" s="43">
        <f>+F12*(1+'Pro Forma Calculation'!$J$33)</f>
        <v>0</v>
      </c>
      <c r="I12" s="44">
        <f>IF(H12=0,0,H12/'Primary Input'!$J$23)</f>
        <v>0</v>
      </c>
      <c r="J12" s="43">
        <f>+H12*(1+'Pro Forma Calculation'!$J$33)</f>
        <v>0</v>
      </c>
      <c r="K12" s="44">
        <f>IF(J12=0,0,J12/'Primary Input'!$J$23)</f>
        <v>0</v>
      </c>
      <c r="L12" s="45">
        <f>+J12*(1+'Pro Forma Calculation'!$J$33)</f>
        <v>0</v>
      </c>
      <c r="M12" s="44">
        <f>IF(L12=0,0,L12/'Primary Input'!$J$23)</f>
        <v>0</v>
      </c>
      <c r="N12" s="43">
        <f>+L12*(1+'Pro Forma Calculation'!$J$33)</f>
        <v>0</v>
      </c>
      <c r="O12" s="44">
        <f>IF(N12=0,0,N12/'Primary Input'!$J$23)</f>
        <v>0</v>
      </c>
      <c r="P12" s="43">
        <f>+N12*(1+'Pro Forma Calculation'!$J$33)</f>
        <v>0</v>
      </c>
      <c r="Q12" s="44">
        <f>IF(P12=0,0,P12/'Primary Input'!$J$23)</f>
        <v>0</v>
      </c>
      <c r="R12" s="43">
        <f>+P12*(1+'Pro Forma Calculation'!$J$33)</f>
        <v>0</v>
      </c>
      <c r="S12" s="44">
        <f>IF(R12=0,0,R12/'Primary Input'!$J$23)</f>
        <v>0</v>
      </c>
      <c r="T12" s="43">
        <f>+R12*(1+'Pro Forma Calculation'!$J$33)</f>
        <v>0</v>
      </c>
      <c r="U12" s="44">
        <f>IF(T12=0,0,T12/'Primary Input'!$J$23)</f>
        <v>0</v>
      </c>
      <c r="V12" s="43">
        <f>+T12*(1+'Pro Forma Calculation'!$J$33)</f>
        <v>0</v>
      </c>
      <c r="W12" s="44">
        <f>IF(V12=0,0,V12/'Primary Input'!$J$23)</f>
        <v>0</v>
      </c>
      <c r="X12" s="45">
        <f>+V12*(1+'Pro Forma Calculation'!$J$33)</f>
        <v>0</v>
      </c>
      <c r="Y12" s="44">
        <f>IF(X12=0,0,X12/'Primary Input'!$J$23)</f>
        <v>0</v>
      </c>
      <c r="Z12" s="43">
        <f>+X12*(1+'Pro Forma Calculation'!$J$33)</f>
        <v>0</v>
      </c>
      <c r="AA12" s="44">
        <f>IF(Z12=0,0,Z12/'Primary Input'!$J$23)</f>
        <v>0</v>
      </c>
      <c r="AB12" s="43">
        <f>+Z12*(1+'Pro Forma Calculation'!$J$33)</f>
        <v>0</v>
      </c>
      <c r="AC12" s="44">
        <f>IF(AB12=0,0,AB12/'Primary Input'!$J$23)</f>
        <v>0</v>
      </c>
      <c r="AD12" s="43">
        <f>+AB12*(1+'Pro Forma Calculation'!$J$33)</f>
        <v>0</v>
      </c>
      <c r="AE12" s="44">
        <f>IF(AD12=0,0,AD12/'Primary Input'!$J$23)</f>
        <v>0</v>
      </c>
      <c r="AF12" s="43">
        <f>+AD12*(1+'Pro Forma Calculation'!$J$33)</f>
        <v>0</v>
      </c>
      <c r="AG12" s="44">
        <f>IF(AF12=0,0,AF12/'Primary Input'!$J$23)</f>
        <v>0</v>
      </c>
      <c r="AH12" s="43">
        <f>+AF12*(1+'Pro Forma Calculation'!$J$33)</f>
        <v>0</v>
      </c>
      <c r="AI12" s="44">
        <f>IF(AH12=0,0,AH12/'Primary Input'!$J$23)</f>
        <v>0</v>
      </c>
      <c r="AJ12" s="43">
        <f>+AH12*(1+'Pro Forma Calculation'!$J$33)</f>
        <v>0</v>
      </c>
      <c r="AK12" s="44">
        <f>IF(AJ12=0,0,AJ12/'Primary Input'!$J$23)</f>
        <v>0</v>
      </c>
      <c r="AL12" s="43">
        <f>+AJ12*(1+'Pro Forma Calculation'!$J$33)</f>
        <v>0</v>
      </c>
      <c r="AM12" s="44">
        <f>IF(AL12=0,0,AL12/'Primary Input'!$J$23)</f>
        <v>0</v>
      </c>
      <c r="AN12" s="43">
        <f>+AL12*(1+'Pro Forma Calculation'!$J$33)</f>
        <v>0</v>
      </c>
      <c r="AO12" s="44">
        <f>IF(AN12=0,0,AN12/'Primary Input'!$J$23)</f>
        <v>0</v>
      </c>
      <c r="AP12" s="43">
        <f>+AN12*(1+'Pro Forma Calculation'!$J$33)</f>
        <v>0</v>
      </c>
      <c r="AQ12" s="44">
        <f>IF(AP12=0,0,AP12/'Primary Input'!$J$23)</f>
        <v>0</v>
      </c>
    </row>
    <row r="13" spans="1:43">
      <c r="A13" s="27"/>
      <c r="B13" s="41" t="s">
        <v>388</v>
      </c>
      <c r="C13" s="42"/>
      <c r="D13" s="45">
        <f>+'Pro Forma Calculation'!I40</f>
        <v>0</v>
      </c>
      <c r="E13" s="44">
        <f>IF(D13=0,0,D13/'Primary Input'!$J$23)</f>
        <v>0</v>
      </c>
      <c r="F13" s="43">
        <f>+D13*(1+'Pro Forma Calculation'!$J$40)</f>
        <v>0</v>
      </c>
      <c r="G13" s="44">
        <f>IF(F13=0,0,F13/'Primary Input'!$J$23)</f>
        <v>0</v>
      </c>
      <c r="H13" s="43">
        <f>+F13*(1+'Pro Forma Calculation'!$J$40)</f>
        <v>0</v>
      </c>
      <c r="I13" s="44">
        <f>IF(H13=0,0,H13/'Primary Input'!$J$23)</f>
        <v>0</v>
      </c>
      <c r="J13" s="43">
        <f>+H13*(1+'Pro Forma Calculation'!$J$40)</f>
        <v>0</v>
      </c>
      <c r="K13" s="44">
        <f>IF(J13=0,0,J13/'Primary Input'!$J$23)</f>
        <v>0</v>
      </c>
      <c r="L13" s="45">
        <f>+J13*(1+'Pro Forma Calculation'!$J$40)</f>
        <v>0</v>
      </c>
      <c r="M13" s="44">
        <f>IF(L13=0,0,L13/'Primary Input'!$J$23)</f>
        <v>0</v>
      </c>
      <c r="N13" s="43">
        <f>+L13*(1+'Pro Forma Calculation'!$J$40)</f>
        <v>0</v>
      </c>
      <c r="O13" s="44">
        <f>IF(N13=0,0,N13/'Primary Input'!$J$23)</f>
        <v>0</v>
      </c>
      <c r="P13" s="43">
        <f>+N13*(1+'Pro Forma Calculation'!$J$40)</f>
        <v>0</v>
      </c>
      <c r="Q13" s="44">
        <f>IF(P13=0,0,P13/'Primary Input'!$J$23)</f>
        <v>0</v>
      </c>
      <c r="R13" s="43">
        <f>+P13*(1+'Pro Forma Calculation'!$J$40)</f>
        <v>0</v>
      </c>
      <c r="S13" s="44">
        <f>IF(R13=0,0,R13/'Primary Input'!$J$23)</f>
        <v>0</v>
      </c>
      <c r="T13" s="43">
        <f>+R13*(1+'Pro Forma Calculation'!$J$40)</f>
        <v>0</v>
      </c>
      <c r="U13" s="44">
        <f>IF(T13=0,0,T13/'Primary Input'!$J$23)</f>
        <v>0</v>
      </c>
      <c r="V13" s="43">
        <f>+T13*(1+'Pro Forma Calculation'!$J$40)</f>
        <v>0</v>
      </c>
      <c r="W13" s="44">
        <f>IF(V13=0,0,V13/'Primary Input'!$J$23)</f>
        <v>0</v>
      </c>
      <c r="X13" s="45">
        <f>+V13*(1+'Pro Forma Calculation'!$J$40)</f>
        <v>0</v>
      </c>
      <c r="Y13" s="44">
        <f>IF(X13=0,0,X13/'Primary Input'!$J$23)</f>
        <v>0</v>
      </c>
      <c r="Z13" s="43">
        <f>+X13*(1+'Pro Forma Calculation'!$J$40)</f>
        <v>0</v>
      </c>
      <c r="AA13" s="44">
        <f>IF(Z13=0,0,Z13/'Primary Input'!$J$23)</f>
        <v>0</v>
      </c>
      <c r="AB13" s="43">
        <f>+Z13*(1+'Pro Forma Calculation'!$J$40)</f>
        <v>0</v>
      </c>
      <c r="AC13" s="44">
        <f>IF(AB13=0,0,AB13/'Primary Input'!$J$23)</f>
        <v>0</v>
      </c>
      <c r="AD13" s="43">
        <f>+AB13*(1+'Pro Forma Calculation'!$J$40)</f>
        <v>0</v>
      </c>
      <c r="AE13" s="44">
        <f>IF(AD13=0,0,AD13/'Primary Input'!$J$23)</f>
        <v>0</v>
      </c>
      <c r="AF13" s="43">
        <f>+AD13*(1+'Pro Forma Calculation'!$J$40)</f>
        <v>0</v>
      </c>
      <c r="AG13" s="44">
        <f>IF(AF13=0,0,AF13/'Primary Input'!$J$23)</f>
        <v>0</v>
      </c>
      <c r="AH13" s="43">
        <f>+AF13*(1+'Pro Forma Calculation'!$J$40)</f>
        <v>0</v>
      </c>
      <c r="AI13" s="44">
        <f>IF(AH13=0,0,AH13/'Primary Input'!$J$23)</f>
        <v>0</v>
      </c>
      <c r="AJ13" s="43">
        <f>+AH13*(1+'Pro Forma Calculation'!$J$40)</f>
        <v>0</v>
      </c>
      <c r="AK13" s="44">
        <f>IF(AJ13=0,0,AJ13/'Primary Input'!$J$23)</f>
        <v>0</v>
      </c>
      <c r="AL13" s="43">
        <f>+AJ13*(1+'Pro Forma Calculation'!$J$40)</f>
        <v>0</v>
      </c>
      <c r="AM13" s="44">
        <f>IF(AL13=0,0,AL13/'Primary Input'!$J$23)</f>
        <v>0</v>
      </c>
      <c r="AN13" s="43">
        <f>+AL13*(1+'Pro Forma Calculation'!$J$40)</f>
        <v>0</v>
      </c>
      <c r="AO13" s="44">
        <f>IF(AN13=0,0,AN13/'Primary Input'!$J$23)</f>
        <v>0</v>
      </c>
      <c r="AP13" s="43">
        <f>+AN13*(1+'Pro Forma Calculation'!$J$40)</f>
        <v>0</v>
      </c>
      <c r="AQ13" s="44">
        <f>IF(AP13=0,0,AP13/'Primary Input'!$J$23)</f>
        <v>0</v>
      </c>
    </row>
    <row r="14" spans="1:43">
      <c r="A14" s="27"/>
      <c r="B14" s="52" t="s">
        <v>389</v>
      </c>
      <c r="C14" s="42"/>
      <c r="D14" s="43">
        <f>+'Pro Forma Calculation'!I49</f>
        <v>0</v>
      </c>
      <c r="E14" s="44">
        <f>IF(D14=0,0,D14/'Primary Input'!$J$23)</f>
        <v>0</v>
      </c>
      <c r="F14" s="43">
        <f>+D14*(1+'Pro Forma Calculation'!$J$49)</f>
        <v>0</v>
      </c>
      <c r="G14" s="44">
        <f>IF(F14=0,0,F14/'Primary Input'!$J$23)</f>
        <v>0</v>
      </c>
      <c r="H14" s="43">
        <f>+F14*(1+'Pro Forma Calculation'!$J$49)</f>
        <v>0</v>
      </c>
      <c r="I14" s="44">
        <f>IF(H14=0,0,H14/'Primary Input'!$J$23)</f>
        <v>0</v>
      </c>
      <c r="J14" s="43">
        <f>+H14*(1+'Pro Forma Calculation'!$J$49)</f>
        <v>0</v>
      </c>
      <c r="K14" s="44">
        <f>IF(J14=0,0,J14/'Primary Input'!$J$23)</f>
        <v>0</v>
      </c>
      <c r="L14" s="45">
        <f>+J14*(1+'Pro Forma Calculation'!$J$49)</f>
        <v>0</v>
      </c>
      <c r="M14" s="44">
        <f>IF(L14=0,0,L14/'Primary Input'!$J$23)</f>
        <v>0</v>
      </c>
      <c r="N14" s="43">
        <f>+L14*(1+'Pro Forma Calculation'!$J$49)</f>
        <v>0</v>
      </c>
      <c r="O14" s="44">
        <f>IF(N14=0,0,N14/'Primary Input'!$J$23)</f>
        <v>0</v>
      </c>
      <c r="P14" s="43">
        <f>+N14*(1+'Pro Forma Calculation'!$J$49)</f>
        <v>0</v>
      </c>
      <c r="Q14" s="44">
        <f>IF(P14=0,0,P14/'Primary Input'!$J$23)</f>
        <v>0</v>
      </c>
      <c r="R14" s="43">
        <f>+P14*(1+'Pro Forma Calculation'!$J$49)</f>
        <v>0</v>
      </c>
      <c r="S14" s="44">
        <f>IF(R14=0,0,R14/'Primary Input'!$J$23)</f>
        <v>0</v>
      </c>
      <c r="T14" s="43">
        <f>+R14*(1+'Pro Forma Calculation'!$J$49)</f>
        <v>0</v>
      </c>
      <c r="U14" s="44">
        <f>IF(T14=0,0,T14/'Primary Input'!$J$23)</f>
        <v>0</v>
      </c>
      <c r="V14" s="43">
        <f>+T14*(1+'Pro Forma Calculation'!$J$49)</f>
        <v>0</v>
      </c>
      <c r="W14" s="44">
        <f>IF(V14=0,0,V14/'Primary Input'!$J$23)</f>
        <v>0</v>
      </c>
      <c r="X14" s="45">
        <f>+V14*(1+'Pro Forma Calculation'!$J$49)</f>
        <v>0</v>
      </c>
      <c r="Y14" s="44">
        <f>IF(X14=0,0,X14/'Primary Input'!$J$23)</f>
        <v>0</v>
      </c>
      <c r="Z14" s="43">
        <f>+X14*(1+'Pro Forma Calculation'!$J$49)</f>
        <v>0</v>
      </c>
      <c r="AA14" s="44">
        <f>IF(Z14=0,0,Z14/'Primary Input'!$J$23)</f>
        <v>0</v>
      </c>
      <c r="AB14" s="43">
        <f>+Z14*(1+'Pro Forma Calculation'!$J$49)</f>
        <v>0</v>
      </c>
      <c r="AC14" s="44">
        <f>IF(AB14=0,0,AB14/'Primary Input'!$J$23)</f>
        <v>0</v>
      </c>
      <c r="AD14" s="43">
        <f>+AB14*(1+'Pro Forma Calculation'!$J$49)</f>
        <v>0</v>
      </c>
      <c r="AE14" s="44">
        <f>IF(AD14=0,0,AD14/'Primary Input'!$J$23)</f>
        <v>0</v>
      </c>
      <c r="AF14" s="43">
        <f>+AD14*(1+'Pro Forma Calculation'!$J$49)</f>
        <v>0</v>
      </c>
      <c r="AG14" s="44">
        <f>IF(AF14=0,0,AF14/'Primary Input'!$J$23)</f>
        <v>0</v>
      </c>
      <c r="AH14" s="43">
        <f>+AF14*(1+'Pro Forma Calculation'!$J$49)</f>
        <v>0</v>
      </c>
      <c r="AI14" s="44">
        <f>IF(AH14=0,0,AH14/'Primary Input'!$J$23)</f>
        <v>0</v>
      </c>
      <c r="AJ14" s="43">
        <f>+AH14*(1+'Pro Forma Calculation'!$J$49)</f>
        <v>0</v>
      </c>
      <c r="AK14" s="44">
        <f>IF(AJ14=0,0,AJ14/'Primary Input'!$J$23)</f>
        <v>0</v>
      </c>
      <c r="AL14" s="43">
        <f>+AJ14*(1+'Pro Forma Calculation'!$J$49)</f>
        <v>0</v>
      </c>
      <c r="AM14" s="44">
        <f>IF(AL14=0,0,AL14/'Primary Input'!$J$23)</f>
        <v>0</v>
      </c>
      <c r="AN14" s="43">
        <f>+AL14*(1+'Pro Forma Calculation'!$J$49)</f>
        <v>0</v>
      </c>
      <c r="AO14" s="44">
        <f>IF(AN14=0,0,AN14/'Primary Input'!$J$23)</f>
        <v>0</v>
      </c>
      <c r="AP14" s="43">
        <f>+AN14*(1+'Pro Forma Calculation'!$J$49)</f>
        <v>0</v>
      </c>
      <c r="AQ14" s="44">
        <f>IF(AP14=0,0,AP14/'Primary Input'!$J$23)</f>
        <v>0</v>
      </c>
    </row>
    <row r="15" spans="1:43">
      <c r="A15" s="27"/>
      <c r="B15" s="52" t="s">
        <v>390</v>
      </c>
      <c r="C15" s="42"/>
      <c r="D15" s="45">
        <f>+'Pro Forma Calculation'!I64</f>
        <v>0</v>
      </c>
      <c r="E15" s="44">
        <f>IF(D15=0,0,D15/'Primary Input'!$J$23)</f>
        <v>0</v>
      </c>
      <c r="F15" s="43">
        <f>+D15*(1+'Pro Forma Calculation'!$J$64)</f>
        <v>0</v>
      </c>
      <c r="G15" s="44">
        <f>IF(F15=0,0,F15/'Primary Input'!$J$23)</f>
        <v>0</v>
      </c>
      <c r="H15" s="43">
        <f>+F15*(1+'Pro Forma Calculation'!$J$64)</f>
        <v>0</v>
      </c>
      <c r="I15" s="44">
        <f>IF(H15=0,0,H15/'Primary Input'!$J$23)</f>
        <v>0</v>
      </c>
      <c r="J15" s="43">
        <f>+H15*(1+'Pro Forma Calculation'!$J$64)</f>
        <v>0</v>
      </c>
      <c r="K15" s="44">
        <f>IF(J15=0,0,J15/'Primary Input'!$J$23)</f>
        <v>0</v>
      </c>
      <c r="L15" s="45">
        <f>+J15*(1+'Pro Forma Calculation'!$J$64)</f>
        <v>0</v>
      </c>
      <c r="M15" s="44">
        <f>IF(L15=0,0,L15/'Primary Input'!$J$23)</f>
        <v>0</v>
      </c>
      <c r="N15" s="43">
        <f>+L15*(1+'Pro Forma Calculation'!$J$64)</f>
        <v>0</v>
      </c>
      <c r="O15" s="44">
        <f>IF(N15=0,0,N15/'Primary Input'!$J$23)</f>
        <v>0</v>
      </c>
      <c r="P15" s="43">
        <f>+N15*(1+'Pro Forma Calculation'!$J$64)</f>
        <v>0</v>
      </c>
      <c r="Q15" s="44">
        <f>IF(P15=0,0,P15/'Primary Input'!$J$23)</f>
        <v>0</v>
      </c>
      <c r="R15" s="43">
        <f>+P15*(1+'Pro Forma Calculation'!$J$64)</f>
        <v>0</v>
      </c>
      <c r="S15" s="44">
        <f>IF(R15=0,0,R15/'Primary Input'!$J$23)</f>
        <v>0</v>
      </c>
      <c r="T15" s="43">
        <f>+R15*(1+'Pro Forma Calculation'!$J$64)</f>
        <v>0</v>
      </c>
      <c r="U15" s="44">
        <f>IF(T15=0,0,T15/'Primary Input'!$J$23)</f>
        <v>0</v>
      </c>
      <c r="V15" s="43">
        <f>+T15*(1+'Pro Forma Calculation'!$J$64)</f>
        <v>0</v>
      </c>
      <c r="W15" s="44">
        <f>IF(V15=0,0,V15/'Primary Input'!$J$23)</f>
        <v>0</v>
      </c>
      <c r="X15" s="45">
        <f>+V15*(1+'Pro Forma Calculation'!$J$64)</f>
        <v>0</v>
      </c>
      <c r="Y15" s="44">
        <f>IF(X15=0,0,X15/'Primary Input'!$J$23)</f>
        <v>0</v>
      </c>
      <c r="Z15" s="43">
        <f>+X15*(1+'Pro Forma Calculation'!$J$64)</f>
        <v>0</v>
      </c>
      <c r="AA15" s="44">
        <f>IF(Z15=0,0,Z15/'Primary Input'!$J$23)</f>
        <v>0</v>
      </c>
      <c r="AB15" s="43">
        <f>+Z15*(1+'Pro Forma Calculation'!$J$64)</f>
        <v>0</v>
      </c>
      <c r="AC15" s="44">
        <f>IF(AB15=0,0,AB15/'Primary Input'!$J$23)</f>
        <v>0</v>
      </c>
      <c r="AD15" s="43">
        <f>+AB15*(1+'Pro Forma Calculation'!$J$64)</f>
        <v>0</v>
      </c>
      <c r="AE15" s="44">
        <f>IF(AD15=0,0,AD15/'Primary Input'!$J$23)</f>
        <v>0</v>
      </c>
      <c r="AF15" s="43">
        <f>+AD15*(1+'Pro Forma Calculation'!$J$64)</f>
        <v>0</v>
      </c>
      <c r="AG15" s="44">
        <f>IF(AF15=0,0,AF15/'Primary Input'!$J$23)</f>
        <v>0</v>
      </c>
      <c r="AH15" s="43">
        <f>+AF15*(1+'Pro Forma Calculation'!$J$64)</f>
        <v>0</v>
      </c>
      <c r="AI15" s="44">
        <f>IF(AH15=0,0,AH15/'Primary Input'!$J$23)</f>
        <v>0</v>
      </c>
      <c r="AJ15" s="43">
        <f>+AH15*(1+'Pro Forma Calculation'!$J$64)</f>
        <v>0</v>
      </c>
      <c r="AK15" s="44">
        <f>IF(AJ15=0,0,AJ15/'Primary Input'!$J$23)</f>
        <v>0</v>
      </c>
      <c r="AL15" s="43">
        <f>+AJ15*(1+'Pro Forma Calculation'!$J$64)</f>
        <v>0</v>
      </c>
      <c r="AM15" s="44">
        <f>IF(AL15=0,0,AL15/'Primary Input'!$J$23)</f>
        <v>0</v>
      </c>
      <c r="AN15" s="43">
        <f>+AL15*(1+'Pro Forma Calculation'!$J$64)</f>
        <v>0</v>
      </c>
      <c r="AO15" s="44">
        <f>IF(AN15=0,0,AN15/'Primary Input'!$J$23)</f>
        <v>0</v>
      </c>
      <c r="AP15" s="43">
        <f>+AN15*(1+'Pro Forma Calculation'!$J$64)</f>
        <v>0</v>
      </c>
      <c r="AQ15" s="44">
        <f>IF(AP15=0,0,AP15/'Primary Input'!$J$23)</f>
        <v>0</v>
      </c>
    </row>
    <row r="16" spans="1:43">
      <c r="A16" s="27"/>
      <c r="B16" s="41" t="s">
        <v>391</v>
      </c>
      <c r="C16" s="42"/>
      <c r="D16" s="45">
        <f>+'Pro Forma Calculation'!I66</f>
        <v>0</v>
      </c>
      <c r="E16" s="44">
        <f>IF(D16=0,0,D16/'Primary Input'!$J$23)</f>
        <v>0</v>
      </c>
      <c r="F16" s="43">
        <f>+D16*(1+'Pro Forma Calculation'!$J$66)</f>
        <v>0</v>
      </c>
      <c r="G16" s="44">
        <f>IF(F16=0,0,F16/'Primary Input'!$J$23)</f>
        <v>0</v>
      </c>
      <c r="H16" s="43">
        <f>+F16*(1+'Pro Forma Calculation'!$J$66)</f>
        <v>0</v>
      </c>
      <c r="I16" s="44">
        <f>IF(H16=0,0,H16/'Primary Input'!$J$23)</f>
        <v>0</v>
      </c>
      <c r="J16" s="43">
        <f>+H16*(1+'Pro Forma Calculation'!$J$66)</f>
        <v>0</v>
      </c>
      <c r="K16" s="44">
        <f>IF(J16=0,0,J16/'Primary Input'!$J$23)</f>
        <v>0</v>
      </c>
      <c r="L16" s="45">
        <f>+J16*(1+'Pro Forma Calculation'!$J$66)</f>
        <v>0</v>
      </c>
      <c r="M16" s="44">
        <f>IF(L16=0,0,L16/'Primary Input'!$J$23)</f>
        <v>0</v>
      </c>
      <c r="N16" s="43">
        <f>+L16*(1+'Pro Forma Calculation'!$J$66)</f>
        <v>0</v>
      </c>
      <c r="O16" s="44">
        <f>IF(N16=0,0,N16/'Primary Input'!$J$23)</f>
        <v>0</v>
      </c>
      <c r="P16" s="43">
        <f>+N16*(1+'Pro Forma Calculation'!$J$66)</f>
        <v>0</v>
      </c>
      <c r="Q16" s="44">
        <f>IF(P16=0,0,P16/'Primary Input'!$J$23)</f>
        <v>0</v>
      </c>
      <c r="R16" s="43">
        <f>+P16*(1+'Pro Forma Calculation'!$J$66)</f>
        <v>0</v>
      </c>
      <c r="S16" s="44">
        <f>IF(R16=0,0,R16/'Primary Input'!$J$23)</f>
        <v>0</v>
      </c>
      <c r="T16" s="43">
        <f>+R16*(1+'Pro Forma Calculation'!$J$66)</f>
        <v>0</v>
      </c>
      <c r="U16" s="44">
        <f>IF(T16=0,0,T16/'Primary Input'!$J$23)</f>
        <v>0</v>
      </c>
      <c r="V16" s="43">
        <f>+T16*(1+'Pro Forma Calculation'!$J$66)</f>
        <v>0</v>
      </c>
      <c r="W16" s="44">
        <f>IF(V16=0,0,V16/'Primary Input'!$J$23)</f>
        <v>0</v>
      </c>
      <c r="X16" s="45">
        <f>+V16*(1+'Pro Forma Calculation'!$J$66)</f>
        <v>0</v>
      </c>
      <c r="Y16" s="44">
        <f>IF(X16=0,0,X16/'Primary Input'!$J$23)</f>
        <v>0</v>
      </c>
      <c r="Z16" s="43">
        <f>+X16*(1+'Pro Forma Calculation'!$J$66)</f>
        <v>0</v>
      </c>
      <c r="AA16" s="44">
        <f>IF(Z16=0,0,Z16/'Primary Input'!$J$23)</f>
        <v>0</v>
      </c>
      <c r="AB16" s="43">
        <f>+Z16*(1+'Pro Forma Calculation'!$J$66)</f>
        <v>0</v>
      </c>
      <c r="AC16" s="44">
        <f>IF(AB16=0,0,AB16/'Primary Input'!$J$23)</f>
        <v>0</v>
      </c>
      <c r="AD16" s="43">
        <f>+AB16*(1+'Pro Forma Calculation'!$J$66)</f>
        <v>0</v>
      </c>
      <c r="AE16" s="44">
        <f>IF(AD16=0,0,AD16/'Primary Input'!$J$23)</f>
        <v>0</v>
      </c>
      <c r="AF16" s="43">
        <f>+AD16*(1+'Pro Forma Calculation'!$J$66)</f>
        <v>0</v>
      </c>
      <c r="AG16" s="44">
        <f>IF(AF16=0,0,AF16/'Primary Input'!$J$23)</f>
        <v>0</v>
      </c>
      <c r="AH16" s="43">
        <f>+AF16*(1+'Pro Forma Calculation'!$J$66)</f>
        <v>0</v>
      </c>
      <c r="AI16" s="44">
        <f>IF(AH16=0,0,AH16/'Primary Input'!$J$23)</f>
        <v>0</v>
      </c>
      <c r="AJ16" s="43">
        <f>+AH16*(1+'Pro Forma Calculation'!$J$66)</f>
        <v>0</v>
      </c>
      <c r="AK16" s="44">
        <f>IF(AJ16=0,0,AJ16/'Primary Input'!$J$23)</f>
        <v>0</v>
      </c>
      <c r="AL16" s="43">
        <f>+AJ16*(1+'Pro Forma Calculation'!$J$66)</f>
        <v>0</v>
      </c>
      <c r="AM16" s="44">
        <f>IF(AL16=0,0,AL16/'Primary Input'!$J$23)</f>
        <v>0</v>
      </c>
      <c r="AN16" s="43">
        <f>+AL16*(1+'Pro Forma Calculation'!$J$66)</f>
        <v>0</v>
      </c>
      <c r="AO16" s="44">
        <f>IF(AN16=0,0,AN16/'Primary Input'!$J$23)</f>
        <v>0</v>
      </c>
      <c r="AP16" s="43">
        <f>+AN16*(1+'Pro Forma Calculation'!$J$66)</f>
        <v>0</v>
      </c>
      <c r="AQ16" s="44">
        <f>IF(AP16=0,0,AP16/'Primary Input'!$J$23)</f>
        <v>0</v>
      </c>
    </row>
    <row r="17" spans="1:43">
      <c r="A17" s="27"/>
      <c r="B17" s="41" t="s">
        <v>416</v>
      </c>
      <c r="C17" s="42"/>
      <c r="D17" s="45">
        <f>+'Pro Forma Calculation'!I69</f>
        <v>0</v>
      </c>
      <c r="E17" s="44">
        <f>IF(D17=0,0,D17/'Primary Input'!$J$23)</f>
        <v>0</v>
      </c>
      <c r="F17" s="43">
        <f>+D17*(1+'Pro Forma Calculation'!$J$69)</f>
        <v>0</v>
      </c>
      <c r="G17" s="44">
        <f>IF(F17=0,0,F17/'Primary Input'!$J$23)</f>
        <v>0</v>
      </c>
      <c r="H17" s="43">
        <f>+F17*(1+'Pro Forma Calculation'!$J$69)</f>
        <v>0</v>
      </c>
      <c r="I17" s="44">
        <f>IF(H17=0,0,H17/'Primary Input'!$J$23)</f>
        <v>0</v>
      </c>
      <c r="J17" s="43">
        <f>+H17*(1+'Pro Forma Calculation'!$J$69)</f>
        <v>0</v>
      </c>
      <c r="K17" s="44">
        <f>IF(J17=0,0,J17/'Primary Input'!$J$23)</f>
        <v>0</v>
      </c>
      <c r="L17" s="45">
        <f>+J17*(1+'Pro Forma Calculation'!$J$69)</f>
        <v>0</v>
      </c>
      <c r="M17" s="44">
        <f>IF(L17=0,0,L17/'Primary Input'!$J$23)</f>
        <v>0</v>
      </c>
      <c r="N17" s="43">
        <f>+L17*(1+'Pro Forma Calculation'!$J$69)</f>
        <v>0</v>
      </c>
      <c r="O17" s="44">
        <f>IF(N17=0,0,N17/'Primary Input'!$J$23)</f>
        <v>0</v>
      </c>
      <c r="P17" s="43">
        <f>+N17*(1+'Pro Forma Calculation'!$J$69)</f>
        <v>0</v>
      </c>
      <c r="Q17" s="44">
        <f>IF(P17=0,0,P17/'Primary Input'!$J$23)</f>
        <v>0</v>
      </c>
      <c r="R17" s="43">
        <f>+P17*(1+'Pro Forma Calculation'!$J$69)</f>
        <v>0</v>
      </c>
      <c r="S17" s="44">
        <f>IF(R17=0,0,R17/'Primary Input'!$J$23)</f>
        <v>0</v>
      </c>
      <c r="T17" s="43">
        <f>+R17*(1+'Pro Forma Calculation'!$J$69)</f>
        <v>0</v>
      </c>
      <c r="U17" s="44">
        <f>IF(T17=0,0,T17/'Primary Input'!$J$23)</f>
        <v>0</v>
      </c>
      <c r="V17" s="43">
        <f>+T17*(1+'Pro Forma Calculation'!$J$69)</f>
        <v>0</v>
      </c>
      <c r="W17" s="44">
        <f>IF(V17=0,0,V17/'Primary Input'!$J$23)</f>
        <v>0</v>
      </c>
      <c r="X17" s="45">
        <f>+V17*(1+'Pro Forma Calculation'!$J$69)</f>
        <v>0</v>
      </c>
      <c r="Y17" s="44">
        <f>IF(X17=0,0,X17/'Primary Input'!$J$23)</f>
        <v>0</v>
      </c>
      <c r="Z17" s="43">
        <f>+X17*(1+'Pro Forma Calculation'!$J$69)</f>
        <v>0</v>
      </c>
      <c r="AA17" s="44">
        <f>IF(Z17=0,0,Z17/'Primary Input'!$J$23)</f>
        <v>0</v>
      </c>
      <c r="AB17" s="43">
        <f>+Z17*(1+'Pro Forma Calculation'!$J$69)</f>
        <v>0</v>
      </c>
      <c r="AC17" s="44">
        <f>IF(AB17=0,0,AB17/'Primary Input'!$J$23)</f>
        <v>0</v>
      </c>
      <c r="AD17" s="43">
        <f>+AB17*(1+'Pro Forma Calculation'!$J$69)</f>
        <v>0</v>
      </c>
      <c r="AE17" s="44">
        <f>IF(AD17=0,0,AD17/'Primary Input'!$J$23)</f>
        <v>0</v>
      </c>
      <c r="AF17" s="43">
        <f>+AD17*(1+'Pro Forma Calculation'!$J$69)</f>
        <v>0</v>
      </c>
      <c r="AG17" s="44">
        <f>IF(AF17=0,0,AF17/'Primary Input'!$J$23)</f>
        <v>0</v>
      </c>
      <c r="AH17" s="43">
        <f>+AF17*(1+'Pro Forma Calculation'!$J$69)</f>
        <v>0</v>
      </c>
      <c r="AI17" s="44">
        <f>IF(AH17=0,0,AH17/'Primary Input'!$J$23)</f>
        <v>0</v>
      </c>
      <c r="AJ17" s="43">
        <f>+AH17*(1+'Pro Forma Calculation'!$J$69)</f>
        <v>0</v>
      </c>
      <c r="AK17" s="44">
        <f>IF(AJ17=0,0,AJ17/'Primary Input'!$J$23)</f>
        <v>0</v>
      </c>
      <c r="AL17" s="43">
        <f>+AJ17*(1+'Pro Forma Calculation'!$J$69)</f>
        <v>0</v>
      </c>
      <c r="AM17" s="44">
        <f>IF(AL17=0,0,AL17/'Primary Input'!$J$23)</f>
        <v>0</v>
      </c>
      <c r="AN17" s="43">
        <f>+AL17*(1+'Pro Forma Calculation'!$J$69)</f>
        <v>0</v>
      </c>
      <c r="AO17" s="44">
        <f>IF(AN17=0,0,AN17/'Primary Input'!$J$23)</f>
        <v>0</v>
      </c>
      <c r="AP17" s="43">
        <f>+AN17*(1+'Pro Forma Calculation'!$J$69)</f>
        <v>0</v>
      </c>
      <c r="AQ17" s="44">
        <f>IF(AP17=0,0,AP17/'Primary Input'!$J$23)</f>
        <v>0</v>
      </c>
    </row>
    <row r="18" spans="1:43">
      <c r="A18" s="27"/>
      <c r="B18" s="53" t="s">
        <v>417</v>
      </c>
      <c r="C18" s="42"/>
      <c r="D18" s="45">
        <f>+'Pro Forma Calculation'!I74-SUM(D16:D17)</f>
        <v>0</v>
      </c>
      <c r="E18" s="44">
        <f>IF(D18=0,0,D18/'Primary Input'!$J$23)</f>
        <v>0</v>
      </c>
      <c r="F18" s="43">
        <f>+D18*(1+'Pro Forma Calculation'!$J$73)</f>
        <v>0</v>
      </c>
      <c r="G18" s="44">
        <f>IF(F18=0,0,F18/'Primary Input'!$J$23)</f>
        <v>0</v>
      </c>
      <c r="H18" s="43">
        <f>+F18*(1+'Pro Forma Calculation'!$J$73)</f>
        <v>0</v>
      </c>
      <c r="I18" s="44">
        <f>IF(H18=0,0,H18/'Primary Input'!$J$23)</f>
        <v>0</v>
      </c>
      <c r="J18" s="43">
        <f>+H18*(1+'Pro Forma Calculation'!$J$73)</f>
        <v>0</v>
      </c>
      <c r="K18" s="44">
        <f>IF(J18=0,0,J18/'Primary Input'!$J$23)</f>
        <v>0</v>
      </c>
      <c r="L18" s="45">
        <f>+J18*(1+'Pro Forma Calculation'!$J$73)</f>
        <v>0</v>
      </c>
      <c r="M18" s="44">
        <f>IF(L18=0,0,L18/'Primary Input'!$J$23)</f>
        <v>0</v>
      </c>
      <c r="N18" s="43">
        <f>+L18*(1+'Pro Forma Calculation'!$J$73)</f>
        <v>0</v>
      </c>
      <c r="O18" s="44">
        <f>IF(N18=0,0,N18/'Primary Input'!$J$23)</f>
        <v>0</v>
      </c>
      <c r="P18" s="43">
        <f>+N18*(1+'Pro Forma Calculation'!$J$73)</f>
        <v>0</v>
      </c>
      <c r="Q18" s="44">
        <f>IF(P18=0,0,P18/'Primary Input'!$J$23)</f>
        <v>0</v>
      </c>
      <c r="R18" s="43">
        <f>+P18*(1+'Pro Forma Calculation'!$J$73)</f>
        <v>0</v>
      </c>
      <c r="S18" s="44">
        <f>IF(R18=0,0,R18/'Primary Input'!$J$23)</f>
        <v>0</v>
      </c>
      <c r="T18" s="43">
        <f>+R18*(1+'Pro Forma Calculation'!$J$73)</f>
        <v>0</v>
      </c>
      <c r="U18" s="44">
        <f>IF(T18=0,0,T18/'Primary Input'!$J$23)</f>
        <v>0</v>
      </c>
      <c r="V18" s="43">
        <f>+T18*(1+'Pro Forma Calculation'!$J$73)</f>
        <v>0</v>
      </c>
      <c r="W18" s="44">
        <f>IF(V18=0,0,V18/'Primary Input'!$J$23)</f>
        <v>0</v>
      </c>
      <c r="X18" s="45">
        <f>+V18*(1+'Pro Forma Calculation'!$J$73)</f>
        <v>0</v>
      </c>
      <c r="Y18" s="44">
        <f>IF(X18=0,0,X18/'Primary Input'!$J$23)</f>
        <v>0</v>
      </c>
      <c r="Z18" s="43">
        <f>+X18*(1+'Pro Forma Calculation'!$J$73)</f>
        <v>0</v>
      </c>
      <c r="AA18" s="44">
        <f>IF(Z18=0,0,Z18/'Primary Input'!$J$23)</f>
        <v>0</v>
      </c>
      <c r="AB18" s="43">
        <f>+Z18*(1+'Pro Forma Calculation'!$J$73)</f>
        <v>0</v>
      </c>
      <c r="AC18" s="44">
        <f>IF(AB18=0,0,AB18/'Primary Input'!$J$23)</f>
        <v>0</v>
      </c>
      <c r="AD18" s="43">
        <f>+AB18*(1+'Pro Forma Calculation'!$J$73)</f>
        <v>0</v>
      </c>
      <c r="AE18" s="44">
        <f>IF(AD18=0,0,AD18/'Primary Input'!$J$23)</f>
        <v>0</v>
      </c>
      <c r="AF18" s="43">
        <f>+AD18*(1+'Pro Forma Calculation'!$J$73)</f>
        <v>0</v>
      </c>
      <c r="AG18" s="44">
        <f>IF(AF18=0,0,AF18/'Primary Input'!$J$23)</f>
        <v>0</v>
      </c>
      <c r="AH18" s="43">
        <f>+AF18*(1+'Pro Forma Calculation'!$J$73)</f>
        <v>0</v>
      </c>
      <c r="AI18" s="44">
        <f>IF(AH18=0,0,AH18/'Primary Input'!$J$23)</f>
        <v>0</v>
      </c>
      <c r="AJ18" s="43">
        <f>+AH18*(1+'Pro Forma Calculation'!$J$73)</f>
        <v>0</v>
      </c>
      <c r="AK18" s="44">
        <f>IF(AJ18=0,0,AJ18/'Primary Input'!$J$23)</f>
        <v>0</v>
      </c>
      <c r="AL18" s="43">
        <f>+AJ18*(1+'Pro Forma Calculation'!$J$73)</f>
        <v>0</v>
      </c>
      <c r="AM18" s="44">
        <f>IF(AL18=0,0,AL18/'Primary Input'!$J$23)</f>
        <v>0</v>
      </c>
      <c r="AN18" s="43">
        <f>+AL18*(1+'Pro Forma Calculation'!$J$73)</f>
        <v>0</v>
      </c>
      <c r="AO18" s="44">
        <f>IF(AN18=0,0,AN18/'Primary Input'!$J$23)</f>
        <v>0</v>
      </c>
      <c r="AP18" s="43">
        <f>+AN18*(1+'Pro Forma Calculation'!$J$73)</f>
        <v>0</v>
      </c>
      <c r="AQ18" s="44">
        <f>IF(AP18=0,0,AP18/'Primary Input'!$J$23)</f>
        <v>0</v>
      </c>
    </row>
    <row r="19" spans="1:43">
      <c r="A19" s="27"/>
      <c r="B19" s="54"/>
      <c r="C19" s="42"/>
      <c r="D19" s="45"/>
      <c r="E19" s="44"/>
      <c r="F19" s="45"/>
      <c r="G19" s="44"/>
      <c r="H19" s="45"/>
      <c r="I19" s="44"/>
      <c r="J19" s="45"/>
      <c r="K19" s="44"/>
      <c r="L19" s="45"/>
      <c r="M19" s="44"/>
      <c r="N19" s="45"/>
      <c r="O19" s="44"/>
      <c r="P19" s="45"/>
      <c r="Q19" s="44"/>
      <c r="R19" s="45"/>
      <c r="S19" s="44"/>
      <c r="T19" s="45"/>
      <c r="U19" s="44"/>
      <c r="V19" s="45"/>
      <c r="W19" s="44"/>
      <c r="X19" s="45"/>
      <c r="Y19" s="44"/>
      <c r="Z19" s="45"/>
      <c r="AA19" s="44"/>
      <c r="AB19" s="45"/>
      <c r="AC19" s="44"/>
      <c r="AD19" s="45"/>
      <c r="AE19" s="44"/>
      <c r="AF19" s="45"/>
      <c r="AG19" s="44"/>
      <c r="AH19" s="45"/>
      <c r="AI19" s="44"/>
      <c r="AJ19" s="45"/>
      <c r="AK19" s="44"/>
      <c r="AL19" s="45"/>
      <c r="AM19" s="44"/>
      <c r="AN19" s="45"/>
      <c r="AO19" s="44"/>
      <c r="AP19" s="45"/>
      <c r="AQ19" s="44"/>
    </row>
    <row r="20" spans="1:43" ht="14">
      <c r="A20" s="46"/>
      <c r="B20" s="47" t="s">
        <v>418</v>
      </c>
      <c r="C20" s="48"/>
      <c r="D20" s="50">
        <f>SUM(D11:D19)</f>
        <v>0</v>
      </c>
      <c r="E20" s="55">
        <f>IF(D20=0,0,D20/'Primary Input'!$J$23)</f>
        <v>0</v>
      </c>
      <c r="F20" s="50">
        <f>SUM(F12:F18)</f>
        <v>0</v>
      </c>
      <c r="G20" s="55">
        <f>IF(F20=0,0,F20/'Primary Input'!$J$23)</f>
        <v>0</v>
      </c>
      <c r="H20" s="50">
        <f>SUM(H12:H18)</f>
        <v>0</v>
      </c>
      <c r="I20" s="55">
        <f>IF(H20=0,0,H20/'Primary Input'!$J$23)</f>
        <v>0</v>
      </c>
      <c r="J20" s="50">
        <f>SUM(J12:J18)</f>
        <v>0</v>
      </c>
      <c r="K20" s="55">
        <f>IF(J20=0,0,J20/'Primary Input'!$J$23)</f>
        <v>0</v>
      </c>
      <c r="L20" s="50">
        <f>SUM(L12:L18)</f>
        <v>0</v>
      </c>
      <c r="M20" s="55">
        <f>IF(L20=0,0,L20/'Primary Input'!$J$23)</f>
        <v>0</v>
      </c>
      <c r="N20" s="50">
        <f>SUM(N12:N18)</f>
        <v>0</v>
      </c>
      <c r="O20" s="55">
        <f>IF(N20=0,0,N20/'Primary Input'!$J$23)</f>
        <v>0</v>
      </c>
      <c r="P20" s="50">
        <f>SUM(P12:P18)</f>
        <v>0</v>
      </c>
      <c r="Q20" s="55">
        <f>IF(P20=0,0,P20/'Primary Input'!$J$23)</f>
        <v>0</v>
      </c>
      <c r="R20" s="50">
        <f>SUM(R12:R18)</f>
        <v>0</v>
      </c>
      <c r="S20" s="55">
        <f>IF(R20=0,0,R20/'Primary Input'!$J$23)</f>
        <v>0</v>
      </c>
      <c r="T20" s="50">
        <f>SUM(T12:T18)</f>
        <v>0</v>
      </c>
      <c r="U20" s="55">
        <f>IF(T20=0,0,T20/'Primary Input'!$J$23)</f>
        <v>0</v>
      </c>
      <c r="V20" s="50">
        <f>SUM(V12:V18)</f>
        <v>0</v>
      </c>
      <c r="W20" s="55">
        <f>IF(V20=0,0,V20/'Primary Input'!$J$23)</f>
        <v>0</v>
      </c>
      <c r="X20" s="50">
        <f>SUM(X12:X18)</f>
        <v>0</v>
      </c>
      <c r="Y20" s="55">
        <f>IF(X20=0,0,X20/'Primary Input'!$J$23)</f>
        <v>0</v>
      </c>
      <c r="Z20" s="50">
        <f>SUM(Z12:Z18)</f>
        <v>0</v>
      </c>
      <c r="AA20" s="55">
        <f>IF(Z20=0,0,Z20/'Primary Input'!$J$23)</f>
        <v>0</v>
      </c>
      <c r="AB20" s="50">
        <f>SUM(AB12:AB18)</f>
        <v>0</v>
      </c>
      <c r="AC20" s="55">
        <f>IF(AB20=0,0,AB20/'Primary Input'!$J$23)</f>
        <v>0</v>
      </c>
      <c r="AD20" s="50">
        <f>SUM(AD12:AD18)</f>
        <v>0</v>
      </c>
      <c r="AE20" s="55">
        <f>IF(AD20=0,0,AD20/'Primary Input'!$J$23)</f>
        <v>0</v>
      </c>
      <c r="AF20" s="50">
        <f>SUM(AF12:AF18)</f>
        <v>0</v>
      </c>
      <c r="AG20" s="55">
        <f>IF(AF20=0,0,AF20/'Primary Input'!$J$23)</f>
        <v>0</v>
      </c>
      <c r="AH20" s="50">
        <f>SUM(AH12:AH18)</f>
        <v>0</v>
      </c>
      <c r="AI20" s="55">
        <f>IF(AH20=0,0,AH20/'Primary Input'!$J$23)</f>
        <v>0</v>
      </c>
      <c r="AJ20" s="50">
        <f>SUM(AJ12:AJ18)</f>
        <v>0</v>
      </c>
      <c r="AK20" s="55">
        <f>IF(AJ20=0,0,AJ20/'Primary Input'!$J$23)</f>
        <v>0</v>
      </c>
      <c r="AL20" s="50">
        <f>SUM(AL12:AL18)</f>
        <v>0</v>
      </c>
      <c r="AM20" s="55">
        <f>IF(AL20=0,0,AL20/'Primary Input'!$J$23)</f>
        <v>0</v>
      </c>
      <c r="AN20" s="50">
        <f>SUM(AN12:AN18)</f>
        <v>0</v>
      </c>
      <c r="AO20" s="55">
        <f>IF(AN20=0,0,AN20/'Primary Input'!$J$23)</f>
        <v>0</v>
      </c>
      <c r="AP20" s="50">
        <f>SUM(AP12:AP18)</f>
        <v>0</v>
      </c>
      <c r="AQ20" s="55">
        <f>IF(AP20=0,0,AP20/'Primary Input'!$J$23)</f>
        <v>0</v>
      </c>
    </row>
    <row r="21" spans="1:43" ht="14">
      <c r="A21" s="27"/>
      <c r="B21" s="56"/>
      <c r="C21" s="42"/>
      <c r="D21" s="43"/>
      <c r="E21" s="44"/>
      <c r="F21" s="43"/>
      <c r="G21" s="44"/>
      <c r="H21" s="43"/>
      <c r="I21" s="44"/>
      <c r="J21" s="43"/>
      <c r="K21" s="44"/>
      <c r="L21" s="45"/>
      <c r="M21" s="44"/>
      <c r="N21" s="43"/>
      <c r="O21" s="44"/>
      <c r="P21" s="43"/>
      <c r="Q21" s="44"/>
      <c r="R21" s="43"/>
      <c r="S21" s="44"/>
      <c r="T21" s="43"/>
      <c r="U21" s="44"/>
      <c r="V21" s="43"/>
      <c r="W21" s="44"/>
      <c r="X21" s="45"/>
      <c r="Y21" s="44"/>
      <c r="Z21" s="43"/>
      <c r="AA21" s="44"/>
      <c r="AB21" s="43"/>
      <c r="AC21" s="44"/>
      <c r="AD21" s="43"/>
      <c r="AE21" s="44"/>
      <c r="AF21" s="43"/>
      <c r="AG21" s="44"/>
      <c r="AH21" s="43"/>
      <c r="AI21" s="44"/>
      <c r="AJ21" s="43"/>
      <c r="AK21" s="44"/>
      <c r="AL21" s="43"/>
      <c r="AM21" s="44"/>
      <c r="AN21" s="43"/>
      <c r="AO21" s="44"/>
      <c r="AP21" s="43"/>
      <c r="AQ21" s="44"/>
    </row>
    <row r="22" spans="1:43" ht="14">
      <c r="A22" s="46"/>
      <c r="B22" s="47" t="s">
        <v>419</v>
      </c>
      <c r="C22" s="48"/>
      <c r="D22" s="49">
        <f>+D9-D20</f>
        <v>0</v>
      </c>
      <c r="E22" s="55">
        <f>IF(D22=0,0,D22/'Primary Input'!$J$23)</f>
        <v>0</v>
      </c>
      <c r="F22" s="49">
        <f>+F9-F20</f>
        <v>0</v>
      </c>
      <c r="G22" s="55">
        <f>IF(F22=0,0,F22/'Primary Input'!$J$23)</f>
        <v>0</v>
      </c>
      <c r="H22" s="49">
        <f>+H9-H20</f>
        <v>0</v>
      </c>
      <c r="I22" s="55">
        <f>IF(H22=0,0,H22/'Primary Input'!$J$23)</f>
        <v>0</v>
      </c>
      <c r="J22" s="49">
        <f>+J9-J20</f>
        <v>0</v>
      </c>
      <c r="K22" s="55">
        <f>IF(J22=0,0,J22/'Primary Input'!$J$23)</f>
        <v>0</v>
      </c>
      <c r="L22" s="50">
        <f>+L9-L20</f>
        <v>0</v>
      </c>
      <c r="M22" s="55">
        <f>IF(L22=0,0,L22/'Primary Input'!$J$23)</f>
        <v>0</v>
      </c>
      <c r="N22" s="49">
        <f>+N9-N20</f>
        <v>0</v>
      </c>
      <c r="O22" s="55">
        <f>IF(N22=0,0,N22/'Primary Input'!$J$23)</f>
        <v>0</v>
      </c>
      <c r="P22" s="49">
        <f>+P9-P20</f>
        <v>0</v>
      </c>
      <c r="Q22" s="55">
        <f>IF(P22=0,0,P22/'Primary Input'!$J$23)</f>
        <v>0</v>
      </c>
      <c r="R22" s="49">
        <f>+R9-R20</f>
        <v>0</v>
      </c>
      <c r="S22" s="55">
        <f>IF(R22=0,0,R22/'Primary Input'!$J$23)</f>
        <v>0</v>
      </c>
      <c r="T22" s="49">
        <f>+T9-T20</f>
        <v>0</v>
      </c>
      <c r="U22" s="55">
        <f>IF(T22=0,0,T22/'Primary Input'!$J$23)</f>
        <v>0</v>
      </c>
      <c r="V22" s="49">
        <f>+V9-V20</f>
        <v>0</v>
      </c>
      <c r="W22" s="55">
        <f>IF(V22=0,0,V22/'Primary Input'!$J$23)</f>
        <v>0</v>
      </c>
      <c r="X22" s="50">
        <f>+X9-X20</f>
        <v>0</v>
      </c>
      <c r="Y22" s="55">
        <f>IF(X22=0,0,X22/'Primary Input'!$J$23)</f>
        <v>0</v>
      </c>
      <c r="Z22" s="49">
        <f>+Z9-Z20</f>
        <v>0</v>
      </c>
      <c r="AA22" s="55">
        <f>IF(Z22=0,0,Z22/'Primary Input'!$J$23)</f>
        <v>0</v>
      </c>
      <c r="AB22" s="49">
        <f>+AB9-AB20</f>
        <v>0</v>
      </c>
      <c r="AC22" s="55">
        <f>IF(AB22=0,0,AB22/'Primary Input'!$J$23)</f>
        <v>0</v>
      </c>
      <c r="AD22" s="49">
        <f>+AD9-AD20</f>
        <v>0</v>
      </c>
      <c r="AE22" s="55">
        <f>IF(AD22=0,0,AD22/'Primary Input'!$J$23)</f>
        <v>0</v>
      </c>
      <c r="AF22" s="49">
        <f>+AF9-AF20</f>
        <v>0</v>
      </c>
      <c r="AG22" s="55">
        <f>IF(AF22=0,0,AF22/'Primary Input'!$J$23)</f>
        <v>0</v>
      </c>
      <c r="AH22" s="49">
        <f>+AH9-AH20</f>
        <v>0</v>
      </c>
      <c r="AI22" s="55">
        <f>IF(AH22=0,0,AH22/'Primary Input'!$J$23)</f>
        <v>0</v>
      </c>
      <c r="AJ22" s="49">
        <f>+AJ9-AJ20</f>
        <v>0</v>
      </c>
      <c r="AK22" s="55">
        <f>IF(AJ22=0,0,AJ22/'Primary Input'!$J$23)</f>
        <v>0</v>
      </c>
      <c r="AL22" s="49">
        <f>+AL9-AL20</f>
        <v>0</v>
      </c>
      <c r="AM22" s="55">
        <f>IF(AL22=0,0,AL22/'Primary Input'!$J$23)</f>
        <v>0</v>
      </c>
      <c r="AN22" s="49">
        <f>+AN9-AN20</f>
        <v>0</v>
      </c>
      <c r="AO22" s="55">
        <f>IF(AN22=0,0,AN22/'Primary Input'!$J$23)</f>
        <v>0</v>
      </c>
      <c r="AP22" s="49">
        <f>+AP9-AP20</f>
        <v>0</v>
      </c>
      <c r="AQ22" s="55">
        <f>IF(AP22=0,0,AP22/'Primary Input'!$J$23)</f>
        <v>0</v>
      </c>
    </row>
    <row r="23" spans="1:43">
      <c r="A23" s="27"/>
      <c r="B23" s="41"/>
      <c r="C23" s="42"/>
      <c r="D23" s="43"/>
      <c r="E23" s="44"/>
      <c r="F23" s="43"/>
      <c r="G23" s="44"/>
      <c r="H23" s="43"/>
      <c r="I23" s="44"/>
      <c r="J23" s="43"/>
      <c r="K23" s="44"/>
      <c r="L23" s="45"/>
      <c r="M23" s="44"/>
      <c r="N23" s="43"/>
      <c r="O23" s="44"/>
      <c r="P23" s="43"/>
      <c r="Q23" s="44"/>
      <c r="R23" s="43"/>
      <c r="S23" s="44"/>
      <c r="T23" s="43"/>
      <c r="U23" s="44"/>
      <c r="V23" s="43"/>
      <c r="W23" s="44"/>
      <c r="X23" s="45"/>
      <c r="Y23" s="44"/>
      <c r="Z23" s="43"/>
      <c r="AA23" s="44"/>
      <c r="AB23" s="43"/>
      <c r="AC23" s="44"/>
      <c r="AD23" s="43"/>
      <c r="AE23" s="44"/>
      <c r="AF23" s="43"/>
      <c r="AG23" s="44"/>
      <c r="AH23" s="43"/>
      <c r="AI23" s="44"/>
      <c r="AJ23" s="43"/>
      <c r="AK23" s="44"/>
      <c r="AL23" s="43"/>
      <c r="AM23" s="44"/>
      <c r="AN23" s="43"/>
      <c r="AO23" s="44"/>
      <c r="AP23" s="43"/>
      <c r="AQ23" s="44"/>
    </row>
    <row r="24" spans="1:43">
      <c r="A24" s="27"/>
      <c r="B24" s="41" t="s">
        <v>420</v>
      </c>
      <c r="C24" s="42"/>
      <c r="D24" s="45">
        <f>+'Pro Forma Calculation'!I80</f>
        <v>0</v>
      </c>
      <c r="E24" s="44">
        <f>IF(D24=0,0,D24/'Primary Input'!$J$23)</f>
        <v>0</v>
      </c>
      <c r="F24" s="43">
        <f>+D24*(1+'Pro Forma Calculation'!$J$80)</f>
        <v>0</v>
      </c>
      <c r="G24" s="44">
        <f>IF(F24=0,0,F24/'Primary Input'!$J$23)</f>
        <v>0</v>
      </c>
      <c r="H24" s="43">
        <f>+F24*(1+'Pro Forma Calculation'!$J$80)</f>
        <v>0</v>
      </c>
      <c r="I24" s="44">
        <f>IF(H24=0,0,H24/'Primary Input'!$J$23)</f>
        <v>0</v>
      </c>
      <c r="J24" s="43">
        <f>+H24*(1+'Pro Forma Calculation'!$J$80)</f>
        <v>0</v>
      </c>
      <c r="K24" s="44">
        <f>IF(J24=0,0,J24/'Primary Input'!$J$23)</f>
        <v>0</v>
      </c>
      <c r="L24" s="45">
        <f>+J24*(1+'Pro Forma Calculation'!$J$80)</f>
        <v>0</v>
      </c>
      <c r="M24" s="44">
        <f>IF(L24=0,0,L24/'Primary Input'!$J$23)</f>
        <v>0</v>
      </c>
      <c r="N24" s="43">
        <f>+L24*(1+'Pro Forma Calculation'!$J$80)</f>
        <v>0</v>
      </c>
      <c r="O24" s="44">
        <f>IF(N24=0,0,N24/'Primary Input'!$J$23)</f>
        <v>0</v>
      </c>
      <c r="P24" s="43">
        <f>+N24*(1+'Pro Forma Calculation'!$J$80)</f>
        <v>0</v>
      </c>
      <c r="Q24" s="44">
        <f>IF(P24=0,0,P24/'Primary Input'!$J$23)</f>
        <v>0</v>
      </c>
      <c r="R24" s="43">
        <f>+P24*(1+'Pro Forma Calculation'!$J$80)</f>
        <v>0</v>
      </c>
      <c r="S24" s="44">
        <f>IF(R24=0,0,R24/'Primary Input'!$J$23)</f>
        <v>0</v>
      </c>
      <c r="T24" s="43">
        <f>+R24*(1+'Pro Forma Calculation'!$J$80)</f>
        <v>0</v>
      </c>
      <c r="U24" s="44">
        <f>IF(T24=0,0,T24/'Primary Input'!$J$23)</f>
        <v>0</v>
      </c>
      <c r="V24" s="43">
        <f>+T24*(1+'Pro Forma Calculation'!$J$80)</f>
        <v>0</v>
      </c>
      <c r="W24" s="44">
        <f>IF(V24=0,0,V24/'Primary Input'!$J$23)</f>
        <v>0</v>
      </c>
      <c r="X24" s="45">
        <f>+V24*(1+'Pro Forma Calculation'!$J$80)</f>
        <v>0</v>
      </c>
      <c r="Y24" s="44">
        <f>IF(X24=0,0,X24/'Primary Input'!$J$23)</f>
        <v>0</v>
      </c>
      <c r="Z24" s="43">
        <f>+X24*(1+'Pro Forma Calculation'!$J$80)</f>
        <v>0</v>
      </c>
      <c r="AA24" s="44">
        <f>IF(Z24=0,0,Z24/'Primary Input'!$J$23)</f>
        <v>0</v>
      </c>
      <c r="AB24" s="43">
        <f>+Z24*(1+'Pro Forma Calculation'!$J$80)</f>
        <v>0</v>
      </c>
      <c r="AC24" s="44">
        <f>IF(AB24=0,0,AB24/'Primary Input'!$J$23)</f>
        <v>0</v>
      </c>
      <c r="AD24" s="43">
        <f>+AB24*(1+'Pro Forma Calculation'!$J$80)</f>
        <v>0</v>
      </c>
      <c r="AE24" s="44">
        <f>IF(AD24=0,0,AD24/'Primary Input'!$J$23)</f>
        <v>0</v>
      </c>
      <c r="AF24" s="43">
        <f>+AD24*(1+'Pro Forma Calculation'!$J$80)</f>
        <v>0</v>
      </c>
      <c r="AG24" s="44">
        <f>IF(AF24=0,0,AF24/'Primary Input'!$J$23)</f>
        <v>0</v>
      </c>
      <c r="AH24" s="43">
        <f>+AF24*(1+'Pro Forma Calculation'!$J$80)</f>
        <v>0</v>
      </c>
      <c r="AI24" s="44">
        <f>IF(AH24=0,0,AH24/'Primary Input'!$J$23)</f>
        <v>0</v>
      </c>
      <c r="AJ24" s="43">
        <f>+AH24*(1+'Pro Forma Calculation'!$J$80)</f>
        <v>0</v>
      </c>
      <c r="AK24" s="44">
        <f>IF(AJ24=0,0,AJ24/'Primary Input'!$J$23)</f>
        <v>0</v>
      </c>
      <c r="AL24" s="43">
        <f>+AJ24*(1+'Pro Forma Calculation'!$J$80)</f>
        <v>0</v>
      </c>
      <c r="AM24" s="44">
        <f>IF(AL24=0,0,AL24/'Primary Input'!$J$23)</f>
        <v>0</v>
      </c>
      <c r="AN24" s="43">
        <f>+AL24*(1+'Pro Forma Calculation'!$J$80)</f>
        <v>0</v>
      </c>
      <c r="AO24" s="44">
        <f>IF(AN24=0,0,AN24/'Primary Input'!$J$23)</f>
        <v>0</v>
      </c>
      <c r="AP24" s="43">
        <f>+AN24*(1+'Pro Forma Calculation'!$J$80)</f>
        <v>0</v>
      </c>
      <c r="AQ24" s="44">
        <f>IF(AP24=0,0,AP24/'Primary Input'!$J$23)</f>
        <v>0</v>
      </c>
    </row>
    <row r="25" spans="1:43">
      <c r="A25" s="27"/>
      <c r="B25" s="41" t="s">
        <v>471</v>
      </c>
      <c r="C25" s="42"/>
      <c r="D25" s="72"/>
      <c r="E25" s="44">
        <f>IF(D25=0,0,D25/'Primary Input'!$J$23)</f>
        <v>0</v>
      </c>
      <c r="F25" s="72"/>
      <c r="G25" s="44">
        <f>IF(F25=0,0,F25/'Primary Input'!$J$23)</f>
        <v>0</v>
      </c>
      <c r="H25" s="72"/>
      <c r="I25" s="44">
        <f>IF(H25=0,0,H25/'Primary Input'!$J$23)</f>
        <v>0</v>
      </c>
      <c r="J25" s="72"/>
      <c r="K25" s="44">
        <f>IF(J25=0,0,J25/'Primary Input'!$J$23)</f>
        <v>0</v>
      </c>
      <c r="L25" s="72"/>
      <c r="M25" s="44">
        <f>IF(L25=0,0,L25/'Primary Input'!$J$23)</f>
        <v>0</v>
      </c>
      <c r="N25" s="72"/>
      <c r="O25" s="44">
        <f>IF(N25=0,0,N25/'Primary Input'!$J$23)</f>
        <v>0</v>
      </c>
      <c r="P25" s="72"/>
      <c r="Q25" s="44">
        <f>IF(P25=0,0,P25/'Primary Input'!$J$23)</f>
        <v>0</v>
      </c>
      <c r="R25" s="72"/>
      <c r="S25" s="44">
        <f>IF(R25=0,0,R25/'Primary Input'!$J$23)</f>
        <v>0</v>
      </c>
      <c r="T25" s="72"/>
      <c r="U25" s="44">
        <f>IF(T25=0,0,T25/'Primary Input'!$J$23)</f>
        <v>0</v>
      </c>
      <c r="V25" s="72"/>
      <c r="W25" s="44">
        <f>IF(V25=0,0,V25/'Primary Input'!$J$23)</f>
        <v>0</v>
      </c>
      <c r="X25" s="45"/>
      <c r="Y25" s="44"/>
      <c r="Z25" s="43"/>
      <c r="AA25" s="44"/>
      <c r="AB25" s="43"/>
      <c r="AC25" s="44"/>
      <c r="AD25" s="43"/>
      <c r="AE25" s="44"/>
      <c r="AF25" s="43"/>
      <c r="AG25" s="44"/>
      <c r="AH25" s="43"/>
      <c r="AI25" s="44"/>
      <c r="AJ25" s="43"/>
      <c r="AK25" s="44"/>
      <c r="AL25" s="43"/>
      <c r="AM25" s="44"/>
      <c r="AN25" s="43"/>
      <c r="AO25" s="44"/>
      <c r="AP25" s="43"/>
      <c r="AQ25" s="44"/>
    </row>
    <row r="26" spans="1:43" ht="14" thickBot="1">
      <c r="A26" s="25"/>
      <c r="B26" s="57"/>
      <c r="C26" s="42"/>
      <c r="D26" s="43"/>
      <c r="E26" s="44"/>
      <c r="F26" s="43"/>
      <c r="G26" s="44"/>
      <c r="H26" s="43"/>
      <c r="I26" s="44"/>
      <c r="J26" s="43"/>
      <c r="K26" s="44"/>
      <c r="L26" s="45"/>
      <c r="M26" s="44"/>
      <c r="N26" s="43"/>
      <c r="O26" s="44"/>
      <c r="P26" s="43"/>
      <c r="Q26" s="44"/>
      <c r="R26" s="43"/>
      <c r="S26" s="44"/>
      <c r="T26" s="43"/>
      <c r="U26" s="44"/>
      <c r="V26" s="43"/>
      <c r="W26" s="44"/>
      <c r="X26" s="45"/>
      <c r="Y26" s="44"/>
      <c r="Z26" s="43"/>
      <c r="AA26" s="44"/>
      <c r="AB26" s="43"/>
      <c r="AC26" s="44"/>
      <c r="AD26" s="43"/>
      <c r="AE26" s="44"/>
      <c r="AF26" s="43"/>
      <c r="AG26" s="44"/>
      <c r="AH26" s="43"/>
      <c r="AI26" s="44"/>
      <c r="AJ26" s="43"/>
      <c r="AK26" s="44"/>
      <c r="AL26" s="43"/>
      <c r="AM26" s="44"/>
      <c r="AN26" s="43"/>
      <c r="AO26" s="44"/>
      <c r="AP26" s="43"/>
      <c r="AQ26" s="44"/>
    </row>
    <row r="27" spans="1:43" ht="16" thickTop="1" thickBot="1">
      <c r="A27" s="46"/>
      <c r="B27" s="58" t="s">
        <v>421</v>
      </c>
      <c r="C27" s="59"/>
      <c r="D27" s="60">
        <f>D22-D24-D25</f>
        <v>0</v>
      </c>
      <c r="E27" s="61">
        <f>IF(D27=0,0,D27/'Primary Input'!$J$23)</f>
        <v>0</v>
      </c>
      <c r="F27" s="60">
        <f>F22-F24-F25</f>
        <v>0</v>
      </c>
      <c r="G27" s="61">
        <f>IF(F27=0,0,F27/'Primary Input'!$J$23)</f>
        <v>0</v>
      </c>
      <c r="H27" s="60">
        <f>H22-H24-H25</f>
        <v>0</v>
      </c>
      <c r="I27" s="61">
        <f>IF(H27=0,0,H27/'Primary Input'!$J$23)</f>
        <v>0</v>
      </c>
      <c r="J27" s="60">
        <f>J22-J24-J25</f>
        <v>0</v>
      </c>
      <c r="K27" s="61">
        <f>IF(J27=0,0,J27/'Primary Input'!$J$23)</f>
        <v>0</v>
      </c>
      <c r="L27" s="62">
        <f>L22-L24-L25</f>
        <v>0</v>
      </c>
      <c r="M27" s="61">
        <f>IF(L27=0,0,L27/'Primary Input'!$J$23)</f>
        <v>0</v>
      </c>
      <c r="N27" s="60">
        <f>N22-N24-N25</f>
        <v>0</v>
      </c>
      <c r="O27" s="61">
        <f>IF(N27=0,0,N27/'Primary Input'!$J$23)</f>
        <v>0</v>
      </c>
      <c r="P27" s="60">
        <f>P22-P24-P25</f>
        <v>0</v>
      </c>
      <c r="Q27" s="61">
        <f>IF(P27=0,0,P27/'Primary Input'!$J$23)</f>
        <v>0</v>
      </c>
      <c r="R27" s="60">
        <f>R22-R24-R25</f>
        <v>0</v>
      </c>
      <c r="S27" s="61">
        <f>IF(R27=0,0,R27/'Primary Input'!$J$23)</f>
        <v>0</v>
      </c>
      <c r="T27" s="60">
        <f>T22-T24-T25</f>
        <v>0</v>
      </c>
      <c r="U27" s="61">
        <f>IF(T27=0,0,T27/'Primary Input'!$J$23)</f>
        <v>0</v>
      </c>
      <c r="V27" s="60">
        <f>V22-V24-V25</f>
        <v>0</v>
      </c>
      <c r="W27" s="61">
        <f>IF(V27=0,0,V27/'Primary Input'!$J$23)</f>
        <v>0</v>
      </c>
      <c r="X27" s="62">
        <f>X22-X24</f>
        <v>0</v>
      </c>
      <c r="Y27" s="61">
        <f>IF(X27=0,0,X27/'Primary Input'!$J$23)</f>
        <v>0</v>
      </c>
      <c r="Z27" s="60">
        <f>Z22-Z24</f>
        <v>0</v>
      </c>
      <c r="AA27" s="61">
        <f>IF(Z27=0,0,Z27/'Primary Input'!$J$23)</f>
        <v>0</v>
      </c>
      <c r="AB27" s="60">
        <f>AB22-AB24</f>
        <v>0</v>
      </c>
      <c r="AC27" s="61">
        <f>IF(AB27=0,0,AB27/'Primary Input'!$J$23)</f>
        <v>0</v>
      </c>
      <c r="AD27" s="60">
        <f>AD22-AD24</f>
        <v>0</v>
      </c>
      <c r="AE27" s="61">
        <f>IF(AD27=0,0,AD27/'Primary Input'!$J$23)</f>
        <v>0</v>
      </c>
      <c r="AF27" s="60">
        <f>AF22-AF24</f>
        <v>0</v>
      </c>
      <c r="AG27" s="61">
        <f>IF(AF27=0,0,AF27/'Primary Input'!$J$23)</f>
        <v>0</v>
      </c>
      <c r="AH27" s="60">
        <f>AH22-AH24</f>
        <v>0</v>
      </c>
      <c r="AI27" s="61">
        <f>IF(AH27=0,0,AH27/'Primary Input'!$J$23)</f>
        <v>0</v>
      </c>
      <c r="AJ27" s="60">
        <f>AJ22-AJ24</f>
        <v>0</v>
      </c>
      <c r="AK27" s="61">
        <f>IF(AJ27=0,0,AJ27/'Primary Input'!$J$23)</f>
        <v>0</v>
      </c>
      <c r="AL27" s="60">
        <f>AL22-AL24</f>
        <v>0</v>
      </c>
      <c r="AM27" s="61">
        <f>IF(AL27=0,0,AL27/'Primary Input'!$J$23)</f>
        <v>0</v>
      </c>
      <c r="AN27" s="60">
        <f>AN22-AN24</f>
        <v>0</v>
      </c>
      <c r="AO27" s="61">
        <f>IF(AN27=0,0,AN27/'Primary Input'!$J$23)</f>
        <v>0</v>
      </c>
      <c r="AP27" s="60">
        <f>AP22-AP24</f>
        <v>0</v>
      </c>
      <c r="AQ27" s="61">
        <f>IF(AP27=0,0,AP27/'Primary Input'!$J$23)</f>
        <v>0</v>
      </c>
    </row>
    <row r="28" spans="1:43" ht="14" thickTop="1">
      <c r="A28" s="25"/>
      <c r="B28" s="41"/>
      <c r="C28" s="42"/>
      <c r="D28" s="43"/>
      <c r="E28" s="44"/>
      <c r="F28" s="43"/>
      <c r="G28" s="44"/>
      <c r="H28" s="43"/>
      <c r="I28" s="44"/>
      <c r="J28" s="43"/>
      <c r="K28" s="44"/>
      <c r="L28" s="45"/>
      <c r="M28" s="44"/>
      <c r="N28" s="43"/>
      <c r="O28" s="44"/>
      <c r="P28" s="43"/>
      <c r="Q28" s="44"/>
      <c r="R28" s="43"/>
      <c r="S28" s="44"/>
      <c r="T28" s="43"/>
      <c r="U28" s="44"/>
      <c r="V28" s="43"/>
      <c r="W28" s="44"/>
      <c r="X28" s="45"/>
      <c r="Y28" s="44"/>
      <c r="Z28" s="43"/>
      <c r="AA28" s="44"/>
      <c r="AB28" s="43"/>
      <c r="AC28" s="44"/>
      <c r="AD28" s="43"/>
      <c r="AE28" s="44"/>
      <c r="AF28" s="43"/>
      <c r="AG28" s="44"/>
      <c r="AH28" s="43"/>
      <c r="AI28" s="44"/>
      <c r="AJ28" s="43"/>
      <c r="AK28" s="44"/>
      <c r="AL28" s="43"/>
      <c r="AM28" s="44"/>
      <c r="AN28" s="43"/>
      <c r="AO28" s="44"/>
      <c r="AP28" s="43"/>
      <c r="AQ28" s="44"/>
    </row>
    <row r="29" spans="1:43">
      <c r="A29" s="27"/>
      <c r="B29" s="54" t="s">
        <v>422</v>
      </c>
      <c r="C29" s="42"/>
      <c r="D29" s="43"/>
      <c r="E29" s="44"/>
      <c r="F29" s="43"/>
      <c r="G29" s="44"/>
      <c r="H29" s="43"/>
      <c r="I29" s="44"/>
      <c r="J29" s="43"/>
      <c r="K29" s="44"/>
      <c r="L29" s="45"/>
      <c r="M29" s="44"/>
      <c r="N29" s="43"/>
      <c r="O29" s="44"/>
      <c r="P29" s="43"/>
      <c r="Q29" s="44"/>
      <c r="R29" s="43"/>
      <c r="S29" s="44"/>
      <c r="T29" s="43"/>
      <c r="U29" s="44"/>
      <c r="V29" s="43"/>
      <c r="W29" s="44"/>
      <c r="X29" s="45"/>
      <c r="Y29" s="44"/>
      <c r="Z29" s="43"/>
      <c r="AA29" s="44"/>
      <c r="AB29" s="43"/>
      <c r="AC29" s="44"/>
      <c r="AD29" s="43"/>
      <c r="AE29" s="44"/>
      <c r="AF29" s="43"/>
      <c r="AG29" s="44"/>
      <c r="AH29" s="43"/>
      <c r="AI29" s="44"/>
      <c r="AJ29" s="43"/>
      <c r="AK29" s="44"/>
      <c r="AL29" s="43"/>
      <c r="AM29" s="44"/>
      <c r="AN29" s="43"/>
      <c r="AO29" s="44"/>
      <c r="AP29" s="43"/>
      <c r="AQ29" s="44"/>
    </row>
    <row r="30" spans="1:43">
      <c r="A30" s="27"/>
      <c r="B30" s="41" t="s">
        <v>423</v>
      </c>
      <c r="C30" s="42"/>
      <c r="D30" s="43">
        <f>+'Pro Forma Calculation'!I85</f>
        <v>0</v>
      </c>
      <c r="E30" s="44">
        <f>IF(D30=0,0,D30/'Primary Input'!$J$23)</f>
        <v>0</v>
      </c>
      <c r="F30" s="43">
        <f>+D30</f>
        <v>0</v>
      </c>
      <c r="G30" s="44">
        <f>IF(F30=0,0,F30/'Primary Input'!$J$23)</f>
        <v>0</v>
      </c>
      <c r="H30" s="43">
        <f>+F30</f>
        <v>0</v>
      </c>
      <c r="I30" s="44">
        <f>IF(H30=0,0,H30/'Primary Input'!$J$23)</f>
        <v>0</v>
      </c>
      <c r="J30" s="43">
        <f>+H30</f>
        <v>0</v>
      </c>
      <c r="K30" s="44">
        <f>IF(J30=0,0,J30/'Primary Input'!$J$23)</f>
        <v>0</v>
      </c>
      <c r="L30" s="45">
        <f>+J30</f>
        <v>0</v>
      </c>
      <c r="M30" s="44">
        <f>IF(L30=0,0,L30/'Primary Input'!$J$23)</f>
        <v>0</v>
      </c>
      <c r="N30" s="43">
        <f>+L30</f>
        <v>0</v>
      </c>
      <c r="O30" s="44">
        <f>IF(N30=0,0,N30/'Primary Input'!$J$23)</f>
        <v>0</v>
      </c>
      <c r="P30" s="43">
        <f>+N30</f>
        <v>0</v>
      </c>
      <c r="Q30" s="44">
        <f>IF(P30=0,0,P30/'Primary Input'!$J$23)</f>
        <v>0</v>
      </c>
      <c r="R30" s="43">
        <f>+P30</f>
        <v>0</v>
      </c>
      <c r="S30" s="44">
        <f>IF(R30=0,0,R30/'Primary Input'!$J$23)</f>
        <v>0</v>
      </c>
      <c r="T30" s="43">
        <f>+R30</f>
        <v>0</v>
      </c>
      <c r="U30" s="44">
        <f>IF(T30=0,0,T30/'Primary Input'!$J$23)</f>
        <v>0</v>
      </c>
      <c r="V30" s="43">
        <f>+T30</f>
        <v>0</v>
      </c>
      <c r="W30" s="44">
        <f>IF(V30=0,0,V30/'Primary Input'!$J$23)</f>
        <v>0</v>
      </c>
      <c r="X30" s="45">
        <f>+V30</f>
        <v>0</v>
      </c>
      <c r="Y30" s="44">
        <f>IF(X30=0,0,X30/'Primary Input'!$J$23)</f>
        <v>0</v>
      </c>
      <c r="Z30" s="43">
        <f>+X30</f>
        <v>0</v>
      </c>
      <c r="AA30" s="44">
        <f>IF(Z30=0,0,Z30/'Primary Input'!$J$23)</f>
        <v>0</v>
      </c>
      <c r="AB30" s="43">
        <f>+Z30</f>
        <v>0</v>
      </c>
      <c r="AC30" s="44">
        <f>IF(AB30=0,0,AB30/'Primary Input'!$J$23)</f>
        <v>0</v>
      </c>
      <c r="AD30" s="43">
        <f>+AB30</f>
        <v>0</v>
      </c>
      <c r="AE30" s="44">
        <f>IF(AD30=0,0,AD30/'Primary Input'!$J$23)</f>
        <v>0</v>
      </c>
      <c r="AF30" s="43">
        <f>+AD30</f>
        <v>0</v>
      </c>
      <c r="AG30" s="44">
        <f>IF(AF30=0,0,AF30/'Primary Input'!$J$23)</f>
        <v>0</v>
      </c>
      <c r="AH30" s="43">
        <f>+AF30</f>
        <v>0</v>
      </c>
      <c r="AI30" s="44">
        <f>IF(AH30=0,0,AH30/'Primary Input'!$J$23)</f>
        <v>0</v>
      </c>
      <c r="AJ30" s="43">
        <f>+AH30</f>
        <v>0</v>
      </c>
      <c r="AK30" s="44">
        <f>IF(AJ30=0,0,AJ30/'Primary Input'!$J$23)</f>
        <v>0</v>
      </c>
      <c r="AL30" s="43">
        <f>+AJ30</f>
        <v>0</v>
      </c>
      <c r="AM30" s="44">
        <f>IF(AL30=0,0,AL30/'Primary Input'!$J$23)</f>
        <v>0</v>
      </c>
      <c r="AN30" s="43">
        <f>+AL30</f>
        <v>0</v>
      </c>
      <c r="AO30" s="44">
        <f>IF(AN30=0,0,AN30/'Primary Input'!$J$23)</f>
        <v>0</v>
      </c>
      <c r="AP30" s="43">
        <f>+AN30</f>
        <v>0</v>
      </c>
      <c r="AQ30" s="44">
        <f>IF(AP30=0,0,AP30/'Primary Input'!$J$23)</f>
        <v>0</v>
      </c>
    </row>
    <row r="31" spans="1:43">
      <c r="A31" s="27"/>
      <c r="B31" s="53" t="s">
        <v>424</v>
      </c>
      <c r="C31" s="42"/>
      <c r="D31" s="43">
        <f>+'Pro Forma Calculation'!I86</f>
        <v>0</v>
      </c>
      <c r="E31" s="44">
        <f>IF(D31=0,0,D31/'Primary Input'!$J$23)</f>
        <v>0</v>
      </c>
      <c r="F31" s="43">
        <f>+D31</f>
        <v>0</v>
      </c>
      <c r="G31" s="44">
        <f>IF(F31=0,0,F31/'Primary Input'!$J$23)</f>
        <v>0</v>
      </c>
      <c r="H31" s="43">
        <f>+F31</f>
        <v>0</v>
      </c>
      <c r="I31" s="44">
        <f>IF(H31=0,0,H31/'Primary Input'!$J$23)</f>
        <v>0</v>
      </c>
      <c r="J31" s="43">
        <f>+H31</f>
        <v>0</v>
      </c>
      <c r="K31" s="44">
        <f>IF(J31=0,0,J31/'Primary Input'!$J$23)</f>
        <v>0</v>
      </c>
      <c r="L31" s="45">
        <f>+J31</f>
        <v>0</v>
      </c>
      <c r="M31" s="44">
        <f>IF(L31=0,0,L31/'Primary Input'!$J$23)</f>
        <v>0</v>
      </c>
      <c r="N31" s="43">
        <f>+L31</f>
        <v>0</v>
      </c>
      <c r="O31" s="44">
        <f>IF(N31=0,0,N31/'Primary Input'!$J$23)</f>
        <v>0</v>
      </c>
      <c r="P31" s="43">
        <f>+N31</f>
        <v>0</v>
      </c>
      <c r="Q31" s="44">
        <f>IF(P31=0,0,P31/'Primary Input'!$J$23)</f>
        <v>0</v>
      </c>
      <c r="R31" s="43">
        <f>+P31</f>
        <v>0</v>
      </c>
      <c r="S31" s="44">
        <f>IF(R31=0,0,R31/'Primary Input'!$J$23)</f>
        <v>0</v>
      </c>
      <c r="T31" s="43">
        <f>+R31</f>
        <v>0</v>
      </c>
      <c r="U31" s="44">
        <f>IF(T31=0,0,T31/'Primary Input'!$J$23)</f>
        <v>0</v>
      </c>
      <c r="V31" s="43">
        <f>+T31</f>
        <v>0</v>
      </c>
      <c r="W31" s="44">
        <f>IF(V31=0,0,V31/'Primary Input'!$J$23)</f>
        <v>0</v>
      </c>
      <c r="X31" s="45">
        <f>+V31</f>
        <v>0</v>
      </c>
      <c r="Y31" s="44">
        <f>IF(X31=0,0,X31/'Primary Input'!$J$23)</f>
        <v>0</v>
      </c>
      <c r="Z31" s="43">
        <f>+X31</f>
        <v>0</v>
      </c>
      <c r="AA31" s="44">
        <f>IF(Z31=0,0,Z31/'Primary Input'!$J$23)</f>
        <v>0</v>
      </c>
      <c r="AB31" s="43">
        <f>+Z31</f>
        <v>0</v>
      </c>
      <c r="AC31" s="44">
        <f>IF(AB31=0,0,AB31/'Primary Input'!$J$23)</f>
        <v>0</v>
      </c>
      <c r="AD31" s="43">
        <f>+AB31</f>
        <v>0</v>
      </c>
      <c r="AE31" s="44">
        <f>IF(AD31=0,0,AD31/'Primary Input'!$J$23)</f>
        <v>0</v>
      </c>
      <c r="AF31" s="43">
        <f>+AD31</f>
        <v>0</v>
      </c>
      <c r="AG31" s="44">
        <f>IF(AF31=0,0,AF31/'Primary Input'!$J$23)</f>
        <v>0</v>
      </c>
      <c r="AH31" s="43">
        <f>+AF31</f>
        <v>0</v>
      </c>
      <c r="AI31" s="44">
        <f>IF(AH31=0,0,AH31/'Primary Input'!$J$23)</f>
        <v>0</v>
      </c>
      <c r="AJ31" s="43">
        <f>+AH31</f>
        <v>0</v>
      </c>
      <c r="AK31" s="44">
        <f>IF(AJ31=0,0,AJ31/'Primary Input'!$J$23)</f>
        <v>0</v>
      </c>
      <c r="AL31" s="43">
        <f>+AJ31</f>
        <v>0</v>
      </c>
      <c r="AM31" s="44">
        <f>IF(AL31=0,0,AL31/'Primary Input'!$J$23)</f>
        <v>0</v>
      </c>
      <c r="AN31" s="43">
        <f>+AL31</f>
        <v>0</v>
      </c>
      <c r="AO31" s="44">
        <f>IF(AN31=0,0,AN31/'Primary Input'!$J$23)</f>
        <v>0</v>
      </c>
      <c r="AP31" s="43">
        <f>+AN31</f>
        <v>0</v>
      </c>
      <c r="AQ31" s="44">
        <f>IF(AP31=0,0,AP31/'Primary Input'!$J$23)</f>
        <v>0</v>
      </c>
    </row>
    <row r="32" spans="1:43">
      <c r="A32" s="27"/>
      <c r="B32" s="53" t="s">
        <v>425</v>
      </c>
      <c r="C32" s="23"/>
      <c r="D32" s="72"/>
      <c r="E32" s="63">
        <f>IF(D32=0,0,D32/'Primary Input'!$J$23)</f>
        <v>0</v>
      </c>
      <c r="F32" s="72"/>
      <c r="G32" s="44">
        <f>IF(F32=0,0,F32/'Primary Input'!$J$23)</f>
        <v>0</v>
      </c>
      <c r="H32" s="72"/>
      <c r="I32" s="44">
        <f>IF(H32=0,0,H32/'Primary Input'!$J$23)</f>
        <v>0</v>
      </c>
      <c r="J32" s="72"/>
      <c r="K32" s="44">
        <f>IF(J32=0,0,J32/'Primary Input'!$J$23)</f>
        <v>0</v>
      </c>
      <c r="L32" s="72"/>
      <c r="M32" s="44">
        <f>IF(L32=0,0,L32/'Primary Input'!$J$23)</f>
        <v>0</v>
      </c>
      <c r="N32" s="72"/>
      <c r="O32" s="44">
        <f>IF(N32=0,0,N32/'Primary Input'!$J$23)</f>
        <v>0</v>
      </c>
      <c r="P32" s="72"/>
      <c r="Q32" s="44">
        <f>IF(P32=0,0,P32/'Primary Input'!$J$23)</f>
        <v>0</v>
      </c>
      <c r="R32" s="72"/>
      <c r="S32" s="44">
        <f>IF(R32=0,0,R32/'Primary Input'!$J$23)</f>
        <v>0</v>
      </c>
      <c r="T32" s="72"/>
      <c r="U32" s="44">
        <f>IF(T32=0,0,T32/'Primary Input'!$J$23)</f>
        <v>0</v>
      </c>
      <c r="V32" s="72"/>
      <c r="W32" s="44">
        <f>IF(V32=0,0,V32/'Primary Input'!$J$23)</f>
        <v>0</v>
      </c>
      <c r="X32" s="72"/>
      <c r="Y32" s="44">
        <f>IF(X32=0,0,X32/'Primary Input'!$J$23)</f>
        <v>0</v>
      </c>
      <c r="Z32" s="72"/>
      <c r="AA32" s="44">
        <f>IF(Z32=0,0,Z32/'Primary Input'!$J$23)</f>
        <v>0</v>
      </c>
      <c r="AB32" s="72"/>
      <c r="AC32" s="44">
        <f>IF(AB32=0,0,AB32/'Primary Input'!$J$23)</f>
        <v>0</v>
      </c>
      <c r="AD32" s="72"/>
      <c r="AE32" s="44">
        <f>IF(AD32=0,0,AD32/'Primary Input'!$J$23)</f>
        <v>0</v>
      </c>
      <c r="AF32" s="72"/>
      <c r="AG32" s="44">
        <f>IF(AF32=0,0,AF32/'Primary Input'!$J$23)</f>
        <v>0</v>
      </c>
      <c r="AH32" s="72"/>
      <c r="AI32" s="44">
        <f>IF(AH32=0,0,AH32/'Primary Input'!$J$23)</f>
        <v>0</v>
      </c>
      <c r="AJ32" s="72"/>
      <c r="AK32" s="44">
        <f>IF(AJ32=0,0,AJ32/'Primary Input'!$J$23)</f>
        <v>0</v>
      </c>
      <c r="AL32" s="72"/>
      <c r="AM32" s="44">
        <f>IF(AL32=0,0,AL32/'Primary Input'!$J$23)</f>
        <v>0</v>
      </c>
      <c r="AN32" s="72"/>
      <c r="AO32" s="44">
        <f>IF(AN32=0,0,AN32/'Primary Input'!$J$23)</f>
        <v>0</v>
      </c>
      <c r="AP32" s="72"/>
      <c r="AQ32" s="44">
        <f>IF(AP32=0,0,AP32/'Primary Input'!$J$23)</f>
        <v>0</v>
      </c>
    </row>
    <row r="33" spans="1:44">
      <c r="A33" s="46"/>
      <c r="B33" s="54" t="s">
        <v>426</v>
      </c>
      <c r="C33" s="64"/>
      <c r="D33" s="50">
        <f>SUM(D30:D32)</f>
        <v>0</v>
      </c>
      <c r="E33" s="55">
        <f>IF(D33=0,0,D33/'Primary Input'!$J$23)</f>
        <v>0</v>
      </c>
      <c r="F33" s="50">
        <f>SUM(F30:F32)</f>
        <v>0</v>
      </c>
      <c r="G33" s="55">
        <f>IF(F33=0,0,F33/'Primary Input'!$J$23)</f>
        <v>0</v>
      </c>
      <c r="H33" s="50">
        <f>SUM(H30:H32)</f>
        <v>0</v>
      </c>
      <c r="I33" s="55">
        <f>IF(H33=0,0,H33/'Primary Input'!$J$23)</f>
        <v>0</v>
      </c>
      <c r="J33" s="50">
        <f>SUM(J30:J32)</f>
        <v>0</v>
      </c>
      <c r="K33" s="55">
        <f>IF(J33=0,0,J33/'Primary Input'!$J$23)</f>
        <v>0</v>
      </c>
      <c r="L33" s="50">
        <f>SUM(L30:L32)</f>
        <v>0</v>
      </c>
      <c r="M33" s="55">
        <f>IF(L33=0,0,L33/'Primary Input'!$J$23)</f>
        <v>0</v>
      </c>
      <c r="N33" s="50">
        <f>SUM(N30:N32)</f>
        <v>0</v>
      </c>
      <c r="O33" s="55">
        <f>IF(N33=0,0,N33/'Primary Input'!$J$23)</f>
        <v>0</v>
      </c>
      <c r="P33" s="50">
        <f>SUM(P30:P32)</f>
        <v>0</v>
      </c>
      <c r="Q33" s="55">
        <f>IF(P33=0,0,P33/'Primary Input'!$J$23)</f>
        <v>0</v>
      </c>
      <c r="R33" s="50">
        <f>SUM(R30:R32)</f>
        <v>0</v>
      </c>
      <c r="S33" s="55">
        <f>IF(R33=0,0,R33/'Primary Input'!$J$23)</f>
        <v>0</v>
      </c>
      <c r="T33" s="50">
        <f>SUM(T30:T32)</f>
        <v>0</v>
      </c>
      <c r="U33" s="55">
        <f>IF(T33=0,0,T33/'Primary Input'!$J$23)</f>
        <v>0</v>
      </c>
      <c r="V33" s="50">
        <f>SUM(V30:V32)</f>
        <v>0</v>
      </c>
      <c r="W33" s="55">
        <f>IF(V33=0,0,V33/'Primary Input'!$J$23)</f>
        <v>0</v>
      </c>
      <c r="X33" s="50">
        <f>SUM(X30:X32)</f>
        <v>0</v>
      </c>
      <c r="Y33" s="55">
        <f>IF(X33=0,0,X33/'Primary Input'!$J$23)</f>
        <v>0</v>
      </c>
      <c r="Z33" s="50">
        <f>SUM(Z30:Z32)</f>
        <v>0</v>
      </c>
      <c r="AA33" s="55">
        <f>IF(Z33=0,0,Z33/'Primary Input'!$J$23)</f>
        <v>0</v>
      </c>
      <c r="AB33" s="50">
        <f>SUM(AB30:AB32)</f>
        <v>0</v>
      </c>
      <c r="AC33" s="55">
        <f>IF(AB33=0,0,AB33/'Primary Input'!$J$23)</f>
        <v>0</v>
      </c>
      <c r="AD33" s="50">
        <f>SUM(AD30:AD32)</f>
        <v>0</v>
      </c>
      <c r="AE33" s="55">
        <f>IF(AD33=0,0,AD33/'Primary Input'!$J$23)</f>
        <v>0</v>
      </c>
      <c r="AF33" s="50">
        <f>SUM(AF30:AF32)</f>
        <v>0</v>
      </c>
      <c r="AG33" s="55">
        <f>IF(AF33=0,0,AF33/'Primary Input'!$J$23)</f>
        <v>0</v>
      </c>
      <c r="AH33" s="50">
        <f>SUM(AH30:AH32)</f>
        <v>0</v>
      </c>
      <c r="AI33" s="55">
        <f>IF(AH33=0,0,AH33/'Primary Input'!$J$23)</f>
        <v>0</v>
      </c>
      <c r="AJ33" s="50">
        <f>SUM(AJ30:AJ32)</f>
        <v>0</v>
      </c>
      <c r="AK33" s="55">
        <f>IF(AJ33=0,0,AJ33/'Primary Input'!$J$23)</f>
        <v>0</v>
      </c>
      <c r="AL33" s="50">
        <f>SUM(AL30:AL32)</f>
        <v>0</v>
      </c>
      <c r="AM33" s="55">
        <f>IF(AL33=0,0,AL33/'Primary Input'!$J$23)</f>
        <v>0</v>
      </c>
      <c r="AN33" s="50">
        <f>SUM(AN30:AN32)</f>
        <v>0</v>
      </c>
      <c r="AO33" s="55">
        <f>IF(AN33=0,0,AN33/'Primary Input'!$J$23)</f>
        <v>0</v>
      </c>
      <c r="AP33" s="50">
        <f>SUM(AP30:AP32)</f>
        <v>0</v>
      </c>
      <c r="AQ33" s="55">
        <f>IF(AP33=0,0,AP33/'Primary Input'!$J$23)</f>
        <v>0</v>
      </c>
    </row>
    <row r="34" spans="1:44" ht="14" thickBot="1">
      <c r="A34" s="27"/>
      <c r="B34" s="41"/>
      <c r="C34" s="42"/>
      <c r="D34" s="43"/>
      <c r="E34" s="44"/>
      <c r="F34" s="43"/>
      <c r="G34" s="44"/>
      <c r="H34" s="43"/>
      <c r="I34" s="44"/>
      <c r="J34" s="43"/>
      <c r="K34" s="44"/>
      <c r="L34" s="45"/>
      <c r="M34" s="44"/>
      <c r="N34" s="43"/>
      <c r="O34" s="44"/>
      <c r="P34" s="43"/>
      <c r="Q34" s="44"/>
      <c r="R34" s="43"/>
      <c r="S34" s="44"/>
      <c r="T34" s="43"/>
      <c r="U34" s="44"/>
      <c r="V34" s="43"/>
      <c r="W34" s="44"/>
      <c r="X34" s="45"/>
      <c r="Y34" s="44"/>
      <c r="Z34" s="43"/>
      <c r="AA34" s="44"/>
      <c r="AB34" s="43"/>
      <c r="AC34" s="44"/>
      <c r="AD34" s="43"/>
      <c r="AE34" s="44"/>
      <c r="AF34" s="43"/>
      <c r="AG34" s="44"/>
      <c r="AH34" s="43"/>
      <c r="AI34" s="44"/>
      <c r="AJ34" s="43"/>
      <c r="AK34" s="44"/>
      <c r="AL34" s="43"/>
      <c r="AM34" s="44"/>
      <c r="AN34" s="43"/>
      <c r="AO34" s="44"/>
      <c r="AP34" s="43"/>
      <c r="AQ34" s="44"/>
    </row>
    <row r="35" spans="1:44" ht="16" thickTop="1" thickBot="1">
      <c r="A35" s="46"/>
      <c r="B35" s="58" t="s">
        <v>427</v>
      </c>
      <c r="C35" s="59"/>
      <c r="D35" s="60">
        <f>+D27-D33</f>
        <v>0</v>
      </c>
      <c r="E35" s="61">
        <f>IF(D35=0,0,D35/'Primary Input'!$J$23)</f>
        <v>0</v>
      </c>
      <c r="F35" s="60">
        <f>+F27-F33</f>
        <v>0</v>
      </c>
      <c r="G35" s="61">
        <f>IF(F35=0,0,F35/'Primary Input'!$J$23)</f>
        <v>0</v>
      </c>
      <c r="H35" s="60">
        <f>+H27-H33</f>
        <v>0</v>
      </c>
      <c r="I35" s="61">
        <f>IF(H35=0,0,H35/'Primary Input'!$J$23)</f>
        <v>0</v>
      </c>
      <c r="J35" s="60">
        <f>+J27-J33</f>
        <v>0</v>
      </c>
      <c r="K35" s="61">
        <f>IF(J35=0,0,J35/'Primary Input'!$J$23)</f>
        <v>0</v>
      </c>
      <c r="L35" s="62">
        <f>+L27-L33</f>
        <v>0</v>
      </c>
      <c r="M35" s="61">
        <f>IF(L35=0,0,L35/'Primary Input'!$J$23)</f>
        <v>0</v>
      </c>
      <c r="N35" s="60">
        <f>+N27-N33</f>
        <v>0</v>
      </c>
      <c r="O35" s="61">
        <f>IF(N35=0,0,N35/'Primary Input'!$J$23)</f>
        <v>0</v>
      </c>
      <c r="P35" s="60">
        <f>+P27-P33</f>
        <v>0</v>
      </c>
      <c r="Q35" s="61">
        <f>IF(P35=0,0,P35/'Primary Input'!$J$23)</f>
        <v>0</v>
      </c>
      <c r="R35" s="60">
        <f>+R27-R33</f>
        <v>0</v>
      </c>
      <c r="S35" s="61">
        <f>IF(R35=0,0,R35/'Primary Input'!$J$23)</f>
        <v>0</v>
      </c>
      <c r="T35" s="60">
        <f>+T27-T33</f>
        <v>0</v>
      </c>
      <c r="U35" s="61">
        <f>IF(T35=0,0,T35/'Primary Input'!$J$23)</f>
        <v>0</v>
      </c>
      <c r="V35" s="60">
        <f>+V27-V33</f>
        <v>0</v>
      </c>
      <c r="W35" s="61">
        <f>IF(V35=0,0,V35/'Primary Input'!$J$23)</f>
        <v>0</v>
      </c>
      <c r="X35" s="62">
        <f>+X27-X33</f>
        <v>0</v>
      </c>
      <c r="Y35" s="61">
        <f>IF(X35=0,0,X35/'Primary Input'!$J$23)</f>
        <v>0</v>
      </c>
      <c r="Z35" s="60">
        <f>+Z27-Z33</f>
        <v>0</v>
      </c>
      <c r="AA35" s="61">
        <f>IF(Z35=0,0,Z35/'Primary Input'!$J$23)</f>
        <v>0</v>
      </c>
      <c r="AB35" s="60">
        <f>+AB27-AB33</f>
        <v>0</v>
      </c>
      <c r="AC35" s="61">
        <f>IF(AB35=0,0,AB35/'Primary Input'!$J$23)</f>
        <v>0</v>
      </c>
      <c r="AD35" s="60">
        <f>+AD27-AD33</f>
        <v>0</v>
      </c>
      <c r="AE35" s="61">
        <f>IF(AD35=0,0,AD35/'Primary Input'!$J$23)</f>
        <v>0</v>
      </c>
      <c r="AF35" s="60">
        <f>+AF27-AF33</f>
        <v>0</v>
      </c>
      <c r="AG35" s="61">
        <f>IF(AF35=0,0,AF35/'Primary Input'!$J$23)</f>
        <v>0</v>
      </c>
      <c r="AH35" s="60">
        <f>+AH27-AH33</f>
        <v>0</v>
      </c>
      <c r="AI35" s="61">
        <f>IF(AH35=0,0,AH35/'Primary Input'!$J$23)</f>
        <v>0</v>
      </c>
      <c r="AJ35" s="60">
        <f>+AJ27-AJ33</f>
        <v>0</v>
      </c>
      <c r="AK35" s="61">
        <f>IF(AJ35=0,0,AJ35/'Primary Input'!$J$23)</f>
        <v>0</v>
      </c>
      <c r="AL35" s="60">
        <f>+AL27-AL33</f>
        <v>0</v>
      </c>
      <c r="AM35" s="61">
        <f>IF(AL35=0,0,AL35/'Primary Input'!$J$23)</f>
        <v>0</v>
      </c>
      <c r="AN35" s="60">
        <f>+AN27-AN33</f>
        <v>0</v>
      </c>
      <c r="AO35" s="61">
        <f>IF(AN35=0,0,AN35/'Primary Input'!$J$23)</f>
        <v>0</v>
      </c>
      <c r="AP35" s="60">
        <f>+AP27-AP33</f>
        <v>0</v>
      </c>
      <c r="AQ35" s="61">
        <f>IF(AP35=0,0,AP35/'Primary Input'!$J$23)</f>
        <v>0</v>
      </c>
      <c r="AR35" s="872">
        <f>+D35+F35+H35+J35+L35+N35+P35+R35+T35+V35+X35+Z35+AB35+AD35+AF35+AH35+AJ35+AL35+AN35+AP35</f>
        <v>0</v>
      </c>
    </row>
    <row r="36" spans="1:44" ht="31.5" customHeight="1" thickTop="1" thickBot="1">
      <c r="A36" s="46"/>
      <c r="B36" s="1308" t="s">
        <v>1168</v>
      </c>
      <c r="C36" s="1309"/>
      <c r="D36" s="60"/>
      <c r="E36" s="61"/>
      <c r="F36" s="60"/>
      <c r="G36" s="61"/>
      <c r="H36" s="60"/>
      <c r="I36" s="61"/>
      <c r="J36" s="60"/>
      <c r="K36" s="61"/>
      <c r="L36" s="62"/>
      <c r="M36" s="61"/>
      <c r="N36" s="60"/>
      <c r="O36" s="61"/>
      <c r="P36" s="60"/>
      <c r="Q36" s="61"/>
      <c r="R36" s="60"/>
      <c r="S36" s="61"/>
      <c r="T36" s="60"/>
      <c r="U36" s="61"/>
      <c r="V36" s="60"/>
      <c r="W36" s="61"/>
      <c r="X36" s="62"/>
      <c r="Y36" s="61"/>
      <c r="Z36" s="60"/>
      <c r="AA36" s="61"/>
      <c r="AB36" s="60"/>
      <c r="AC36" s="61"/>
      <c r="AD36" s="60"/>
      <c r="AE36" s="61"/>
      <c r="AF36" s="60"/>
      <c r="AG36" s="61"/>
      <c r="AH36" s="60"/>
      <c r="AI36" s="61"/>
      <c r="AJ36" s="60"/>
      <c r="AK36" s="61"/>
      <c r="AL36" s="60"/>
      <c r="AM36" s="61"/>
      <c r="AN36" s="60"/>
      <c r="AO36" s="61"/>
      <c r="AP36" s="60"/>
      <c r="AQ36" s="61"/>
    </row>
    <row r="37" spans="1:44" ht="16" thickTop="1" thickBot="1">
      <c r="A37" s="27"/>
      <c r="B37" s="58" t="s">
        <v>470</v>
      </c>
      <c r="C37" s="59"/>
      <c r="D37" s="60">
        <f>+D35-D36</f>
        <v>0</v>
      </c>
      <c r="E37" s="61">
        <f>IF(D37=0,0,D37/'Primary Input'!$J$23)</f>
        <v>0</v>
      </c>
      <c r="F37" s="60">
        <f>+F35-F36</f>
        <v>0</v>
      </c>
      <c r="G37" s="61">
        <f>IF(F37=0,0,F37/'Primary Input'!$J$23)</f>
        <v>0</v>
      </c>
      <c r="H37" s="60">
        <f>+H35-H36</f>
        <v>0</v>
      </c>
      <c r="I37" s="61">
        <f>IF(H37=0,0,H37/'Primary Input'!$J$23)</f>
        <v>0</v>
      </c>
      <c r="J37" s="60">
        <f>+J35-J36</f>
        <v>0</v>
      </c>
      <c r="K37" s="61">
        <f>IF(J37=0,0,J37/'Primary Input'!$J$23)</f>
        <v>0</v>
      </c>
      <c r="L37" s="62">
        <f>+L35-L36</f>
        <v>0</v>
      </c>
      <c r="M37" s="61">
        <f>IF(L37=0,0,L37/'Primary Input'!$J$23)</f>
        <v>0</v>
      </c>
      <c r="N37" s="60">
        <f>+N35-N36</f>
        <v>0</v>
      </c>
      <c r="O37" s="61">
        <f>IF(N37=0,0,N37/'Primary Input'!$J$23)</f>
        <v>0</v>
      </c>
      <c r="P37" s="60">
        <f>+P35-P36</f>
        <v>0</v>
      </c>
      <c r="Q37" s="61">
        <f>IF(P37=0,0,P37/'Primary Input'!$J$23)</f>
        <v>0</v>
      </c>
      <c r="R37" s="60">
        <f>+R35-R36</f>
        <v>0</v>
      </c>
      <c r="S37" s="61">
        <f>IF(R37=0,0,R37/'Primary Input'!$J$23)</f>
        <v>0</v>
      </c>
      <c r="T37" s="60">
        <f>+T35-T36</f>
        <v>0</v>
      </c>
      <c r="U37" s="61">
        <f>IF(T37=0,0,T37/'Primary Input'!$J$23)</f>
        <v>0</v>
      </c>
      <c r="V37" s="60">
        <f>+V35-V36</f>
        <v>0</v>
      </c>
      <c r="W37" s="61">
        <f>IF(V37=0,0,V37/'Primary Input'!$J$23)</f>
        <v>0</v>
      </c>
      <c r="X37" s="62">
        <f>+X35-X36</f>
        <v>0</v>
      </c>
      <c r="Y37" s="61">
        <f>IF(X37=0,0,X37/'Primary Input'!$J$23)</f>
        <v>0</v>
      </c>
      <c r="Z37" s="60">
        <f>+Z35-Z36</f>
        <v>0</v>
      </c>
      <c r="AA37" s="61">
        <f>IF(Z37=0,0,Z37/'Primary Input'!$J$23)</f>
        <v>0</v>
      </c>
      <c r="AB37" s="60">
        <f>+AB35-AB36</f>
        <v>0</v>
      </c>
      <c r="AC37" s="61">
        <f>IF(AB37=0,0,AB37/'Primary Input'!$J$23)</f>
        <v>0</v>
      </c>
      <c r="AD37" s="60">
        <f>+AD35-AD36</f>
        <v>0</v>
      </c>
      <c r="AE37" s="61">
        <f>IF(AD37=0,0,AD37/'Primary Input'!$J$23)</f>
        <v>0</v>
      </c>
      <c r="AF37" s="60">
        <f>+AF35-AF36</f>
        <v>0</v>
      </c>
      <c r="AG37" s="61">
        <f>IF(AF37=0,0,AF37/'Primary Input'!$J$23)</f>
        <v>0</v>
      </c>
      <c r="AH37" s="60">
        <f>+AH35-AH36</f>
        <v>0</v>
      </c>
      <c r="AI37" s="61">
        <f>IF(AH37=0,0,AH37/'Primary Input'!$J$23)</f>
        <v>0</v>
      </c>
      <c r="AJ37" s="60">
        <f>+AJ35-AJ36</f>
        <v>0</v>
      </c>
      <c r="AK37" s="61">
        <f>IF(AJ37=0,0,AJ37/'Primary Input'!$J$23)</f>
        <v>0</v>
      </c>
      <c r="AL37" s="60">
        <f>+AL35-AL36</f>
        <v>0</v>
      </c>
      <c r="AM37" s="61">
        <f>IF(AL37=0,0,AL37/'Primary Input'!$J$23)</f>
        <v>0</v>
      </c>
      <c r="AN37" s="60">
        <f>+AN35-AN36</f>
        <v>0</v>
      </c>
      <c r="AO37" s="61">
        <f>IF(AN37=0,0,AN37/'Primary Input'!$J$23)</f>
        <v>0</v>
      </c>
      <c r="AP37" s="60">
        <f>+AP35-AP36</f>
        <v>0</v>
      </c>
      <c r="AQ37" s="61">
        <f>IF(AP37=0,0,AP37/'Primary Input'!$J$23)</f>
        <v>0</v>
      </c>
    </row>
    <row r="38" spans="1:44" ht="14" thickTop="1">
      <c r="A38" s="27"/>
      <c r="B38" s="28" t="str">
        <f>+'Pro Forma Calculation'!B92</f>
        <v>HOME FUNDS DEBT SERVICE</v>
      </c>
      <c r="C38" s="42"/>
      <c r="D38" s="1300">
        <f>+D37*'Pro Forma Calculation'!$D92</f>
        <v>0</v>
      </c>
      <c r="E38" s="1301"/>
      <c r="F38" s="1300">
        <f>+F37*'Pro Forma Calculation'!$D92</f>
        <v>0</v>
      </c>
      <c r="G38" s="1301"/>
      <c r="H38" s="1300">
        <f>+H37*'Pro Forma Calculation'!$D92</f>
        <v>0</v>
      </c>
      <c r="I38" s="1301"/>
      <c r="J38" s="1300">
        <f>+J37*'Pro Forma Calculation'!$D92</f>
        <v>0</v>
      </c>
      <c r="K38" s="1301"/>
      <c r="L38" s="1300">
        <f>+L37*'Pro Forma Calculation'!$D92</f>
        <v>0</v>
      </c>
      <c r="M38" s="1301"/>
      <c r="N38" s="1300">
        <f>+N37*'Pro Forma Calculation'!$D92</f>
        <v>0</v>
      </c>
      <c r="O38" s="1301"/>
      <c r="P38" s="1300">
        <f>+P37*'Pro Forma Calculation'!$D92</f>
        <v>0</v>
      </c>
      <c r="Q38" s="1301"/>
      <c r="R38" s="1300">
        <f>+R37*'Pro Forma Calculation'!$D92</f>
        <v>0</v>
      </c>
      <c r="S38" s="1301"/>
      <c r="T38" s="1300">
        <f>+T37*'Pro Forma Calculation'!$D92</f>
        <v>0</v>
      </c>
      <c r="U38" s="1301"/>
      <c r="V38" s="1300">
        <f>+V37*'Pro Forma Calculation'!$D92</f>
        <v>0</v>
      </c>
      <c r="W38" s="1301"/>
      <c r="X38" s="1300">
        <f>+X37*'Pro Forma Calculation'!$D92</f>
        <v>0</v>
      </c>
      <c r="Y38" s="1301"/>
      <c r="Z38" s="1300">
        <f>+Z37*'Pro Forma Calculation'!$D92</f>
        <v>0</v>
      </c>
      <c r="AA38" s="1301"/>
      <c r="AB38" s="1300">
        <f>+AB37*'Pro Forma Calculation'!$D92</f>
        <v>0</v>
      </c>
      <c r="AC38" s="1301"/>
      <c r="AD38" s="1300">
        <f>+AD37*'Pro Forma Calculation'!$D92</f>
        <v>0</v>
      </c>
      <c r="AE38" s="1301"/>
      <c r="AF38" s="1300">
        <f>+AF37*'Pro Forma Calculation'!$D92</f>
        <v>0</v>
      </c>
      <c r="AG38" s="1301"/>
      <c r="AH38" s="1300">
        <f>+AH37*'Pro Forma Calculation'!$D92</f>
        <v>0</v>
      </c>
      <c r="AI38" s="1301"/>
      <c r="AJ38" s="1300">
        <f>+AJ37*'Pro Forma Calculation'!$D92</f>
        <v>0</v>
      </c>
      <c r="AK38" s="1301"/>
      <c r="AL38" s="1300">
        <f>+AL37*'Pro Forma Calculation'!$D92</f>
        <v>0</v>
      </c>
      <c r="AM38" s="1301"/>
      <c r="AN38" s="1300">
        <f>+AN37*'Pro Forma Calculation'!$D92</f>
        <v>0</v>
      </c>
      <c r="AO38" s="1301"/>
      <c r="AP38" s="1300">
        <f>+AP37*'Pro Forma Calculation'!$D92</f>
        <v>0</v>
      </c>
      <c r="AQ38" s="1301"/>
    </row>
    <row r="39" spans="1:44">
      <c r="A39" s="27"/>
      <c r="B39" s="29" t="s">
        <v>375</v>
      </c>
      <c r="C39" s="42"/>
      <c r="D39" s="1300">
        <f>+D37-D38</f>
        <v>0</v>
      </c>
      <c r="E39" s="1301"/>
      <c r="F39" s="1300">
        <f>+F37-F38</f>
        <v>0</v>
      </c>
      <c r="G39" s="1301"/>
      <c r="H39" s="1300">
        <f>+H37-H38</f>
        <v>0</v>
      </c>
      <c r="I39" s="1301"/>
      <c r="J39" s="1300">
        <f>+J37-J38</f>
        <v>0</v>
      </c>
      <c r="K39" s="1301"/>
      <c r="L39" s="1300">
        <f>+L37-L38</f>
        <v>0</v>
      </c>
      <c r="M39" s="1301"/>
      <c r="N39" s="1300">
        <f>+N37-N38</f>
        <v>0</v>
      </c>
      <c r="O39" s="1301"/>
      <c r="P39" s="1300">
        <f>+P37-P38</f>
        <v>0</v>
      </c>
      <c r="Q39" s="1301"/>
      <c r="R39" s="1300">
        <f>+R37-R38</f>
        <v>0</v>
      </c>
      <c r="S39" s="1301"/>
      <c r="T39" s="1300">
        <f>+T37-T38</f>
        <v>0</v>
      </c>
      <c r="U39" s="1301"/>
      <c r="V39" s="1300">
        <f>+V37-V38</f>
        <v>0</v>
      </c>
      <c r="W39" s="1301"/>
      <c r="X39" s="1300">
        <f>+X37-X38</f>
        <v>0</v>
      </c>
      <c r="Y39" s="1301"/>
      <c r="Z39" s="1300">
        <f>+Z37-Z38</f>
        <v>0</v>
      </c>
      <c r="AA39" s="1301"/>
      <c r="AB39" s="1300">
        <f>+AB37-AB38</f>
        <v>0</v>
      </c>
      <c r="AC39" s="1301"/>
      <c r="AD39" s="1300">
        <f>+AD37-AD38</f>
        <v>0</v>
      </c>
      <c r="AE39" s="1301"/>
      <c r="AF39" s="1300">
        <f>+AF37-AF38</f>
        <v>0</v>
      </c>
      <c r="AG39" s="1301"/>
      <c r="AH39" s="1300">
        <f>+AH37-AH38</f>
        <v>0</v>
      </c>
      <c r="AI39" s="1301"/>
      <c r="AJ39" s="1300">
        <f>+AJ37-AJ38</f>
        <v>0</v>
      </c>
      <c r="AK39" s="1301"/>
      <c r="AL39" s="1300">
        <f>+AL37-AL38</f>
        <v>0</v>
      </c>
      <c r="AM39" s="1301"/>
      <c r="AN39" s="1300">
        <f>+AN37-AN38</f>
        <v>0</v>
      </c>
      <c r="AO39" s="1301"/>
      <c r="AP39" s="1300">
        <f>+AP37-AP38</f>
        <v>0</v>
      </c>
      <c r="AQ39" s="1301"/>
    </row>
    <row r="40" spans="1:44">
      <c r="A40" s="27"/>
      <c r="B40" s="65"/>
      <c r="C40" s="42"/>
      <c r="D40" s="66"/>
      <c r="E40" s="63"/>
      <c r="F40" s="66"/>
      <c r="G40" s="63"/>
      <c r="H40" s="66"/>
      <c r="I40" s="63"/>
      <c r="J40" s="66"/>
      <c r="K40" s="63"/>
      <c r="L40" s="66"/>
      <c r="M40" s="63"/>
      <c r="N40" s="66"/>
      <c r="O40" s="63"/>
      <c r="P40" s="66"/>
      <c r="Q40" s="63"/>
      <c r="R40" s="66"/>
      <c r="S40" s="63"/>
      <c r="T40" s="66"/>
      <c r="U40" s="63"/>
      <c r="V40" s="66"/>
      <c r="W40" s="63"/>
      <c r="X40" s="66"/>
      <c r="Y40" s="63"/>
      <c r="Z40" s="66"/>
      <c r="AA40" s="63"/>
      <c r="AB40" s="66"/>
      <c r="AC40" s="63"/>
      <c r="AD40" s="66"/>
      <c r="AE40" s="63"/>
      <c r="AF40" s="66"/>
      <c r="AG40" s="63"/>
      <c r="AH40" s="66"/>
      <c r="AI40" s="63"/>
      <c r="AJ40" s="66"/>
      <c r="AK40" s="63"/>
      <c r="AL40" s="66"/>
      <c r="AM40" s="63"/>
      <c r="AN40" s="66"/>
      <c r="AO40" s="63"/>
      <c r="AP40" s="66"/>
      <c r="AQ40" s="63"/>
    </row>
    <row r="41" spans="1:44">
      <c r="A41" s="27"/>
      <c r="B41" s="54" t="s">
        <v>428</v>
      </c>
      <c r="C41" s="42"/>
      <c r="D41" s="66"/>
      <c r="E41" s="63"/>
      <c r="F41" s="66"/>
      <c r="G41" s="63"/>
      <c r="H41" s="66"/>
      <c r="I41" s="63"/>
      <c r="J41" s="66"/>
      <c r="K41" s="63"/>
      <c r="L41" s="66"/>
      <c r="M41" s="63"/>
      <c r="N41" s="66"/>
      <c r="O41" s="63"/>
      <c r="P41" s="66"/>
      <c r="Q41" s="63"/>
      <c r="R41" s="66"/>
      <c r="S41" s="63"/>
      <c r="T41" s="66"/>
      <c r="U41" s="63"/>
      <c r="V41" s="66"/>
      <c r="W41" s="63"/>
      <c r="X41" s="66"/>
      <c r="Y41" s="63"/>
      <c r="Z41" s="66"/>
      <c r="AA41" s="63"/>
      <c r="AB41" s="66"/>
      <c r="AC41" s="63"/>
      <c r="AD41" s="66"/>
      <c r="AE41" s="63"/>
      <c r="AF41" s="66"/>
      <c r="AG41" s="63"/>
      <c r="AH41" s="66"/>
      <c r="AI41" s="63"/>
      <c r="AJ41" s="66"/>
      <c r="AK41" s="63"/>
      <c r="AL41" s="66"/>
      <c r="AM41" s="63"/>
      <c r="AN41" s="66"/>
      <c r="AO41" s="63"/>
      <c r="AP41" s="66"/>
      <c r="AQ41" s="63"/>
    </row>
    <row r="42" spans="1:44">
      <c r="A42" s="27"/>
      <c r="B42" s="41" t="s">
        <v>429</v>
      </c>
      <c r="C42" s="42"/>
      <c r="D42" s="1302">
        <f>IF(D30=0,0,+D27/D30)</f>
        <v>0</v>
      </c>
      <c r="E42" s="1303"/>
      <c r="F42" s="1302">
        <f>IF(F30=0,0,+F27/F30)</f>
        <v>0</v>
      </c>
      <c r="G42" s="1303"/>
      <c r="H42" s="1302">
        <f>IF(H30=0,0,+H27/H30)</f>
        <v>0</v>
      </c>
      <c r="I42" s="1303"/>
      <c r="J42" s="1302">
        <f>IF(J30=0,0,+J27/J30)</f>
        <v>0</v>
      </c>
      <c r="K42" s="1303"/>
      <c r="L42" s="1302">
        <f>IF(L30=0,0,+L27/L30)</f>
        <v>0</v>
      </c>
      <c r="M42" s="1303"/>
      <c r="N42" s="1302">
        <f>IF(N30=0,0,+N27/N30)</f>
        <v>0</v>
      </c>
      <c r="O42" s="1303"/>
      <c r="P42" s="1302">
        <f>IF(P30=0,0,+P27/P30)</f>
        <v>0</v>
      </c>
      <c r="Q42" s="1303"/>
      <c r="R42" s="1302">
        <f>IF(R30=0,0,+R27/R30)</f>
        <v>0</v>
      </c>
      <c r="S42" s="1303"/>
      <c r="T42" s="1302">
        <f>IF(T30=0,0,+T27/T30)</f>
        <v>0</v>
      </c>
      <c r="U42" s="1303"/>
      <c r="V42" s="1302">
        <f>IF(V30=0,0,+V27/V30)</f>
        <v>0</v>
      </c>
      <c r="W42" s="1303"/>
      <c r="X42" s="1302">
        <f>IF(X30=0,0,+X27/X30)</f>
        <v>0</v>
      </c>
      <c r="Y42" s="1303"/>
      <c r="Z42" s="1302">
        <f>IF(Z30=0,0,+Z27/Z30)</f>
        <v>0</v>
      </c>
      <c r="AA42" s="1303"/>
      <c r="AB42" s="1302">
        <f>IF(AB30=0,0,+AB27/AB30)</f>
        <v>0</v>
      </c>
      <c r="AC42" s="1303"/>
      <c r="AD42" s="1302">
        <f>IF(AD30=0,0,+AD27/AD30)</f>
        <v>0</v>
      </c>
      <c r="AE42" s="1303"/>
      <c r="AF42" s="1302">
        <f>IF(AF30=0,0,+AF27/AF30)</f>
        <v>0</v>
      </c>
      <c r="AG42" s="1303"/>
      <c r="AH42" s="1302">
        <f>IF(AH30=0,0,+AH27/AH30)</f>
        <v>0</v>
      </c>
      <c r="AI42" s="1303"/>
      <c r="AJ42" s="1302">
        <f>IF(AJ30=0,0,+AJ27/AJ30)</f>
        <v>0</v>
      </c>
      <c r="AK42" s="1303"/>
      <c r="AL42" s="1302">
        <f>IF(AL30=0,0,+AL27/AL30)</f>
        <v>0</v>
      </c>
      <c r="AM42" s="1303"/>
      <c r="AN42" s="1302">
        <f>IF(AN30=0,0,+AN27/AN30)</f>
        <v>0</v>
      </c>
      <c r="AO42" s="1303"/>
      <c r="AP42" s="1302">
        <f>IF(AP30=0,0,+AP27/AP30)</f>
        <v>0</v>
      </c>
      <c r="AQ42" s="1303"/>
    </row>
    <row r="43" spans="1:44">
      <c r="A43" s="27"/>
      <c r="B43" s="41" t="s">
        <v>430</v>
      </c>
      <c r="C43" s="42"/>
      <c r="D43" s="1302">
        <f>IF(D33=0,0,+D27/D33)</f>
        <v>0</v>
      </c>
      <c r="E43" s="1303"/>
      <c r="F43" s="1302">
        <f>IF(F33=0,0,+F27/F33)</f>
        <v>0</v>
      </c>
      <c r="G43" s="1303"/>
      <c r="H43" s="1302">
        <f>IF(H33=0,0,+H27/H33)</f>
        <v>0</v>
      </c>
      <c r="I43" s="1303"/>
      <c r="J43" s="1302">
        <f>IF(J33=0,0,+J27/J33)</f>
        <v>0</v>
      </c>
      <c r="K43" s="1303"/>
      <c r="L43" s="1302">
        <f>IF(L33=0,0,+L27/L33)</f>
        <v>0</v>
      </c>
      <c r="M43" s="1303"/>
      <c r="N43" s="1302">
        <f>IF(N33=0,0,+N27/N33)</f>
        <v>0</v>
      </c>
      <c r="O43" s="1303"/>
      <c r="P43" s="1302">
        <f>IF(P33=0,0,+P27/P33)</f>
        <v>0</v>
      </c>
      <c r="Q43" s="1303"/>
      <c r="R43" s="1302">
        <f>IF(R33=0,0,+R27/R33)</f>
        <v>0</v>
      </c>
      <c r="S43" s="1303"/>
      <c r="T43" s="1302">
        <f>IF(T33=0,0,+T27/T33)</f>
        <v>0</v>
      </c>
      <c r="U43" s="1303"/>
      <c r="V43" s="1302">
        <f>IF(V33=0,0,+V27/V33)</f>
        <v>0</v>
      </c>
      <c r="W43" s="1303"/>
      <c r="X43" s="1302">
        <f>IF(X33=0,0,+X27/X33)</f>
        <v>0</v>
      </c>
      <c r="Y43" s="1303"/>
      <c r="Z43" s="1302">
        <f>IF(Z33=0,0,+Z27/Z33)</f>
        <v>0</v>
      </c>
      <c r="AA43" s="1303"/>
      <c r="AB43" s="1302">
        <f>IF(AB33=0,0,+AB27/AB33)</f>
        <v>0</v>
      </c>
      <c r="AC43" s="1303"/>
      <c r="AD43" s="1302">
        <f>IF(AD33=0,0,+AD27/AD33)</f>
        <v>0</v>
      </c>
      <c r="AE43" s="1303"/>
      <c r="AF43" s="1302">
        <f>IF(AF33=0,0,+AF27/AF33)</f>
        <v>0</v>
      </c>
      <c r="AG43" s="1303"/>
      <c r="AH43" s="1302">
        <f>IF(AH33=0,0,+AH27/AH33)</f>
        <v>0</v>
      </c>
      <c r="AI43" s="1303"/>
      <c r="AJ43" s="1302">
        <f>IF(AJ33=0,0,+AJ27/AJ33)</f>
        <v>0</v>
      </c>
      <c r="AK43" s="1303"/>
      <c r="AL43" s="1302">
        <f>IF(AL33=0,0,+AL27/AL33)</f>
        <v>0</v>
      </c>
      <c r="AM43" s="1303"/>
      <c r="AN43" s="1302">
        <f>IF(AN33=0,0,+AN27/AN33)</f>
        <v>0</v>
      </c>
      <c r="AO43" s="1303"/>
      <c r="AP43" s="1302">
        <f>IF(AP33=0,0,+AP27/AP33)</f>
        <v>0</v>
      </c>
      <c r="AQ43" s="1303"/>
    </row>
    <row r="44" spans="1:44">
      <c r="A44" s="27"/>
      <c r="B44" s="41"/>
      <c r="C44" s="42"/>
      <c r="D44" s="66"/>
      <c r="E44" s="63"/>
      <c r="F44" s="66"/>
      <c r="G44" s="63"/>
      <c r="H44" s="66"/>
      <c r="I44" s="63"/>
      <c r="J44" s="66"/>
      <c r="K44" s="63"/>
      <c r="L44" s="66"/>
      <c r="M44" s="63"/>
      <c r="N44" s="66"/>
      <c r="O44" s="63"/>
      <c r="P44" s="66"/>
      <c r="Q44" s="63"/>
      <c r="R44" s="66"/>
      <c r="S44" s="63"/>
      <c r="T44" s="66"/>
      <c r="U44" s="63"/>
      <c r="V44" s="66"/>
      <c r="W44" s="63"/>
      <c r="X44" s="66"/>
      <c r="Y44" s="63"/>
      <c r="Z44" s="66"/>
      <c r="AA44" s="63"/>
      <c r="AB44" s="66"/>
      <c r="AC44" s="63"/>
      <c r="AD44" s="66"/>
      <c r="AE44" s="63"/>
      <c r="AF44" s="66"/>
      <c r="AG44" s="63"/>
      <c r="AH44" s="66"/>
      <c r="AI44" s="63"/>
      <c r="AJ44" s="66"/>
      <c r="AK44" s="63"/>
      <c r="AL44" s="66"/>
      <c r="AM44" s="63"/>
      <c r="AN44" s="66"/>
      <c r="AO44" s="63"/>
      <c r="AP44" s="66"/>
      <c r="AQ44" s="63"/>
    </row>
    <row r="45" spans="1:44">
      <c r="A45" s="27"/>
      <c r="B45" s="54" t="s">
        <v>431</v>
      </c>
      <c r="C45" s="42"/>
      <c r="D45" s="66"/>
      <c r="E45" s="63"/>
      <c r="F45" s="66"/>
      <c r="G45" s="63"/>
      <c r="H45" s="66"/>
      <c r="I45" s="63"/>
      <c r="J45" s="66"/>
      <c r="K45" s="63"/>
      <c r="L45" s="66"/>
      <c r="M45" s="63"/>
      <c r="N45" s="66"/>
      <c r="O45" s="63"/>
      <c r="P45" s="66"/>
      <c r="Q45" s="63"/>
      <c r="R45" s="66"/>
      <c r="S45" s="63"/>
      <c r="T45" s="66"/>
      <c r="U45" s="63"/>
      <c r="V45" s="66"/>
      <c r="W45" s="63"/>
      <c r="X45" s="66"/>
      <c r="Y45" s="63"/>
      <c r="Z45" s="66"/>
      <c r="AA45" s="63"/>
      <c r="AB45" s="66"/>
      <c r="AC45" s="63"/>
      <c r="AD45" s="66"/>
      <c r="AE45" s="63"/>
      <c r="AF45" s="66"/>
      <c r="AG45" s="63"/>
      <c r="AH45" s="66"/>
      <c r="AI45" s="63"/>
      <c r="AJ45" s="66"/>
      <c r="AK45" s="63"/>
      <c r="AL45" s="66"/>
      <c r="AM45" s="63"/>
      <c r="AN45" s="66"/>
      <c r="AO45" s="63"/>
      <c r="AP45" s="66"/>
      <c r="AQ45" s="63"/>
    </row>
    <row r="46" spans="1:44">
      <c r="A46" s="27"/>
      <c r="B46" s="41" t="s">
        <v>432</v>
      </c>
      <c r="C46" s="42"/>
      <c r="D46" s="1304">
        <f>IF(D9=0,0,(D24+D20+D33)/D9)</f>
        <v>0</v>
      </c>
      <c r="E46" s="1305"/>
      <c r="F46" s="1304">
        <f>IF(F9=0,0,(F24+F20+F33)/F9)</f>
        <v>0</v>
      </c>
      <c r="G46" s="1305"/>
      <c r="H46" s="1304">
        <f>IF(H9=0,0,(H24+H20+H33)/H9)</f>
        <v>0</v>
      </c>
      <c r="I46" s="1305"/>
      <c r="J46" s="1304">
        <f>IF(J9=0,0,(J24+J20+J33)/J9)</f>
        <v>0</v>
      </c>
      <c r="K46" s="1305"/>
      <c r="L46" s="1304">
        <f>IF(L9=0,0,(L24+L20+L33)/L9)</f>
        <v>0</v>
      </c>
      <c r="M46" s="1305"/>
      <c r="N46" s="1304">
        <f>IF(N9=0,0,(N24+N20+N33)/N9)</f>
        <v>0</v>
      </c>
      <c r="O46" s="1305"/>
      <c r="P46" s="1304">
        <f>IF(P9=0,0,(P24+P20+P33)/P9)</f>
        <v>0</v>
      </c>
      <c r="Q46" s="1305"/>
      <c r="R46" s="1304">
        <f>IF(R9=0,0,(R24+R20+R33)/R9)</f>
        <v>0</v>
      </c>
      <c r="S46" s="1305"/>
      <c r="T46" s="1304">
        <f>IF(T9=0,0,(T24+T20+T33)/T9)</f>
        <v>0</v>
      </c>
      <c r="U46" s="1305"/>
      <c r="V46" s="1304">
        <f>IF(V9=0,0,(V24+V20+V33)/V9)</f>
        <v>0</v>
      </c>
      <c r="W46" s="1305"/>
      <c r="X46" s="1304">
        <f>IF(X9=0,0,(X24+X20+X33)/X9)</f>
        <v>0</v>
      </c>
      <c r="Y46" s="1305"/>
      <c r="Z46" s="1304">
        <f>IF(Z9=0,0,(Z24+Z20+Z33)/Z9)</f>
        <v>0</v>
      </c>
      <c r="AA46" s="1305"/>
      <c r="AB46" s="1304">
        <f>IF(AB9=0,0,(AB24+AB20+AB33)/AB9)</f>
        <v>0</v>
      </c>
      <c r="AC46" s="1305"/>
      <c r="AD46" s="1304">
        <f>IF(AD9=0,0,(AD24+AD20+AD33)/AD9)</f>
        <v>0</v>
      </c>
      <c r="AE46" s="1305"/>
      <c r="AF46" s="1304">
        <f>IF(AF9=0,0,(AF24+AF20+AF33)/AF9)</f>
        <v>0</v>
      </c>
      <c r="AG46" s="1305"/>
      <c r="AH46" s="1304">
        <f>IF(AH9=0,0,(AH24+AH20+AH33)/AH9)</f>
        <v>0</v>
      </c>
      <c r="AI46" s="1305"/>
      <c r="AJ46" s="1304">
        <f>IF(AJ9=0,0,(AJ24+AJ20+AJ33)/AJ9)</f>
        <v>0</v>
      </c>
      <c r="AK46" s="1305"/>
      <c r="AL46" s="1304">
        <f>IF(AL9=0,0,(AL24+AL20+AL33)/AL9)</f>
        <v>0</v>
      </c>
      <c r="AM46" s="1305"/>
      <c r="AN46" s="1304">
        <f>IF(AN9=0,0,(AN24+AN20+AN33)/AN9)</f>
        <v>0</v>
      </c>
      <c r="AO46" s="1305"/>
      <c r="AP46" s="1304">
        <f>IF(AP9=0,0,(AP24+AP20+AP33)/AP9)</f>
        <v>0</v>
      </c>
      <c r="AQ46" s="1305"/>
    </row>
    <row r="47" spans="1:44">
      <c r="A47" s="27"/>
      <c r="B47" s="41" t="s">
        <v>433</v>
      </c>
      <c r="C47" s="42"/>
      <c r="D47" s="1306">
        <f>IF(D50=0,0,(((D20+D24)/12/D50)))</f>
        <v>0</v>
      </c>
      <c r="E47" s="1307"/>
      <c r="F47" s="1306">
        <f>IF(F50=0,0,(((F20+F24)/12/F50)))</f>
        <v>0</v>
      </c>
      <c r="G47" s="1307"/>
      <c r="H47" s="1306">
        <f>IF(H50=0,0,(((H20+H24)/12/H50)))</f>
        <v>0</v>
      </c>
      <c r="I47" s="1307"/>
      <c r="J47" s="1306">
        <f>IF(J50=0,0,(((J20+J24)/12/J50)))</f>
        <v>0</v>
      </c>
      <c r="K47" s="1307"/>
      <c r="L47" s="1306">
        <f>IF(L50=0,0,(((L20+L24)/12/L50)))</f>
        <v>0</v>
      </c>
      <c r="M47" s="1307"/>
      <c r="N47" s="1306">
        <f>IF(N50=0,0,(((N20+N24)/12/N50)))</f>
        <v>0</v>
      </c>
      <c r="O47" s="1307"/>
      <c r="P47" s="1306">
        <f>IF(P50=0,0,(((P20+P24)/12/P50)))</f>
        <v>0</v>
      </c>
      <c r="Q47" s="1307"/>
      <c r="R47" s="1306">
        <f>IF(R50=0,0,(((R20+R24)/12/R50)))</f>
        <v>0</v>
      </c>
      <c r="S47" s="1307"/>
      <c r="T47" s="1306">
        <f>IF(T50=0,0,(((T20+T24)/12/T50)))</f>
        <v>0</v>
      </c>
      <c r="U47" s="1307"/>
      <c r="V47" s="1306">
        <f>IF(V50=0,0,(((V20+V24)/12/V50)))</f>
        <v>0</v>
      </c>
      <c r="W47" s="1307"/>
      <c r="X47" s="1306">
        <f>IF(X50=0,0,(((X20+X24)/12/X50)))</f>
        <v>0</v>
      </c>
      <c r="Y47" s="1307"/>
      <c r="Z47" s="1306">
        <f>IF(Z50=0,0,(((Z20+Z24)/12/Z50)))</f>
        <v>0</v>
      </c>
      <c r="AA47" s="1307"/>
      <c r="AB47" s="1306">
        <f>IF(AB50=0,0,(((AB20+AB24)/12/AB50)))</f>
        <v>0</v>
      </c>
      <c r="AC47" s="1307"/>
      <c r="AD47" s="1306">
        <f>IF(AD50=0,0,(((AD20+AD24)/12/AD50)))</f>
        <v>0</v>
      </c>
      <c r="AE47" s="1307"/>
      <c r="AF47" s="1306">
        <f>IF(AF50=0,0,(((AF20+AF24)/12/AF50)))</f>
        <v>0</v>
      </c>
      <c r="AG47" s="1307"/>
      <c r="AH47" s="1306">
        <f>IF(AH50=0,0,(((AH20+AH24)/12/AH50)))</f>
        <v>0</v>
      </c>
      <c r="AI47" s="1307"/>
      <c r="AJ47" s="1306">
        <f>IF(AJ50=0,0,(((AJ20+AJ24)/12/AJ50)))</f>
        <v>0</v>
      </c>
      <c r="AK47" s="1307"/>
      <c r="AL47" s="1306">
        <f>IF(AL50=0,0,(((AL20+AL24)/12/AL50)))</f>
        <v>0</v>
      </c>
      <c r="AM47" s="1307"/>
      <c r="AN47" s="1306">
        <f>IF(AN50=0,0,(((AN20+AN24)/12/AN50)))</f>
        <v>0</v>
      </c>
      <c r="AO47" s="1307"/>
      <c r="AP47" s="1306">
        <f>IF(AP50=0,0,(((AP20+AP24)/12/AP50)))</f>
        <v>0</v>
      </c>
      <c r="AQ47" s="1307"/>
    </row>
    <row r="48" spans="1:44">
      <c r="A48" s="27"/>
      <c r="B48" s="41"/>
      <c r="C48" s="42"/>
      <c r="D48" s="1306"/>
      <c r="E48" s="1307"/>
      <c r="F48" s="1306"/>
      <c r="G48" s="1307"/>
      <c r="H48" s="1306"/>
      <c r="I48" s="1307"/>
      <c r="J48" s="1306"/>
      <c r="K48" s="1307"/>
      <c r="L48" s="1306"/>
      <c r="M48" s="1307"/>
      <c r="N48" s="1306"/>
      <c r="O48" s="1307"/>
      <c r="P48" s="1306"/>
      <c r="Q48" s="1307"/>
      <c r="R48" s="1306"/>
      <c r="S48" s="1307"/>
      <c r="T48" s="1306"/>
      <c r="U48" s="1307"/>
      <c r="V48" s="1306"/>
      <c r="W48" s="1307"/>
      <c r="X48" s="1306"/>
      <c r="Y48" s="1307"/>
      <c r="Z48" s="1306"/>
      <c r="AA48" s="1307"/>
      <c r="AB48" s="1306"/>
      <c r="AC48" s="1307"/>
      <c r="AD48" s="1306"/>
      <c r="AE48" s="1307"/>
      <c r="AF48" s="1306"/>
      <c r="AG48" s="1307"/>
      <c r="AH48" s="1306"/>
      <c r="AI48" s="1307"/>
      <c r="AJ48" s="1306"/>
      <c r="AK48" s="1307"/>
      <c r="AL48" s="1306"/>
      <c r="AM48" s="1307"/>
      <c r="AN48" s="1306"/>
      <c r="AO48" s="1307"/>
      <c r="AP48" s="1306"/>
      <c r="AQ48" s="1307"/>
    </row>
    <row r="49" spans="1:43">
      <c r="A49" s="27"/>
      <c r="B49" s="54" t="s">
        <v>434</v>
      </c>
      <c r="C49" s="42"/>
      <c r="D49" s="1300"/>
      <c r="E49" s="1301"/>
      <c r="F49" s="1300"/>
      <c r="G49" s="1301"/>
      <c r="H49" s="1300"/>
      <c r="I49" s="1301"/>
      <c r="J49" s="1300"/>
      <c r="K49" s="1301"/>
      <c r="L49" s="1300"/>
      <c r="M49" s="1301"/>
      <c r="N49" s="1300"/>
      <c r="O49" s="1301"/>
      <c r="P49" s="1300"/>
      <c r="Q49" s="1301"/>
      <c r="R49" s="1300"/>
      <c r="S49" s="1301"/>
      <c r="T49" s="1300"/>
      <c r="U49" s="1301"/>
      <c r="V49" s="1300"/>
      <c r="W49" s="1301"/>
      <c r="X49" s="1300"/>
      <c r="Y49" s="1301"/>
      <c r="Z49" s="1300"/>
      <c r="AA49" s="1301"/>
      <c r="AB49" s="1300"/>
      <c r="AC49" s="1301"/>
      <c r="AD49" s="1300"/>
      <c r="AE49" s="1301"/>
      <c r="AF49" s="1300"/>
      <c r="AG49" s="1301"/>
      <c r="AH49" s="1300"/>
      <c r="AI49" s="1301"/>
      <c r="AJ49" s="1300"/>
      <c r="AK49" s="1301"/>
      <c r="AL49" s="1300"/>
      <c r="AM49" s="1301"/>
      <c r="AN49" s="1300"/>
      <c r="AO49" s="1301"/>
      <c r="AP49" s="1300"/>
      <c r="AQ49" s="1301"/>
    </row>
    <row r="50" spans="1:43">
      <c r="A50" s="27"/>
      <c r="B50" s="41" t="s">
        <v>435</v>
      </c>
      <c r="C50" s="42"/>
      <c r="D50" s="1304">
        <f>IF(D20=0,0,(D35)/D20)</f>
        <v>0</v>
      </c>
      <c r="E50" s="1305"/>
      <c r="F50" s="1304">
        <f>IF(F20=0,0,(F35)/F20)</f>
        <v>0</v>
      </c>
      <c r="G50" s="1305"/>
      <c r="H50" s="1304">
        <f>IF(H20=0,0,(H35)/H20)</f>
        <v>0</v>
      </c>
      <c r="I50" s="1305"/>
      <c r="J50" s="1304">
        <f>IF(J20=0,0,(J35)/J20)</f>
        <v>0</v>
      </c>
      <c r="K50" s="1305"/>
      <c r="L50" s="1304">
        <f>IF(L20=0,0,(L35)/L20)</f>
        <v>0</v>
      </c>
      <c r="M50" s="1305"/>
      <c r="N50" s="1304">
        <f>IF(N20=0,0,(N35)/N20)</f>
        <v>0</v>
      </c>
      <c r="O50" s="1305"/>
      <c r="P50" s="1304">
        <f>IF(P20=0,0,(P35)/P20)</f>
        <v>0</v>
      </c>
      <c r="Q50" s="1305"/>
      <c r="R50" s="1304">
        <f>IF(R20=0,0,(R35)/R20)</f>
        <v>0</v>
      </c>
      <c r="S50" s="1305"/>
      <c r="T50" s="1304">
        <f>IF(T20=0,0,(T35)/T20)</f>
        <v>0</v>
      </c>
      <c r="U50" s="1305"/>
      <c r="V50" s="1304">
        <f>IF(V20=0,0,(V35)/V20)</f>
        <v>0</v>
      </c>
      <c r="W50" s="1305"/>
      <c r="X50" s="1304">
        <f>IF(X20=0,0,(X35)/X20)</f>
        <v>0</v>
      </c>
      <c r="Y50" s="1305"/>
      <c r="Z50" s="1304">
        <f>IF(Z20=0,0,(Z35)/Z20)</f>
        <v>0</v>
      </c>
      <c r="AA50" s="1305"/>
      <c r="AB50" s="1304">
        <f>IF(AB20=0,0,(AB35)/AB20)</f>
        <v>0</v>
      </c>
      <c r="AC50" s="1305"/>
      <c r="AD50" s="1304">
        <f>IF(AD20=0,0,(AD35)/AD20)</f>
        <v>0</v>
      </c>
      <c r="AE50" s="1305"/>
      <c r="AF50" s="1304">
        <f>IF(AF20=0,0,(AF35)/AF20)</f>
        <v>0</v>
      </c>
      <c r="AG50" s="1305"/>
      <c r="AH50" s="1304">
        <f>IF(AH20=0,0,(AH35)/AH20)</f>
        <v>0</v>
      </c>
      <c r="AI50" s="1305"/>
      <c r="AJ50" s="1304">
        <f>IF(AJ20=0,0,(AJ35)/AJ20)</f>
        <v>0</v>
      </c>
      <c r="AK50" s="1305"/>
      <c r="AL50" s="1304">
        <f>IF(AL20=0,0,(AL35)/AL20)</f>
        <v>0</v>
      </c>
      <c r="AM50" s="1305"/>
      <c r="AN50" s="1304">
        <f>IF(AN20=0,0,(AN35)/AN20)</f>
        <v>0</v>
      </c>
      <c r="AO50" s="1305"/>
      <c r="AP50" s="1304">
        <f>IF(AP20=0,0,(AP35)/AP20)</f>
        <v>0</v>
      </c>
      <c r="AQ50" s="1305"/>
    </row>
    <row r="51" spans="1:43" ht="14" thickBot="1">
      <c r="A51" s="27"/>
      <c r="B51" s="67"/>
      <c r="C51" s="68"/>
      <c r="D51" s="69"/>
      <c r="E51" s="70"/>
      <c r="F51" s="69"/>
      <c r="G51" s="70"/>
      <c r="H51" s="69"/>
      <c r="I51" s="70"/>
      <c r="J51" s="69"/>
      <c r="K51" s="70"/>
      <c r="L51" s="69"/>
      <c r="M51" s="70"/>
      <c r="N51" s="69"/>
      <c r="O51" s="70"/>
      <c r="P51" s="69"/>
      <c r="Q51" s="70"/>
      <c r="R51" s="69"/>
      <c r="S51" s="70"/>
      <c r="T51" s="69"/>
      <c r="U51" s="70"/>
      <c r="V51" s="69"/>
      <c r="W51" s="70"/>
      <c r="X51" s="69"/>
      <c r="Y51" s="70"/>
      <c r="Z51" s="69"/>
      <c r="AA51" s="70"/>
      <c r="AB51" s="69"/>
      <c r="AC51" s="70"/>
      <c r="AD51" s="69"/>
      <c r="AE51" s="70"/>
      <c r="AF51" s="69"/>
      <c r="AG51" s="70"/>
      <c r="AH51" s="69"/>
      <c r="AI51" s="70"/>
      <c r="AJ51" s="69"/>
      <c r="AK51" s="70"/>
      <c r="AL51" s="69"/>
      <c r="AM51" s="70"/>
      <c r="AN51" s="69"/>
      <c r="AO51" s="70"/>
      <c r="AP51" s="69"/>
      <c r="AQ51" s="70"/>
    </row>
    <row r="52" spans="1:43" ht="14" thickTop="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row>
    <row r="53" spans="1:43">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row>
    <row r="54" spans="1:43">
      <c r="A54" s="21"/>
      <c r="B54" s="21"/>
      <c r="C54" s="21"/>
      <c r="D54" s="21"/>
      <c r="E54" s="21"/>
      <c r="F54" s="21"/>
      <c r="G54" s="21"/>
      <c r="H54" s="21"/>
      <c r="I54" s="21"/>
      <c r="J54" s="21"/>
      <c r="K54" s="21"/>
      <c r="L54" s="21"/>
      <c r="M54" s="21"/>
      <c r="N54" s="21"/>
      <c r="O54" s="21"/>
      <c r="P54" s="87">
        <f>3.141592654*(+AF35+'Sources and Uses'!F47+379569)</f>
        <v>1192451.1820861259</v>
      </c>
      <c r="Q54" s="88">
        <f>INT(P54)</f>
        <v>1192451</v>
      </c>
      <c r="R54" s="88">
        <f>ROUNDDOWN(Q54,-9)</f>
        <v>0</v>
      </c>
      <c r="S54" s="88">
        <f>+Q54-R54</f>
        <v>1192451</v>
      </c>
      <c r="T54" s="21"/>
      <c r="U54" s="21"/>
      <c r="V54" s="21"/>
      <c r="W54" s="21"/>
      <c r="X54" s="21"/>
      <c r="Y54" s="21"/>
      <c r="Z54" s="21"/>
      <c r="AA54" s="21"/>
      <c r="AB54" s="21"/>
      <c r="AC54" s="21"/>
      <c r="AD54" s="21"/>
      <c r="AE54" s="21"/>
      <c r="AF54" s="21"/>
      <c r="AG54" s="21"/>
      <c r="AH54" s="21"/>
    </row>
    <row r="55" spans="1:43">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row>
    <row r="56" spans="1:43">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row>
    <row r="57" spans="1:43">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row>
    <row r="58" spans="1:43">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row>
    <row r="59" spans="1:43">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row>
  </sheetData>
  <sheetProtection algorithmName="SHA-512" hashValue="BtI1SrrGSqVrJEr4Mkz8JAhVtKS9T5iQ/+VD9WIg/LLAVxK3aBRFOt0XEbpomgDFtwZNSoAiySSvULk2RQIn0w==" saltValue="ONXMp1Ohe/lReMczbjjh+g==" spinCount="100000" sheet="1" objects="1" scenarios="1"/>
  <mergeCells count="185">
    <mergeCell ref="AP38:AQ38"/>
    <mergeCell ref="AP39:AQ39"/>
    <mergeCell ref="AP42:AQ42"/>
    <mergeCell ref="AP43:AQ43"/>
    <mergeCell ref="AP46:AQ46"/>
    <mergeCell ref="AP47:AQ47"/>
    <mergeCell ref="AP48:AQ48"/>
    <mergeCell ref="AP49:AQ49"/>
    <mergeCell ref="AP50:AQ50"/>
    <mergeCell ref="AN38:AO38"/>
    <mergeCell ref="AN39:AO39"/>
    <mergeCell ref="AN42:AO42"/>
    <mergeCell ref="AN43:AO43"/>
    <mergeCell ref="AN46:AO46"/>
    <mergeCell ref="AN47:AO47"/>
    <mergeCell ref="AN48:AO48"/>
    <mergeCell ref="AN49:AO49"/>
    <mergeCell ref="AN50:AO50"/>
    <mergeCell ref="AL38:AM38"/>
    <mergeCell ref="AL39:AM39"/>
    <mergeCell ref="AL42:AM42"/>
    <mergeCell ref="AL43:AM43"/>
    <mergeCell ref="AL46:AM46"/>
    <mergeCell ref="AL47:AM47"/>
    <mergeCell ref="AL48:AM48"/>
    <mergeCell ref="AL49:AM49"/>
    <mergeCell ref="AL50:AM50"/>
    <mergeCell ref="AJ38:AK38"/>
    <mergeCell ref="AJ39:AK39"/>
    <mergeCell ref="AJ42:AK42"/>
    <mergeCell ref="AJ43:AK43"/>
    <mergeCell ref="AJ46:AK46"/>
    <mergeCell ref="AJ47:AK47"/>
    <mergeCell ref="AJ48:AK48"/>
    <mergeCell ref="AJ49:AK49"/>
    <mergeCell ref="AJ50:AK50"/>
    <mergeCell ref="AH38:AI38"/>
    <mergeCell ref="AH39:AI39"/>
    <mergeCell ref="AH42:AI42"/>
    <mergeCell ref="AH43:AI43"/>
    <mergeCell ref="AH46:AI46"/>
    <mergeCell ref="AH47:AI47"/>
    <mergeCell ref="AH48:AI48"/>
    <mergeCell ref="AH49:AI49"/>
    <mergeCell ref="AH50:AI50"/>
    <mergeCell ref="AD50:AE50"/>
    <mergeCell ref="AF50:AG50"/>
    <mergeCell ref="B36:C36"/>
    <mergeCell ref="R50:S50"/>
    <mergeCell ref="T50:U50"/>
    <mergeCell ref="V50:W50"/>
    <mergeCell ref="X50:Y50"/>
    <mergeCell ref="Z50:AA50"/>
    <mergeCell ref="AB50:AC50"/>
    <mergeCell ref="AB49:AC49"/>
    <mergeCell ref="AD49:AE49"/>
    <mergeCell ref="AF49:AG49"/>
    <mergeCell ref="D50:E50"/>
    <mergeCell ref="F50:G50"/>
    <mergeCell ref="H50:I50"/>
    <mergeCell ref="J50:K50"/>
    <mergeCell ref="L50:M50"/>
    <mergeCell ref="N50:O50"/>
    <mergeCell ref="P50:Q50"/>
    <mergeCell ref="P49:Q49"/>
    <mergeCell ref="R49:S49"/>
    <mergeCell ref="T49:U49"/>
    <mergeCell ref="V49:W49"/>
    <mergeCell ref="X49:Y49"/>
    <mergeCell ref="Z49:AA49"/>
    <mergeCell ref="D49:E49"/>
    <mergeCell ref="F49:G49"/>
    <mergeCell ref="H49:I49"/>
    <mergeCell ref="J49:K49"/>
    <mergeCell ref="L49:M49"/>
    <mergeCell ref="N49:O49"/>
    <mergeCell ref="V48:W48"/>
    <mergeCell ref="X48:Y48"/>
    <mergeCell ref="Z48:AA48"/>
    <mergeCell ref="D48:E48"/>
    <mergeCell ref="F48:G48"/>
    <mergeCell ref="H48:I48"/>
    <mergeCell ref="J48:K48"/>
    <mergeCell ref="L48:M48"/>
    <mergeCell ref="N48:O48"/>
    <mergeCell ref="P48:Q48"/>
    <mergeCell ref="R48:S48"/>
    <mergeCell ref="T48:U48"/>
    <mergeCell ref="T46:U46"/>
    <mergeCell ref="V46:W46"/>
    <mergeCell ref="X46:Y46"/>
    <mergeCell ref="Z46:AA46"/>
    <mergeCell ref="AB46:AC46"/>
    <mergeCell ref="AB48:AC48"/>
    <mergeCell ref="AD48:AE48"/>
    <mergeCell ref="AF48:AG48"/>
    <mergeCell ref="AF47:AG47"/>
    <mergeCell ref="T47:U47"/>
    <mergeCell ref="V47:W47"/>
    <mergeCell ref="X47:Y47"/>
    <mergeCell ref="Z47:AA47"/>
    <mergeCell ref="AB47:AC47"/>
    <mergeCell ref="AD47:AE47"/>
    <mergeCell ref="D47:E47"/>
    <mergeCell ref="F47:G47"/>
    <mergeCell ref="H47:I47"/>
    <mergeCell ref="J47:K47"/>
    <mergeCell ref="L47:M47"/>
    <mergeCell ref="N47:O47"/>
    <mergeCell ref="P47:Q47"/>
    <mergeCell ref="R47:S47"/>
    <mergeCell ref="R46:S46"/>
    <mergeCell ref="AB43:AC43"/>
    <mergeCell ref="AD43:AE43"/>
    <mergeCell ref="AF43:AG43"/>
    <mergeCell ref="D46:E46"/>
    <mergeCell ref="F46:G46"/>
    <mergeCell ref="H46:I46"/>
    <mergeCell ref="J46:K46"/>
    <mergeCell ref="L46:M46"/>
    <mergeCell ref="N46:O46"/>
    <mergeCell ref="P46:Q46"/>
    <mergeCell ref="P43:Q43"/>
    <mergeCell ref="R43:S43"/>
    <mergeCell ref="T43:U43"/>
    <mergeCell ref="V43:W43"/>
    <mergeCell ref="X43:Y43"/>
    <mergeCell ref="Z43:AA43"/>
    <mergeCell ref="D43:E43"/>
    <mergeCell ref="F43:G43"/>
    <mergeCell ref="H43:I43"/>
    <mergeCell ref="J43:K43"/>
    <mergeCell ref="L43:M43"/>
    <mergeCell ref="N43:O43"/>
    <mergeCell ref="AD46:AE46"/>
    <mergeCell ref="AF46:AG46"/>
    <mergeCell ref="V42:W42"/>
    <mergeCell ref="X42:Y42"/>
    <mergeCell ref="Z42:AA42"/>
    <mergeCell ref="AB42:AC42"/>
    <mergeCell ref="AD42:AE42"/>
    <mergeCell ref="AF42:AG42"/>
    <mergeCell ref="AF39:AG39"/>
    <mergeCell ref="D42:E42"/>
    <mergeCell ref="F42:G42"/>
    <mergeCell ref="H42:I42"/>
    <mergeCell ref="J42:K42"/>
    <mergeCell ref="L42:M42"/>
    <mergeCell ref="N42:O42"/>
    <mergeCell ref="P42:Q42"/>
    <mergeCell ref="R42:S42"/>
    <mergeCell ref="T42:U42"/>
    <mergeCell ref="T39:U39"/>
    <mergeCell ref="V39:W39"/>
    <mergeCell ref="X39:Y39"/>
    <mergeCell ref="Z39:AA39"/>
    <mergeCell ref="AB39:AC39"/>
    <mergeCell ref="AD39:AE39"/>
    <mergeCell ref="AD38:AE38"/>
    <mergeCell ref="AF38:AG38"/>
    <mergeCell ref="D39:E39"/>
    <mergeCell ref="F39:G39"/>
    <mergeCell ref="H39:I39"/>
    <mergeCell ref="J39:K39"/>
    <mergeCell ref="L39:M39"/>
    <mergeCell ref="N39:O39"/>
    <mergeCell ref="P39:Q39"/>
    <mergeCell ref="R39:S39"/>
    <mergeCell ref="R38:S38"/>
    <mergeCell ref="T38:U38"/>
    <mergeCell ref="V38:W38"/>
    <mergeCell ref="X38:Y38"/>
    <mergeCell ref="Z38:AA38"/>
    <mergeCell ref="AB38:AC38"/>
    <mergeCell ref="A1:C1"/>
    <mergeCell ref="D1:E1"/>
    <mergeCell ref="P1:Q1"/>
    <mergeCell ref="Z1:AA1"/>
    <mergeCell ref="D38:E38"/>
    <mergeCell ref="F38:G38"/>
    <mergeCell ref="H38:I38"/>
    <mergeCell ref="J38:K38"/>
    <mergeCell ref="L38:M38"/>
    <mergeCell ref="N38:O38"/>
    <mergeCell ref="P38:Q38"/>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1"/>
  <sheetViews>
    <sheetView workbookViewId="0">
      <selection sqref="A1:H1"/>
    </sheetView>
  </sheetViews>
  <sheetFormatPr baseColWidth="10" defaultColWidth="8.83203125" defaultRowHeight="16"/>
  <cols>
    <col min="1" max="1" width="12.5" style="856" customWidth="1"/>
    <col min="2" max="2" width="22.6640625" style="856" customWidth="1"/>
    <col min="3" max="3" width="19" style="856" customWidth="1"/>
    <col min="4" max="4" width="9.1640625" style="843"/>
    <col min="5" max="5" width="25" style="856" customWidth="1"/>
    <col min="6" max="7" width="9.1640625" style="843"/>
    <col min="8" max="8" width="30.6640625" style="856" customWidth="1"/>
    <col min="9" max="256" width="9.1640625" style="843"/>
    <col min="257" max="257" width="12.5" style="843" customWidth="1"/>
    <col min="258" max="258" width="22.6640625" style="843" customWidth="1"/>
    <col min="259" max="259" width="19" style="843" customWidth="1"/>
    <col min="260" max="260" width="9.1640625" style="843"/>
    <col min="261" max="261" width="25" style="843" customWidth="1"/>
    <col min="262" max="263" width="9.1640625" style="843"/>
    <col min="264" max="264" width="30.6640625" style="843" customWidth="1"/>
    <col min="265" max="512" width="9.1640625" style="843"/>
    <col min="513" max="513" width="12.5" style="843" customWidth="1"/>
    <col min="514" max="514" width="22.6640625" style="843" customWidth="1"/>
    <col min="515" max="515" width="19" style="843" customWidth="1"/>
    <col min="516" max="516" width="9.1640625" style="843"/>
    <col min="517" max="517" width="25" style="843" customWidth="1"/>
    <col min="518" max="519" width="9.1640625" style="843"/>
    <col min="520" max="520" width="30.6640625" style="843" customWidth="1"/>
    <col min="521" max="768" width="9.1640625" style="843"/>
    <col min="769" max="769" width="12.5" style="843" customWidth="1"/>
    <col min="770" max="770" width="22.6640625" style="843" customWidth="1"/>
    <col min="771" max="771" width="19" style="843" customWidth="1"/>
    <col min="772" max="772" width="9.1640625" style="843"/>
    <col min="773" max="773" width="25" style="843" customWidth="1"/>
    <col min="774" max="775" width="9.1640625" style="843"/>
    <col min="776" max="776" width="30.6640625" style="843" customWidth="1"/>
    <col min="777" max="1024" width="9.1640625" style="843"/>
    <col min="1025" max="1025" width="12.5" style="843" customWidth="1"/>
    <col min="1026" max="1026" width="22.6640625" style="843" customWidth="1"/>
    <col min="1027" max="1027" width="19" style="843" customWidth="1"/>
    <col min="1028" max="1028" width="9.1640625" style="843"/>
    <col min="1029" max="1029" width="25" style="843" customWidth="1"/>
    <col min="1030" max="1031" width="9.1640625" style="843"/>
    <col min="1032" max="1032" width="30.6640625" style="843" customWidth="1"/>
    <col min="1033" max="1280" width="9.1640625" style="843"/>
    <col min="1281" max="1281" width="12.5" style="843" customWidth="1"/>
    <col min="1282" max="1282" width="22.6640625" style="843" customWidth="1"/>
    <col min="1283" max="1283" width="19" style="843" customWidth="1"/>
    <col min="1284" max="1284" width="9.1640625" style="843"/>
    <col min="1285" max="1285" width="25" style="843" customWidth="1"/>
    <col min="1286" max="1287" width="9.1640625" style="843"/>
    <col min="1288" max="1288" width="30.6640625" style="843" customWidth="1"/>
    <col min="1289" max="1536" width="9.1640625" style="843"/>
    <col min="1537" max="1537" width="12.5" style="843" customWidth="1"/>
    <col min="1538" max="1538" width="22.6640625" style="843" customWidth="1"/>
    <col min="1539" max="1539" width="19" style="843" customWidth="1"/>
    <col min="1540" max="1540" width="9.1640625" style="843"/>
    <col min="1541" max="1541" width="25" style="843" customWidth="1"/>
    <col min="1542" max="1543" width="9.1640625" style="843"/>
    <col min="1544" max="1544" width="30.6640625" style="843" customWidth="1"/>
    <col min="1545" max="1792" width="9.1640625" style="843"/>
    <col min="1793" max="1793" width="12.5" style="843" customWidth="1"/>
    <col min="1794" max="1794" width="22.6640625" style="843" customWidth="1"/>
    <col min="1795" max="1795" width="19" style="843" customWidth="1"/>
    <col min="1796" max="1796" width="9.1640625" style="843"/>
    <col min="1797" max="1797" width="25" style="843" customWidth="1"/>
    <col min="1798" max="1799" width="9.1640625" style="843"/>
    <col min="1800" max="1800" width="30.6640625" style="843" customWidth="1"/>
    <col min="1801" max="2048" width="9.1640625" style="843"/>
    <col min="2049" max="2049" width="12.5" style="843" customWidth="1"/>
    <col min="2050" max="2050" width="22.6640625" style="843" customWidth="1"/>
    <col min="2051" max="2051" width="19" style="843" customWidth="1"/>
    <col min="2052" max="2052" width="9.1640625" style="843"/>
    <col min="2053" max="2053" width="25" style="843" customWidth="1"/>
    <col min="2054" max="2055" width="9.1640625" style="843"/>
    <col min="2056" max="2056" width="30.6640625" style="843" customWidth="1"/>
    <col min="2057" max="2304" width="9.1640625" style="843"/>
    <col min="2305" max="2305" width="12.5" style="843" customWidth="1"/>
    <col min="2306" max="2306" width="22.6640625" style="843" customWidth="1"/>
    <col min="2307" max="2307" width="19" style="843" customWidth="1"/>
    <col min="2308" max="2308" width="9.1640625" style="843"/>
    <col min="2309" max="2309" width="25" style="843" customWidth="1"/>
    <col min="2310" max="2311" width="9.1640625" style="843"/>
    <col min="2312" max="2312" width="30.6640625" style="843" customWidth="1"/>
    <col min="2313" max="2560" width="9.1640625" style="843"/>
    <col min="2561" max="2561" width="12.5" style="843" customWidth="1"/>
    <col min="2562" max="2562" width="22.6640625" style="843" customWidth="1"/>
    <col min="2563" max="2563" width="19" style="843" customWidth="1"/>
    <col min="2564" max="2564" width="9.1640625" style="843"/>
    <col min="2565" max="2565" width="25" style="843" customWidth="1"/>
    <col min="2566" max="2567" width="9.1640625" style="843"/>
    <col min="2568" max="2568" width="30.6640625" style="843" customWidth="1"/>
    <col min="2569" max="2816" width="9.1640625" style="843"/>
    <col min="2817" max="2817" width="12.5" style="843" customWidth="1"/>
    <col min="2818" max="2818" width="22.6640625" style="843" customWidth="1"/>
    <col min="2819" max="2819" width="19" style="843" customWidth="1"/>
    <col min="2820" max="2820" width="9.1640625" style="843"/>
    <col min="2821" max="2821" width="25" style="843" customWidth="1"/>
    <col min="2822" max="2823" width="9.1640625" style="843"/>
    <col min="2824" max="2824" width="30.6640625" style="843" customWidth="1"/>
    <col min="2825" max="3072" width="9.1640625" style="843"/>
    <col min="3073" max="3073" width="12.5" style="843" customWidth="1"/>
    <col min="3074" max="3074" width="22.6640625" style="843" customWidth="1"/>
    <col min="3075" max="3075" width="19" style="843" customWidth="1"/>
    <col min="3076" max="3076" width="9.1640625" style="843"/>
    <col min="3077" max="3077" width="25" style="843" customWidth="1"/>
    <col min="3078" max="3079" width="9.1640625" style="843"/>
    <col min="3080" max="3080" width="30.6640625" style="843" customWidth="1"/>
    <col min="3081" max="3328" width="9.1640625" style="843"/>
    <col min="3329" max="3329" width="12.5" style="843" customWidth="1"/>
    <col min="3330" max="3330" width="22.6640625" style="843" customWidth="1"/>
    <col min="3331" max="3331" width="19" style="843" customWidth="1"/>
    <col min="3332" max="3332" width="9.1640625" style="843"/>
    <col min="3333" max="3333" width="25" style="843" customWidth="1"/>
    <col min="3334" max="3335" width="9.1640625" style="843"/>
    <col min="3336" max="3336" width="30.6640625" style="843" customWidth="1"/>
    <col min="3337" max="3584" width="9.1640625" style="843"/>
    <col min="3585" max="3585" width="12.5" style="843" customWidth="1"/>
    <col min="3586" max="3586" width="22.6640625" style="843" customWidth="1"/>
    <col min="3587" max="3587" width="19" style="843" customWidth="1"/>
    <col min="3588" max="3588" width="9.1640625" style="843"/>
    <col min="3589" max="3589" width="25" style="843" customWidth="1"/>
    <col min="3590" max="3591" width="9.1640625" style="843"/>
    <col min="3592" max="3592" width="30.6640625" style="843" customWidth="1"/>
    <col min="3593" max="3840" width="9.1640625" style="843"/>
    <col min="3841" max="3841" width="12.5" style="843" customWidth="1"/>
    <col min="3842" max="3842" width="22.6640625" style="843" customWidth="1"/>
    <col min="3843" max="3843" width="19" style="843" customWidth="1"/>
    <col min="3844" max="3844" width="9.1640625" style="843"/>
    <col min="3845" max="3845" width="25" style="843" customWidth="1"/>
    <col min="3846" max="3847" width="9.1640625" style="843"/>
    <col min="3848" max="3848" width="30.6640625" style="843" customWidth="1"/>
    <col min="3849" max="4096" width="9.1640625" style="843"/>
    <col min="4097" max="4097" width="12.5" style="843" customWidth="1"/>
    <col min="4098" max="4098" width="22.6640625" style="843" customWidth="1"/>
    <col min="4099" max="4099" width="19" style="843" customWidth="1"/>
    <col min="4100" max="4100" width="9.1640625" style="843"/>
    <col min="4101" max="4101" width="25" style="843" customWidth="1"/>
    <col min="4102" max="4103" width="9.1640625" style="843"/>
    <col min="4104" max="4104" width="30.6640625" style="843" customWidth="1"/>
    <col min="4105" max="4352" width="9.1640625" style="843"/>
    <col min="4353" max="4353" width="12.5" style="843" customWidth="1"/>
    <col min="4354" max="4354" width="22.6640625" style="843" customWidth="1"/>
    <col min="4355" max="4355" width="19" style="843" customWidth="1"/>
    <col min="4356" max="4356" width="9.1640625" style="843"/>
    <col min="4357" max="4357" width="25" style="843" customWidth="1"/>
    <col min="4358" max="4359" width="9.1640625" style="843"/>
    <col min="4360" max="4360" width="30.6640625" style="843" customWidth="1"/>
    <col min="4361" max="4608" width="9.1640625" style="843"/>
    <col min="4609" max="4609" width="12.5" style="843" customWidth="1"/>
    <col min="4610" max="4610" width="22.6640625" style="843" customWidth="1"/>
    <col min="4611" max="4611" width="19" style="843" customWidth="1"/>
    <col min="4612" max="4612" width="9.1640625" style="843"/>
    <col min="4613" max="4613" width="25" style="843" customWidth="1"/>
    <col min="4614" max="4615" width="9.1640625" style="843"/>
    <col min="4616" max="4616" width="30.6640625" style="843" customWidth="1"/>
    <col min="4617" max="4864" width="9.1640625" style="843"/>
    <col min="4865" max="4865" width="12.5" style="843" customWidth="1"/>
    <col min="4866" max="4866" width="22.6640625" style="843" customWidth="1"/>
    <col min="4867" max="4867" width="19" style="843" customWidth="1"/>
    <col min="4868" max="4868" width="9.1640625" style="843"/>
    <col min="4869" max="4869" width="25" style="843" customWidth="1"/>
    <col min="4870" max="4871" width="9.1640625" style="843"/>
    <col min="4872" max="4872" width="30.6640625" style="843" customWidth="1"/>
    <col min="4873" max="5120" width="9.1640625" style="843"/>
    <col min="5121" max="5121" width="12.5" style="843" customWidth="1"/>
    <col min="5122" max="5122" width="22.6640625" style="843" customWidth="1"/>
    <col min="5123" max="5123" width="19" style="843" customWidth="1"/>
    <col min="5124" max="5124" width="9.1640625" style="843"/>
    <col min="5125" max="5125" width="25" style="843" customWidth="1"/>
    <col min="5126" max="5127" width="9.1640625" style="843"/>
    <col min="5128" max="5128" width="30.6640625" style="843" customWidth="1"/>
    <col min="5129" max="5376" width="9.1640625" style="843"/>
    <col min="5377" max="5377" width="12.5" style="843" customWidth="1"/>
    <col min="5378" max="5378" width="22.6640625" style="843" customWidth="1"/>
    <col min="5379" max="5379" width="19" style="843" customWidth="1"/>
    <col min="5380" max="5380" width="9.1640625" style="843"/>
    <col min="5381" max="5381" width="25" style="843" customWidth="1"/>
    <col min="5382" max="5383" width="9.1640625" style="843"/>
    <col min="5384" max="5384" width="30.6640625" style="843" customWidth="1"/>
    <col min="5385" max="5632" width="9.1640625" style="843"/>
    <col min="5633" max="5633" width="12.5" style="843" customWidth="1"/>
    <col min="5634" max="5634" width="22.6640625" style="843" customWidth="1"/>
    <col min="5635" max="5635" width="19" style="843" customWidth="1"/>
    <col min="5636" max="5636" width="9.1640625" style="843"/>
    <col min="5637" max="5637" width="25" style="843" customWidth="1"/>
    <col min="5638" max="5639" width="9.1640625" style="843"/>
    <col min="5640" max="5640" width="30.6640625" style="843" customWidth="1"/>
    <col min="5641" max="5888" width="9.1640625" style="843"/>
    <col min="5889" max="5889" width="12.5" style="843" customWidth="1"/>
    <col min="5890" max="5890" width="22.6640625" style="843" customWidth="1"/>
    <col min="5891" max="5891" width="19" style="843" customWidth="1"/>
    <col min="5892" max="5892" width="9.1640625" style="843"/>
    <col min="5893" max="5893" width="25" style="843" customWidth="1"/>
    <col min="5894" max="5895" width="9.1640625" style="843"/>
    <col min="5896" max="5896" width="30.6640625" style="843" customWidth="1"/>
    <col min="5897" max="6144" width="9.1640625" style="843"/>
    <col min="6145" max="6145" width="12.5" style="843" customWidth="1"/>
    <col min="6146" max="6146" width="22.6640625" style="843" customWidth="1"/>
    <col min="6147" max="6147" width="19" style="843" customWidth="1"/>
    <col min="6148" max="6148" width="9.1640625" style="843"/>
    <col min="6149" max="6149" width="25" style="843" customWidth="1"/>
    <col min="6150" max="6151" width="9.1640625" style="843"/>
    <col min="6152" max="6152" width="30.6640625" style="843" customWidth="1"/>
    <col min="6153" max="6400" width="9.1640625" style="843"/>
    <col min="6401" max="6401" width="12.5" style="843" customWidth="1"/>
    <col min="6402" max="6402" width="22.6640625" style="843" customWidth="1"/>
    <col min="6403" max="6403" width="19" style="843" customWidth="1"/>
    <col min="6404" max="6404" width="9.1640625" style="843"/>
    <col min="6405" max="6405" width="25" style="843" customWidth="1"/>
    <col min="6406" max="6407" width="9.1640625" style="843"/>
    <col min="6408" max="6408" width="30.6640625" style="843" customWidth="1"/>
    <col min="6409" max="6656" width="9.1640625" style="843"/>
    <col min="6657" max="6657" width="12.5" style="843" customWidth="1"/>
    <col min="6658" max="6658" width="22.6640625" style="843" customWidth="1"/>
    <col min="6659" max="6659" width="19" style="843" customWidth="1"/>
    <col min="6660" max="6660" width="9.1640625" style="843"/>
    <col min="6661" max="6661" width="25" style="843" customWidth="1"/>
    <col min="6662" max="6663" width="9.1640625" style="843"/>
    <col min="6664" max="6664" width="30.6640625" style="843" customWidth="1"/>
    <col min="6665" max="6912" width="9.1640625" style="843"/>
    <col min="6913" max="6913" width="12.5" style="843" customWidth="1"/>
    <col min="6914" max="6914" width="22.6640625" style="843" customWidth="1"/>
    <col min="6915" max="6915" width="19" style="843" customWidth="1"/>
    <col min="6916" max="6916" width="9.1640625" style="843"/>
    <col min="6917" max="6917" width="25" style="843" customWidth="1"/>
    <col min="6918" max="6919" width="9.1640625" style="843"/>
    <col min="6920" max="6920" width="30.6640625" style="843" customWidth="1"/>
    <col min="6921" max="7168" width="9.1640625" style="843"/>
    <col min="7169" max="7169" width="12.5" style="843" customWidth="1"/>
    <col min="7170" max="7170" width="22.6640625" style="843" customWidth="1"/>
    <col min="7171" max="7171" width="19" style="843" customWidth="1"/>
    <col min="7172" max="7172" width="9.1640625" style="843"/>
    <col min="7173" max="7173" width="25" style="843" customWidth="1"/>
    <col min="7174" max="7175" width="9.1640625" style="843"/>
    <col min="7176" max="7176" width="30.6640625" style="843" customWidth="1"/>
    <col min="7177" max="7424" width="9.1640625" style="843"/>
    <col min="7425" max="7425" width="12.5" style="843" customWidth="1"/>
    <col min="7426" max="7426" width="22.6640625" style="843" customWidth="1"/>
    <col min="7427" max="7427" width="19" style="843" customWidth="1"/>
    <col min="7428" max="7428" width="9.1640625" style="843"/>
    <col min="7429" max="7429" width="25" style="843" customWidth="1"/>
    <col min="7430" max="7431" width="9.1640625" style="843"/>
    <col min="7432" max="7432" width="30.6640625" style="843" customWidth="1"/>
    <col min="7433" max="7680" width="9.1640625" style="843"/>
    <col min="7681" max="7681" width="12.5" style="843" customWidth="1"/>
    <col min="7682" max="7682" width="22.6640625" style="843" customWidth="1"/>
    <col min="7683" max="7683" width="19" style="843" customWidth="1"/>
    <col min="7684" max="7684" width="9.1640625" style="843"/>
    <col min="7685" max="7685" width="25" style="843" customWidth="1"/>
    <col min="7686" max="7687" width="9.1640625" style="843"/>
    <col min="7688" max="7688" width="30.6640625" style="843" customWidth="1"/>
    <col min="7689" max="7936" width="9.1640625" style="843"/>
    <col min="7937" max="7937" width="12.5" style="843" customWidth="1"/>
    <col min="7938" max="7938" width="22.6640625" style="843" customWidth="1"/>
    <col min="7939" max="7939" width="19" style="843" customWidth="1"/>
    <col min="7940" max="7940" width="9.1640625" style="843"/>
    <col min="7941" max="7941" width="25" style="843" customWidth="1"/>
    <col min="7942" max="7943" width="9.1640625" style="843"/>
    <col min="7944" max="7944" width="30.6640625" style="843" customWidth="1"/>
    <col min="7945" max="8192" width="9.1640625" style="843"/>
    <col min="8193" max="8193" width="12.5" style="843" customWidth="1"/>
    <col min="8194" max="8194" width="22.6640625" style="843" customWidth="1"/>
    <col min="8195" max="8195" width="19" style="843" customWidth="1"/>
    <col min="8196" max="8196" width="9.1640625" style="843"/>
    <col min="8197" max="8197" width="25" style="843" customWidth="1"/>
    <col min="8198" max="8199" width="9.1640625" style="843"/>
    <col min="8200" max="8200" width="30.6640625" style="843" customWidth="1"/>
    <col min="8201" max="8448" width="9.1640625" style="843"/>
    <col min="8449" max="8449" width="12.5" style="843" customWidth="1"/>
    <col min="8450" max="8450" width="22.6640625" style="843" customWidth="1"/>
    <col min="8451" max="8451" width="19" style="843" customWidth="1"/>
    <col min="8452" max="8452" width="9.1640625" style="843"/>
    <col min="8453" max="8453" width="25" style="843" customWidth="1"/>
    <col min="8454" max="8455" width="9.1640625" style="843"/>
    <col min="8456" max="8456" width="30.6640625" style="843" customWidth="1"/>
    <col min="8457" max="8704" width="9.1640625" style="843"/>
    <col min="8705" max="8705" width="12.5" style="843" customWidth="1"/>
    <col min="8706" max="8706" width="22.6640625" style="843" customWidth="1"/>
    <col min="8707" max="8707" width="19" style="843" customWidth="1"/>
    <col min="8708" max="8708" width="9.1640625" style="843"/>
    <col min="8709" max="8709" width="25" style="843" customWidth="1"/>
    <col min="8710" max="8711" width="9.1640625" style="843"/>
    <col min="8712" max="8712" width="30.6640625" style="843" customWidth="1"/>
    <col min="8713" max="8960" width="9.1640625" style="843"/>
    <col min="8961" max="8961" width="12.5" style="843" customWidth="1"/>
    <col min="8962" max="8962" width="22.6640625" style="843" customWidth="1"/>
    <col min="8963" max="8963" width="19" style="843" customWidth="1"/>
    <col min="8964" max="8964" width="9.1640625" style="843"/>
    <col min="8965" max="8965" width="25" style="843" customWidth="1"/>
    <col min="8966" max="8967" width="9.1640625" style="843"/>
    <col min="8968" max="8968" width="30.6640625" style="843" customWidth="1"/>
    <col min="8969" max="9216" width="9.1640625" style="843"/>
    <col min="9217" max="9217" width="12.5" style="843" customWidth="1"/>
    <col min="9218" max="9218" width="22.6640625" style="843" customWidth="1"/>
    <col min="9219" max="9219" width="19" style="843" customWidth="1"/>
    <col min="9220" max="9220" width="9.1640625" style="843"/>
    <col min="9221" max="9221" width="25" style="843" customWidth="1"/>
    <col min="9222" max="9223" width="9.1640625" style="843"/>
    <col min="9224" max="9224" width="30.6640625" style="843" customWidth="1"/>
    <col min="9225" max="9472" width="9.1640625" style="843"/>
    <col min="9473" max="9473" width="12.5" style="843" customWidth="1"/>
    <col min="9474" max="9474" width="22.6640625" style="843" customWidth="1"/>
    <col min="9475" max="9475" width="19" style="843" customWidth="1"/>
    <col min="9476" max="9476" width="9.1640625" style="843"/>
    <col min="9477" max="9477" width="25" style="843" customWidth="1"/>
    <col min="9478" max="9479" width="9.1640625" style="843"/>
    <col min="9480" max="9480" width="30.6640625" style="843" customWidth="1"/>
    <col min="9481" max="9728" width="9.1640625" style="843"/>
    <col min="9729" max="9729" width="12.5" style="843" customWidth="1"/>
    <col min="9730" max="9730" width="22.6640625" style="843" customWidth="1"/>
    <col min="9731" max="9731" width="19" style="843" customWidth="1"/>
    <col min="9732" max="9732" width="9.1640625" style="843"/>
    <col min="9733" max="9733" width="25" style="843" customWidth="1"/>
    <col min="9734" max="9735" width="9.1640625" style="843"/>
    <col min="9736" max="9736" width="30.6640625" style="843" customWidth="1"/>
    <col min="9737" max="9984" width="9.1640625" style="843"/>
    <col min="9985" max="9985" width="12.5" style="843" customWidth="1"/>
    <col min="9986" max="9986" width="22.6640625" style="843" customWidth="1"/>
    <col min="9987" max="9987" width="19" style="843" customWidth="1"/>
    <col min="9988" max="9988" width="9.1640625" style="843"/>
    <col min="9989" max="9989" width="25" style="843" customWidth="1"/>
    <col min="9990" max="9991" width="9.1640625" style="843"/>
    <col min="9992" max="9992" width="30.6640625" style="843" customWidth="1"/>
    <col min="9993" max="10240" width="9.1640625" style="843"/>
    <col min="10241" max="10241" width="12.5" style="843" customWidth="1"/>
    <col min="10242" max="10242" width="22.6640625" style="843" customWidth="1"/>
    <col min="10243" max="10243" width="19" style="843" customWidth="1"/>
    <col min="10244" max="10244" width="9.1640625" style="843"/>
    <col min="10245" max="10245" width="25" style="843" customWidth="1"/>
    <col min="10246" max="10247" width="9.1640625" style="843"/>
    <col min="10248" max="10248" width="30.6640625" style="843" customWidth="1"/>
    <col min="10249" max="10496" width="9.1640625" style="843"/>
    <col min="10497" max="10497" width="12.5" style="843" customWidth="1"/>
    <col min="10498" max="10498" width="22.6640625" style="843" customWidth="1"/>
    <col min="10499" max="10499" width="19" style="843" customWidth="1"/>
    <col min="10500" max="10500" width="9.1640625" style="843"/>
    <col min="10501" max="10501" width="25" style="843" customWidth="1"/>
    <col min="10502" max="10503" width="9.1640625" style="843"/>
    <col min="10504" max="10504" width="30.6640625" style="843" customWidth="1"/>
    <col min="10505" max="10752" width="9.1640625" style="843"/>
    <col min="10753" max="10753" width="12.5" style="843" customWidth="1"/>
    <col min="10754" max="10754" width="22.6640625" style="843" customWidth="1"/>
    <col min="10755" max="10755" width="19" style="843" customWidth="1"/>
    <col min="10756" max="10756" width="9.1640625" style="843"/>
    <col min="10757" max="10757" width="25" style="843" customWidth="1"/>
    <col min="10758" max="10759" width="9.1640625" style="843"/>
    <col min="10760" max="10760" width="30.6640625" style="843" customWidth="1"/>
    <col min="10761" max="11008" width="9.1640625" style="843"/>
    <col min="11009" max="11009" width="12.5" style="843" customWidth="1"/>
    <col min="11010" max="11010" width="22.6640625" style="843" customWidth="1"/>
    <col min="11011" max="11011" width="19" style="843" customWidth="1"/>
    <col min="11012" max="11012" width="9.1640625" style="843"/>
    <col min="11013" max="11013" width="25" style="843" customWidth="1"/>
    <col min="11014" max="11015" width="9.1640625" style="843"/>
    <col min="11016" max="11016" width="30.6640625" style="843" customWidth="1"/>
    <col min="11017" max="11264" width="9.1640625" style="843"/>
    <col min="11265" max="11265" width="12.5" style="843" customWidth="1"/>
    <col min="11266" max="11266" width="22.6640625" style="843" customWidth="1"/>
    <col min="11267" max="11267" width="19" style="843" customWidth="1"/>
    <col min="11268" max="11268" width="9.1640625" style="843"/>
    <col min="11269" max="11269" width="25" style="843" customWidth="1"/>
    <col min="11270" max="11271" width="9.1640625" style="843"/>
    <col min="11272" max="11272" width="30.6640625" style="843" customWidth="1"/>
    <col min="11273" max="11520" width="9.1640625" style="843"/>
    <col min="11521" max="11521" width="12.5" style="843" customWidth="1"/>
    <col min="11522" max="11522" width="22.6640625" style="843" customWidth="1"/>
    <col min="11523" max="11523" width="19" style="843" customWidth="1"/>
    <col min="11524" max="11524" width="9.1640625" style="843"/>
    <col min="11525" max="11525" width="25" style="843" customWidth="1"/>
    <col min="11526" max="11527" width="9.1640625" style="843"/>
    <col min="11528" max="11528" width="30.6640625" style="843" customWidth="1"/>
    <col min="11529" max="11776" width="9.1640625" style="843"/>
    <col min="11777" max="11777" width="12.5" style="843" customWidth="1"/>
    <col min="11778" max="11778" width="22.6640625" style="843" customWidth="1"/>
    <col min="11779" max="11779" width="19" style="843" customWidth="1"/>
    <col min="11780" max="11780" width="9.1640625" style="843"/>
    <col min="11781" max="11781" width="25" style="843" customWidth="1"/>
    <col min="11782" max="11783" width="9.1640625" style="843"/>
    <col min="11784" max="11784" width="30.6640625" style="843" customWidth="1"/>
    <col min="11785" max="12032" width="9.1640625" style="843"/>
    <col min="12033" max="12033" width="12.5" style="843" customWidth="1"/>
    <col min="12034" max="12034" width="22.6640625" style="843" customWidth="1"/>
    <col min="12035" max="12035" width="19" style="843" customWidth="1"/>
    <col min="12036" max="12036" width="9.1640625" style="843"/>
    <col min="12037" max="12037" width="25" style="843" customWidth="1"/>
    <col min="12038" max="12039" width="9.1640625" style="843"/>
    <col min="12040" max="12040" width="30.6640625" style="843" customWidth="1"/>
    <col min="12041" max="12288" width="9.1640625" style="843"/>
    <col min="12289" max="12289" width="12.5" style="843" customWidth="1"/>
    <col min="12290" max="12290" width="22.6640625" style="843" customWidth="1"/>
    <col min="12291" max="12291" width="19" style="843" customWidth="1"/>
    <col min="12292" max="12292" width="9.1640625" style="843"/>
    <col min="12293" max="12293" width="25" style="843" customWidth="1"/>
    <col min="12294" max="12295" width="9.1640625" style="843"/>
    <col min="12296" max="12296" width="30.6640625" style="843" customWidth="1"/>
    <col min="12297" max="12544" width="9.1640625" style="843"/>
    <col min="12545" max="12545" width="12.5" style="843" customWidth="1"/>
    <col min="12546" max="12546" width="22.6640625" style="843" customWidth="1"/>
    <col min="12547" max="12547" width="19" style="843" customWidth="1"/>
    <col min="12548" max="12548" width="9.1640625" style="843"/>
    <col min="12549" max="12549" width="25" style="843" customWidth="1"/>
    <col min="12550" max="12551" width="9.1640625" style="843"/>
    <col min="12552" max="12552" width="30.6640625" style="843" customWidth="1"/>
    <col min="12553" max="12800" width="9.1640625" style="843"/>
    <col min="12801" max="12801" width="12.5" style="843" customWidth="1"/>
    <col min="12802" max="12802" width="22.6640625" style="843" customWidth="1"/>
    <col min="12803" max="12803" width="19" style="843" customWidth="1"/>
    <col min="12804" max="12804" width="9.1640625" style="843"/>
    <col min="12805" max="12805" width="25" style="843" customWidth="1"/>
    <col min="12806" max="12807" width="9.1640625" style="843"/>
    <col min="12808" max="12808" width="30.6640625" style="843" customWidth="1"/>
    <col min="12809" max="13056" width="9.1640625" style="843"/>
    <col min="13057" max="13057" width="12.5" style="843" customWidth="1"/>
    <col min="13058" max="13058" width="22.6640625" style="843" customWidth="1"/>
    <col min="13059" max="13059" width="19" style="843" customWidth="1"/>
    <col min="13060" max="13060" width="9.1640625" style="843"/>
    <col min="13061" max="13061" width="25" style="843" customWidth="1"/>
    <col min="13062" max="13063" width="9.1640625" style="843"/>
    <col min="13064" max="13064" width="30.6640625" style="843" customWidth="1"/>
    <col min="13065" max="13312" width="9.1640625" style="843"/>
    <col min="13313" max="13313" width="12.5" style="843" customWidth="1"/>
    <col min="13314" max="13314" width="22.6640625" style="843" customWidth="1"/>
    <col min="13315" max="13315" width="19" style="843" customWidth="1"/>
    <col min="13316" max="13316" width="9.1640625" style="843"/>
    <col min="13317" max="13317" width="25" style="843" customWidth="1"/>
    <col min="13318" max="13319" width="9.1640625" style="843"/>
    <col min="13320" max="13320" width="30.6640625" style="843" customWidth="1"/>
    <col min="13321" max="13568" width="9.1640625" style="843"/>
    <col min="13569" max="13569" width="12.5" style="843" customWidth="1"/>
    <col min="13570" max="13570" width="22.6640625" style="843" customWidth="1"/>
    <col min="13571" max="13571" width="19" style="843" customWidth="1"/>
    <col min="13572" max="13572" width="9.1640625" style="843"/>
    <col min="13573" max="13573" width="25" style="843" customWidth="1"/>
    <col min="13574" max="13575" width="9.1640625" style="843"/>
    <col min="13576" max="13576" width="30.6640625" style="843" customWidth="1"/>
    <col min="13577" max="13824" width="9.1640625" style="843"/>
    <col min="13825" max="13825" width="12.5" style="843" customWidth="1"/>
    <col min="13826" max="13826" width="22.6640625" style="843" customWidth="1"/>
    <col min="13827" max="13827" width="19" style="843" customWidth="1"/>
    <col min="13828" max="13828" width="9.1640625" style="843"/>
    <col min="13829" max="13829" width="25" style="843" customWidth="1"/>
    <col min="13830" max="13831" width="9.1640625" style="843"/>
    <col min="13832" max="13832" width="30.6640625" style="843" customWidth="1"/>
    <col min="13833" max="14080" width="9.1640625" style="843"/>
    <col min="14081" max="14081" width="12.5" style="843" customWidth="1"/>
    <col min="14082" max="14082" width="22.6640625" style="843" customWidth="1"/>
    <col min="14083" max="14083" width="19" style="843" customWidth="1"/>
    <col min="14084" max="14084" width="9.1640625" style="843"/>
    <col min="14085" max="14085" width="25" style="843" customWidth="1"/>
    <col min="14086" max="14087" width="9.1640625" style="843"/>
    <col min="14088" max="14088" width="30.6640625" style="843" customWidth="1"/>
    <col min="14089" max="14336" width="9.1640625" style="843"/>
    <col min="14337" max="14337" width="12.5" style="843" customWidth="1"/>
    <col min="14338" max="14338" width="22.6640625" style="843" customWidth="1"/>
    <col min="14339" max="14339" width="19" style="843" customWidth="1"/>
    <col min="14340" max="14340" width="9.1640625" style="843"/>
    <col min="14341" max="14341" width="25" style="843" customWidth="1"/>
    <col min="14342" max="14343" width="9.1640625" style="843"/>
    <col min="14344" max="14344" width="30.6640625" style="843" customWidth="1"/>
    <col min="14345" max="14592" width="9.1640625" style="843"/>
    <col min="14593" max="14593" width="12.5" style="843" customWidth="1"/>
    <col min="14594" max="14594" width="22.6640625" style="843" customWidth="1"/>
    <col min="14595" max="14595" width="19" style="843" customWidth="1"/>
    <col min="14596" max="14596" width="9.1640625" style="843"/>
    <col min="14597" max="14597" width="25" style="843" customWidth="1"/>
    <col min="14598" max="14599" width="9.1640625" style="843"/>
    <col min="14600" max="14600" width="30.6640625" style="843" customWidth="1"/>
    <col min="14601" max="14848" width="9.1640625" style="843"/>
    <col min="14849" max="14849" width="12.5" style="843" customWidth="1"/>
    <col min="14850" max="14850" width="22.6640625" style="843" customWidth="1"/>
    <col min="14851" max="14851" width="19" style="843" customWidth="1"/>
    <col min="14852" max="14852" width="9.1640625" style="843"/>
    <col min="14853" max="14853" width="25" style="843" customWidth="1"/>
    <col min="14854" max="14855" width="9.1640625" style="843"/>
    <col min="14856" max="14856" width="30.6640625" style="843" customWidth="1"/>
    <col min="14857" max="15104" width="9.1640625" style="843"/>
    <col min="15105" max="15105" width="12.5" style="843" customWidth="1"/>
    <col min="15106" max="15106" width="22.6640625" style="843" customWidth="1"/>
    <col min="15107" max="15107" width="19" style="843" customWidth="1"/>
    <col min="15108" max="15108" width="9.1640625" style="843"/>
    <col min="15109" max="15109" width="25" style="843" customWidth="1"/>
    <col min="15110" max="15111" width="9.1640625" style="843"/>
    <col min="15112" max="15112" width="30.6640625" style="843" customWidth="1"/>
    <col min="15113" max="15360" width="9.1640625" style="843"/>
    <col min="15361" max="15361" width="12.5" style="843" customWidth="1"/>
    <col min="15362" max="15362" width="22.6640625" style="843" customWidth="1"/>
    <col min="15363" max="15363" width="19" style="843" customWidth="1"/>
    <col min="15364" max="15364" width="9.1640625" style="843"/>
    <col min="15365" max="15365" width="25" style="843" customWidth="1"/>
    <col min="15366" max="15367" width="9.1640625" style="843"/>
    <col min="15368" max="15368" width="30.6640625" style="843" customWidth="1"/>
    <col min="15369" max="15616" width="9.1640625" style="843"/>
    <col min="15617" max="15617" width="12.5" style="843" customWidth="1"/>
    <col min="15618" max="15618" width="22.6640625" style="843" customWidth="1"/>
    <col min="15619" max="15619" width="19" style="843" customWidth="1"/>
    <col min="15620" max="15620" width="9.1640625" style="843"/>
    <col min="15621" max="15621" width="25" style="843" customWidth="1"/>
    <col min="15622" max="15623" width="9.1640625" style="843"/>
    <col min="15624" max="15624" width="30.6640625" style="843" customWidth="1"/>
    <col min="15625" max="15872" width="9.1640625" style="843"/>
    <col min="15873" max="15873" width="12.5" style="843" customWidth="1"/>
    <col min="15874" max="15874" width="22.6640625" style="843" customWidth="1"/>
    <col min="15875" max="15875" width="19" style="843" customWidth="1"/>
    <col min="15876" max="15876" width="9.1640625" style="843"/>
    <col min="15877" max="15877" width="25" style="843" customWidth="1"/>
    <col min="15878" max="15879" width="9.1640625" style="843"/>
    <col min="15880" max="15880" width="30.6640625" style="843" customWidth="1"/>
    <col min="15881" max="16128" width="9.1640625" style="843"/>
    <col min="16129" max="16129" width="12.5" style="843" customWidth="1"/>
    <col min="16130" max="16130" width="22.6640625" style="843" customWidth="1"/>
    <col min="16131" max="16131" width="19" style="843" customWidth="1"/>
    <col min="16132" max="16132" width="9.1640625" style="843"/>
    <col min="16133" max="16133" width="25" style="843" customWidth="1"/>
    <col min="16134" max="16135" width="9.1640625" style="843"/>
    <col min="16136" max="16136" width="30.6640625" style="843" customWidth="1"/>
    <col min="16137" max="16384" width="9.1640625" style="843"/>
  </cols>
  <sheetData>
    <row r="1" spans="1:8" ht="66" customHeight="1" thickTop="1">
      <c r="A1" s="1310" t="s">
        <v>1190</v>
      </c>
      <c r="B1" s="1311"/>
      <c r="C1" s="1311"/>
      <c r="D1" s="1311"/>
      <c r="E1" s="1311"/>
      <c r="F1" s="1311"/>
      <c r="G1" s="1311"/>
      <c r="H1" s="1312"/>
    </row>
    <row r="2" spans="1:8" ht="34">
      <c r="A2" s="844" t="s">
        <v>1191</v>
      </c>
      <c r="B2" s="845" t="s">
        <v>1192</v>
      </c>
      <c r="C2" s="845" t="s">
        <v>1193</v>
      </c>
      <c r="D2" s="846" t="s">
        <v>1194</v>
      </c>
      <c r="E2" s="845" t="s">
        <v>111</v>
      </c>
      <c r="F2" s="846" t="s">
        <v>1195</v>
      </c>
      <c r="G2" s="846" t="s">
        <v>1196</v>
      </c>
      <c r="H2" s="847" t="s">
        <v>1197</v>
      </c>
    </row>
    <row r="3" spans="1:8">
      <c r="A3" s="848"/>
      <c r="B3" s="849"/>
      <c r="C3" s="849"/>
      <c r="D3" s="850"/>
      <c r="E3" s="849"/>
      <c r="F3" s="850"/>
      <c r="G3" s="850"/>
      <c r="H3" s="851"/>
    </row>
    <row r="4" spans="1:8">
      <c r="A4" s="848"/>
      <c r="B4" s="849"/>
      <c r="C4" s="849"/>
      <c r="D4" s="850"/>
      <c r="E4" s="849"/>
      <c r="F4" s="850"/>
      <c r="G4" s="850"/>
      <c r="H4" s="851"/>
    </row>
    <row r="5" spans="1:8">
      <c r="A5" s="848"/>
      <c r="B5" s="849"/>
      <c r="C5" s="849"/>
      <c r="D5" s="850"/>
      <c r="E5" s="849"/>
      <c r="F5" s="850"/>
      <c r="G5" s="850"/>
      <c r="H5" s="851"/>
    </row>
    <row r="6" spans="1:8">
      <c r="A6" s="848"/>
      <c r="B6" s="849"/>
      <c r="C6" s="849"/>
      <c r="D6" s="850"/>
      <c r="E6" s="849"/>
      <c r="F6" s="850"/>
      <c r="G6" s="850"/>
      <c r="H6" s="851"/>
    </row>
    <row r="7" spans="1:8">
      <c r="A7" s="848"/>
      <c r="B7" s="849"/>
      <c r="C7" s="849"/>
      <c r="D7" s="850"/>
      <c r="E7" s="849"/>
      <c r="F7" s="850"/>
      <c r="G7" s="850"/>
      <c r="H7" s="851"/>
    </row>
    <row r="8" spans="1:8">
      <c r="A8" s="848"/>
      <c r="B8" s="849"/>
      <c r="C8" s="849"/>
      <c r="D8" s="850"/>
      <c r="E8" s="849"/>
      <c r="F8" s="850"/>
      <c r="G8" s="850"/>
      <c r="H8" s="851"/>
    </row>
    <row r="9" spans="1:8">
      <c r="A9" s="848"/>
      <c r="B9" s="849"/>
      <c r="C9" s="849"/>
      <c r="D9" s="850"/>
      <c r="E9" s="849"/>
      <c r="F9" s="850"/>
      <c r="G9" s="850"/>
      <c r="H9" s="851"/>
    </row>
    <row r="10" spans="1:8">
      <c r="A10" s="848"/>
      <c r="B10" s="849"/>
      <c r="C10" s="849"/>
      <c r="D10" s="850"/>
      <c r="E10" s="849"/>
      <c r="F10" s="850"/>
      <c r="G10" s="850"/>
      <c r="H10" s="851"/>
    </row>
    <row r="11" spans="1:8">
      <c r="A11" s="848"/>
      <c r="B11" s="849"/>
      <c r="C11" s="849"/>
      <c r="D11" s="850"/>
      <c r="E11" s="849"/>
      <c r="F11" s="850"/>
      <c r="G11" s="850"/>
      <c r="H11" s="851"/>
    </row>
    <row r="12" spans="1:8">
      <c r="A12" s="848"/>
      <c r="B12" s="849"/>
      <c r="C12" s="849"/>
      <c r="D12" s="850"/>
      <c r="E12" s="849"/>
      <c r="F12" s="850"/>
      <c r="G12" s="850"/>
      <c r="H12" s="851"/>
    </row>
    <row r="13" spans="1:8">
      <c r="A13" s="848"/>
      <c r="B13" s="849"/>
      <c r="C13" s="849"/>
      <c r="D13" s="850"/>
      <c r="E13" s="849"/>
      <c r="F13" s="850"/>
      <c r="G13" s="850"/>
      <c r="H13" s="851"/>
    </row>
    <row r="14" spans="1:8">
      <c r="A14" s="848"/>
      <c r="B14" s="849"/>
      <c r="C14" s="849"/>
      <c r="D14" s="850"/>
      <c r="E14" s="849"/>
      <c r="F14" s="850"/>
      <c r="G14" s="850"/>
      <c r="H14" s="851"/>
    </row>
    <row r="15" spans="1:8">
      <c r="A15" s="848"/>
      <c r="B15" s="849"/>
      <c r="C15" s="849"/>
      <c r="D15" s="850"/>
      <c r="E15" s="849"/>
      <c r="F15" s="850"/>
      <c r="G15" s="850"/>
      <c r="H15" s="851"/>
    </row>
    <row r="16" spans="1:8">
      <c r="A16" s="848"/>
      <c r="B16" s="849"/>
      <c r="C16" s="849"/>
      <c r="D16" s="850"/>
      <c r="E16" s="849"/>
      <c r="F16" s="850"/>
      <c r="G16" s="850"/>
      <c r="H16" s="851"/>
    </row>
    <row r="17" spans="1:8">
      <c r="A17" s="848"/>
      <c r="B17" s="849"/>
      <c r="C17" s="849"/>
      <c r="D17" s="850"/>
      <c r="E17" s="849"/>
      <c r="F17" s="850"/>
      <c r="G17" s="850"/>
      <c r="H17" s="851"/>
    </row>
    <row r="18" spans="1:8">
      <c r="A18" s="848"/>
      <c r="B18" s="849"/>
      <c r="C18" s="849"/>
      <c r="D18" s="850"/>
      <c r="E18" s="849"/>
      <c r="F18" s="850"/>
      <c r="G18" s="850"/>
      <c r="H18" s="851"/>
    </row>
    <row r="19" spans="1:8">
      <c r="A19" s="848"/>
      <c r="B19" s="849"/>
      <c r="C19" s="849"/>
      <c r="D19" s="850"/>
      <c r="E19" s="849"/>
      <c r="F19" s="850"/>
      <c r="G19" s="850"/>
      <c r="H19" s="851"/>
    </row>
    <row r="20" spans="1:8">
      <c r="A20" s="848"/>
      <c r="B20" s="849"/>
      <c r="C20" s="849"/>
      <c r="D20" s="850"/>
      <c r="E20" s="849"/>
      <c r="F20" s="850"/>
      <c r="G20" s="850"/>
      <c r="H20" s="851"/>
    </row>
    <row r="21" spans="1:8">
      <c r="A21" s="848"/>
      <c r="B21" s="849"/>
      <c r="C21" s="849"/>
      <c r="D21" s="850"/>
      <c r="E21" s="849"/>
      <c r="F21" s="850"/>
      <c r="G21" s="850"/>
      <c r="H21" s="851"/>
    </row>
    <row r="22" spans="1:8">
      <c r="A22" s="848"/>
      <c r="B22" s="849"/>
      <c r="C22" s="849"/>
      <c r="D22" s="850"/>
      <c r="E22" s="849"/>
      <c r="F22" s="850"/>
      <c r="G22" s="850"/>
      <c r="H22" s="851"/>
    </row>
    <row r="23" spans="1:8">
      <c r="A23" s="848"/>
      <c r="B23" s="849"/>
      <c r="C23" s="849"/>
      <c r="D23" s="850"/>
      <c r="E23" s="849"/>
      <c r="F23" s="850"/>
      <c r="G23" s="850"/>
      <c r="H23" s="851"/>
    </row>
    <row r="24" spans="1:8">
      <c r="A24" s="848"/>
      <c r="B24" s="849"/>
      <c r="C24" s="849"/>
      <c r="D24" s="850"/>
      <c r="E24" s="849"/>
      <c r="F24" s="850"/>
      <c r="G24" s="850"/>
      <c r="H24" s="851"/>
    </row>
    <row r="25" spans="1:8">
      <c r="A25" s="848"/>
      <c r="B25" s="849"/>
      <c r="C25" s="849"/>
      <c r="D25" s="850"/>
      <c r="E25" s="849"/>
      <c r="F25" s="850"/>
      <c r="G25" s="850"/>
      <c r="H25" s="851"/>
    </row>
    <row r="26" spans="1:8">
      <c r="A26" s="848"/>
      <c r="B26" s="849"/>
      <c r="C26" s="849"/>
      <c r="D26" s="850"/>
      <c r="E26" s="849"/>
      <c r="F26" s="850"/>
      <c r="G26" s="850"/>
      <c r="H26" s="851"/>
    </row>
    <row r="27" spans="1:8">
      <c r="A27" s="848"/>
      <c r="B27" s="849"/>
      <c r="C27" s="849"/>
      <c r="D27" s="850"/>
      <c r="E27" s="849"/>
      <c r="F27" s="850"/>
      <c r="G27" s="850"/>
      <c r="H27" s="851"/>
    </row>
    <row r="28" spans="1:8">
      <c r="A28" s="848"/>
      <c r="B28" s="849"/>
      <c r="C28" s="849"/>
      <c r="D28" s="850"/>
      <c r="E28" s="849"/>
      <c r="F28" s="850"/>
      <c r="G28" s="850"/>
      <c r="H28" s="851"/>
    </row>
    <row r="29" spans="1:8">
      <c r="A29" s="848"/>
      <c r="B29" s="849"/>
      <c r="C29" s="849"/>
      <c r="D29" s="850"/>
      <c r="E29" s="849"/>
      <c r="F29" s="850"/>
      <c r="G29" s="850"/>
      <c r="H29" s="851"/>
    </row>
    <row r="30" spans="1:8">
      <c r="A30" s="848"/>
      <c r="B30" s="849"/>
      <c r="C30" s="849"/>
      <c r="D30" s="850"/>
      <c r="E30" s="849"/>
      <c r="F30" s="850"/>
      <c r="G30" s="850"/>
      <c r="H30" s="851"/>
    </row>
    <row r="31" spans="1:8">
      <c r="A31" s="848"/>
      <c r="B31" s="849"/>
      <c r="C31" s="849"/>
      <c r="D31" s="850"/>
      <c r="E31" s="849"/>
      <c r="F31" s="850"/>
      <c r="G31" s="850"/>
      <c r="H31" s="851"/>
    </row>
    <row r="32" spans="1:8">
      <c r="A32" s="848"/>
      <c r="B32" s="849"/>
      <c r="C32" s="849"/>
      <c r="D32" s="850"/>
      <c r="E32" s="849"/>
      <c r="F32" s="850"/>
      <c r="G32" s="850"/>
      <c r="H32" s="851"/>
    </row>
    <row r="33" spans="1:8">
      <c r="A33" s="848"/>
      <c r="B33" s="849"/>
      <c r="C33" s="849"/>
      <c r="D33" s="850"/>
      <c r="E33" s="849"/>
      <c r="F33" s="850"/>
      <c r="G33" s="850"/>
      <c r="H33" s="851"/>
    </row>
    <row r="34" spans="1:8">
      <c r="A34" s="848"/>
      <c r="B34" s="849"/>
      <c r="C34" s="849"/>
      <c r="D34" s="850"/>
      <c r="E34" s="849"/>
      <c r="F34" s="850"/>
      <c r="G34" s="850"/>
      <c r="H34" s="851"/>
    </row>
    <row r="35" spans="1:8">
      <c r="A35" s="848"/>
      <c r="B35" s="849"/>
      <c r="C35" s="849"/>
      <c r="D35" s="850"/>
      <c r="E35" s="849"/>
      <c r="F35" s="850"/>
      <c r="G35" s="850"/>
      <c r="H35" s="851"/>
    </row>
    <row r="36" spans="1:8">
      <c r="A36" s="848"/>
      <c r="B36" s="849"/>
      <c r="C36" s="849"/>
      <c r="D36" s="850"/>
      <c r="E36" s="849"/>
      <c r="F36" s="850"/>
      <c r="G36" s="850"/>
      <c r="H36" s="851"/>
    </row>
    <row r="37" spans="1:8">
      <c r="A37" s="848"/>
      <c r="B37" s="849"/>
      <c r="C37" s="849"/>
      <c r="D37" s="850"/>
      <c r="E37" s="849"/>
      <c r="F37" s="850"/>
      <c r="G37" s="850"/>
      <c r="H37" s="851"/>
    </row>
    <row r="38" spans="1:8">
      <c r="A38" s="848"/>
      <c r="B38" s="849"/>
      <c r="C38" s="849"/>
      <c r="D38" s="850"/>
      <c r="E38" s="849"/>
      <c r="F38" s="850"/>
      <c r="G38" s="850"/>
      <c r="H38" s="851"/>
    </row>
    <row r="39" spans="1:8">
      <c r="A39" s="848"/>
      <c r="B39" s="849"/>
      <c r="C39" s="849"/>
      <c r="D39" s="850"/>
      <c r="E39" s="849"/>
      <c r="F39" s="850"/>
      <c r="G39" s="850"/>
      <c r="H39" s="851"/>
    </row>
    <row r="40" spans="1:8">
      <c r="A40" s="848"/>
      <c r="B40" s="849"/>
      <c r="C40" s="849"/>
      <c r="D40" s="850"/>
      <c r="E40" s="849"/>
      <c r="F40" s="850"/>
      <c r="G40" s="850"/>
      <c r="H40" s="851"/>
    </row>
    <row r="41" spans="1:8">
      <c r="A41" s="848"/>
      <c r="B41" s="849"/>
      <c r="C41" s="849"/>
      <c r="D41" s="850"/>
      <c r="E41" s="849"/>
      <c r="F41" s="850"/>
      <c r="G41" s="850"/>
      <c r="H41" s="851"/>
    </row>
    <row r="42" spans="1:8">
      <c r="A42" s="848"/>
      <c r="B42" s="849"/>
      <c r="C42" s="849"/>
      <c r="D42" s="850"/>
      <c r="E42" s="849"/>
      <c r="F42" s="850"/>
      <c r="G42" s="850"/>
      <c r="H42" s="851"/>
    </row>
    <row r="43" spans="1:8">
      <c r="A43" s="848"/>
      <c r="B43" s="849"/>
      <c r="C43" s="849"/>
      <c r="D43" s="850"/>
      <c r="E43" s="849"/>
      <c r="F43" s="850"/>
      <c r="G43" s="850"/>
      <c r="H43" s="851"/>
    </row>
    <row r="44" spans="1:8">
      <c r="A44" s="848"/>
      <c r="B44" s="849"/>
      <c r="C44" s="849"/>
      <c r="D44" s="850"/>
      <c r="E44" s="849"/>
      <c r="F44" s="850"/>
      <c r="G44" s="850"/>
      <c r="H44" s="851"/>
    </row>
    <row r="45" spans="1:8">
      <c r="A45" s="848"/>
      <c r="B45" s="849"/>
      <c r="C45" s="849"/>
      <c r="D45" s="850"/>
      <c r="E45" s="849"/>
      <c r="F45" s="850"/>
      <c r="G45" s="850"/>
      <c r="H45" s="851"/>
    </row>
    <row r="46" spans="1:8">
      <c r="A46" s="848"/>
      <c r="B46" s="849"/>
      <c r="C46" s="849"/>
      <c r="D46" s="850"/>
      <c r="E46" s="849"/>
      <c r="F46" s="850"/>
      <c r="G46" s="850"/>
      <c r="H46" s="851"/>
    </row>
    <row r="47" spans="1:8">
      <c r="A47" s="848"/>
      <c r="B47" s="849"/>
      <c r="C47" s="849"/>
      <c r="D47" s="850"/>
      <c r="E47" s="849"/>
      <c r="F47" s="850"/>
      <c r="G47" s="850"/>
      <c r="H47" s="851"/>
    </row>
    <row r="48" spans="1:8">
      <c r="A48" s="848"/>
      <c r="B48" s="849"/>
      <c r="C48" s="849"/>
      <c r="D48" s="850"/>
      <c r="E48" s="849"/>
      <c r="F48" s="850"/>
      <c r="G48" s="850"/>
      <c r="H48" s="851"/>
    </row>
    <row r="49" spans="1:8">
      <c r="A49" s="848"/>
      <c r="B49" s="849"/>
      <c r="C49" s="849"/>
      <c r="D49" s="850"/>
      <c r="E49" s="849"/>
      <c r="F49" s="850"/>
      <c r="G49" s="850"/>
      <c r="H49" s="851"/>
    </row>
    <row r="50" spans="1:8">
      <c r="A50" s="848"/>
      <c r="B50" s="849"/>
      <c r="C50" s="849"/>
      <c r="D50" s="850"/>
      <c r="E50" s="849"/>
      <c r="F50" s="850"/>
      <c r="G50" s="850"/>
      <c r="H50" s="851"/>
    </row>
    <row r="51" spans="1:8">
      <c r="A51" s="848"/>
      <c r="B51" s="849"/>
      <c r="C51" s="849"/>
      <c r="D51" s="850"/>
      <c r="E51" s="849"/>
      <c r="F51" s="850"/>
      <c r="G51" s="850"/>
      <c r="H51" s="851"/>
    </row>
    <row r="52" spans="1:8">
      <c r="A52" s="848"/>
      <c r="B52" s="849"/>
      <c r="C52" s="849"/>
      <c r="D52" s="850"/>
      <c r="E52" s="849"/>
      <c r="F52" s="850"/>
      <c r="G52" s="850"/>
      <c r="H52" s="851"/>
    </row>
    <row r="53" spans="1:8">
      <c r="A53" s="848"/>
      <c r="B53" s="849"/>
      <c r="C53" s="849"/>
      <c r="D53" s="850"/>
      <c r="E53" s="849"/>
      <c r="F53" s="850"/>
      <c r="G53" s="850"/>
      <c r="H53" s="851"/>
    </row>
    <row r="54" spans="1:8">
      <c r="A54" s="848"/>
      <c r="B54" s="849"/>
      <c r="C54" s="849"/>
      <c r="D54" s="850"/>
      <c r="E54" s="849"/>
      <c r="F54" s="850"/>
      <c r="G54" s="850"/>
      <c r="H54" s="851"/>
    </row>
    <row r="55" spans="1:8">
      <c r="A55" s="848"/>
      <c r="B55" s="849"/>
      <c r="C55" s="849"/>
      <c r="D55" s="850"/>
      <c r="E55" s="849"/>
      <c r="F55" s="850"/>
      <c r="G55" s="850"/>
      <c r="H55" s="851"/>
    </row>
    <row r="56" spans="1:8">
      <c r="A56" s="848"/>
      <c r="B56" s="849"/>
      <c r="C56" s="849"/>
      <c r="D56" s="850"/>
      <c r="E56" s="849"/>
      <c r="F56" s="850"/>
      <c r="G56" s="850"/>
      <c r="H56" s="851"/>
    </row>
    <row r="57" spans="1:8">
      <c r="A57" s="848"/>
      <c r="B57" s="849"/>
      <c r="C57" s="849"/>
      <c r="D57" s="850"/>
      <c r="E57" s="849"/>
      <c r="F57" s="850"/>
      <c r="G57" s="850"/>
      <c r="H57" s="851"/>
    </row>
    <row r="58" spans="1:8">
      <c r="A58" s="848"/>
      <c r="B58" s="849"/>
      <c r="C58" s="849"/>
      <c r="D58" s="850"/>
      <c r="E58" s="849"/>
      <c r="F58" s="850"/>
      <c r="G58" s="850"/>
      <c r="H58" s="851"/>
    </row>
    <row r="59" spans="1:8">
      <c r="A59" s="848"/>
      <c r="B59" s="849"/>
      <c r="C59" s="849"/>
      <c r="D59" s="850"/>
      <c r="E59" s="849"/>
      <c r="F59" s="850"/>
      <c r="G59" s="850"/>
      <c r="H59" s="851"/>
    </row>
    <row r="60" spans="1:8" ht="17" thickBot="1">
      <c r="A60" s="852"/>
      <c r="B60" s="853"/>
      <c r="C60" s="853"/>
      <c r="D60" s="854"/>
      <c r="E60" s="853"/>
      <c r="F60" s="854"/>
      <c r="G60" s="854"/>
      <c r="H60" s="855"/>
    </row>
    <row r="61" spans="1:8" ht="17" thickTop="1"/>
  </sheetData>
  <sheetProtection algorithmName="SHA-512" hashValue="AbJUH3YCymYy/3kDh54Y3u+O5mXQE1lZLHMZtZ1kI8fper+EQW260lHLA5SsQoro1uVLuQhNw/mabsXvcN/NJg==" saltValue="lEitoydSbnjjZ1f/vcyLdQ==" spinCount="100000" sheet="1" objects="1" scenarios="1"/>
  <mergeCells count="1">
    <mergeCell ref="A1:H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55"/>
  <sheetViews>
    <sheetView workbookViewId="0">
      <selection activeCell="B2" sqref="B2:H2"/>
    </sheetView>
  </sheetViews>
  <sheetFormatPr baseColWidth="10" defaultColWidth="8.83203125" defaultRowHeight="13"/>
  <cols>
    <col min="1" max="2" width="3.6640625" customWidth="1"/>
    <col min="7" max="7" width="18.33203125" customWidth="1"/>
    <col min="8" max="8" width="29.5" customWidth="1"/>
    <col min="9" max="9" width="3.6640625" customWidth="1"/>
  </cols>
  <sheetData>
    <row r="1" spans="1:9" ht="15" thickTop="1" thickBot="1">
      <c r="A1" s="390" t="s">
        <v>254</v>
      </c>
      <c r="B1" s="220"/>
      <c r="C1" s="220"/>
      <c r="D1" s="220"/>
      <c r="E1" s="1325">
        <f>+Cover!E9</f>
        <v>0</v>
      </c>
      <c r="F1" s="1325"/>
      <c r="G1" s="1325"/>
      <c r="H1" s="220">
        <f>+Cover!D6</f>
        <v>91818</v>
      </c>
      <c r="I1" s="391"/>
    </row>
    <row r="2" spans="1:9" ht="15" thickTop="1" thickBot="1">
      <c r="A2" s="221"/>
      <c r="B2" s="1322" t="s">
        <v>255</v>
      </c>
      <c r="C2" s="1323"/>
      <c r="D2" s="1323"/>
      <c r="E2" s="1323"/>
      <c r="F2" s="1323"/>
      <c r="G2" s="1323"/>
      <c r="H2" s="1324"/>
      <c r="I2" s="222"/>
    </row>
    <row r="3" spans="1:9" ht="17" thickTop="1">
      <c r="A3" s="221"/>
      <c r="B3" s="202"/>
      <c r="C3" s="215"/>
      <c r="D3" s="202"/>
      <c r="E3" s="202"/>
      <c r="F3" s="202"/>
      <c r="G3" s="202"/>
      <c r="H3" s="392" t="s">
        <v>256</v>
      </c>
      <c r="I3" s="222"/>
    </row>
    <row r="4" spans="1:9" ht="16">
      <c r="A4" s="221"/>
      <c r="B4" s="202"/>
      <c r="C4" s="393" t="s">
        <v>257</v>
      </c>
      <c r="D4" s="394"/>
      <c r="E4" s="394"/>
      <c r="F4" s="202"/>
      <c r="G4" s="202"/>
      <c r="H4" s="392" t="s">
        <v>258</v>
      </c>
      <c r="I4" s="222"/>
    </row>
    <row r="5" spans="1:9" ht="16">
      <c r="A5" s="221"/>
      <c r="B5" s="209" t="s">
        <v>259</v>
      </c>
      <c r="C5" s="209" t="s">
        <v>260</v>
      </c>
      <c r="D5" s="202"/>
      <c r="E5" s="202"/>
      <c r="F5" s="202"/>
      <c r="G5" s="202"/>
      <c r="H5" s="202"/>
      <c r="I5" s="222"/>
    </row>
    <row r="6" spans="1:9" ht="16">
      <c r="A6" s="221"/>
      <c r="B6" s="202"/>
      <c r="C6" s="215"/>
      <c r="D6" s="1319" t="s">
        <v>261</v>
      </c>
      <c r="E6" s="1320"/>
      <c r="F6" s="1320"/>
      <c r="G6" s="1321"/>
      <c r="H6" s="191"/>
      <c r="I6" s="222"/>
    </row>
    <row r="7" spans="1:9" ht="16">
      <c r="A7" s="221"/>
      <c r="B7" s="202"/>
      <c r="C7" s="215"/>
      <c r="D7" s="1319" t="s">
        <v>262</v>
      </c>
      <c r="E7" s="1320"/>
      <c r="F7" s="1320"/>
      <c r="G7" s="1321"/>
      <c r="H7" s="192"/>
      <c r="I7" s="222"/>
    </row>
    <row r="8" spans="1:9" ht="16">
      <c r="A8" s="221"/>
      <c r="B8" s="202"/>
      <c r="C8" s="215"/>
      <c r="D8" s="1319" t="s">
        <v>263</v>
      </c>
      <c r="E8" s="1320"/>
      <c r="F8" s="1320"/>
      <c r="G8" s="1321"/>
      <c r="H8" s="192"/>
      <c r="I8" s="222"/>
    </row>
    <row r="9" spans="1:9" ht="16">
      <c r="A9" s="221"/>
      <c r="B9" s="202"/>
      <c r="C9" s="215"/>
      <c r="D9" s="1319" t="s">
        <v>264</v>
      </c>
      <c r="E9" s="1320"/>
      <c r="F9" s="1320"/>
      <c r="G9" s="1321"/>
      <c r="H9" s="192"/>
      <c r="I9" s="222"/>
    </row>
    <row r="10" spans="1:9" ht="16">
      <c r="A10" s="221"/>
      <c r="B10" s="202"/>
      <c r="C10" s="215"/>
      <c r="D10" s="1319" t="s">
        <v>265</v>
      </c>
      <c r="E10" s="1320"/>
      <c r="F10" s="1320"/>
      <c r="G10" s="1321"/>
      <c r="H10" s="192"/>
      <c r="I10" s="222"/>
    </row>
    <row r="11" spans="1:9" ht="16">
      <c r="A11" s="221"/>
      <c r="B11" s="202"/>
      <c r="C11" s="215"/>
      <c r="D11" s="202"/>
      <c r="E11" s="202"/>
      <c r="F11" s="202"/>
      <c r="G11" s="202"/>
      <c r="H11" s="403"/>
      <c r="I11" s="222"/>
    </row>
    <row r="12" spans="1:9" ht="16">
      <c r="A12" s="221"/>
      <c r="B12" s="209" t="s">
        <v>266</v>
      </c>
      <c r="C12" s="209" t="s">
        <v>267</v>
      </c>
      <c r="D12" s="202"/>
      <c r="E12" s="202"/>
      <c r="F12" s="202"/>
      <c r="G12" s="202"/>
      <c r="H12" s="403"/>
      <c r="I12" s="222"/>
    </row>
    <row r="13" spans="1:9" ht="16">
      <c r="A13" s="221"/>
      <c r="B13" s="395" t="s">
        <v>268</v>
      </c>
      <c r="C13" s="215" t="s">
        <v>269</v>
      </c>
      <c r="D13" s="202"/>
      <c r="E13" s="202"/>
      <c r="F13" s="202"/>
      <c r="G13" s="202"/>
      <c r="H13" s="403"/>
      <c r="I13" s="222"/>
    </row>
    <row r="14" spans="1:9" ht="16">
      <c r="A14" s="221"/>
      <c r="B14" s="202"/>
      <c r="C14" s="215"/>
      <c r="D14" s="396" t="s">
        <v>270</v>
      </c>
      <c r="E14" s="397"/>
      <c r="F14" s="397"/>
      <c r="G14" s="397"/>
      <c r="H14" s="191"/>
      <c r="I14" s="222"/>
    </row>
    <row r="15" spans="1:9" ht="16">
      <c r="A15" s="221"/>
      <c r="B15" s="202"/>
      <c r="C15" s="215"/>
      <c r="D15" s="396" t="s">
        <v>271</v>
      </c>
      <c r="E15" s="397"/>
      <c r="F15" s="397"/>
      <c r="G15" s="397"/>
      <c r="H15" s="192"/>
      <c r="I15" s="222"/>
    </row>
    <row r="16" spans="1:9" ht="16">
      <c r="A16" s="221"/>
      <c r="B16" s="202"/>
      <c r="C16" s="215"/>
      <c r="D16" s="396" t="s">
        <v>272</v>
      </c>
      <c r="E16" s="397"/>
      <c r="F16" s="398"/>
      <c r="G16" s="399"/>
      <c r="H16" s="192"/>
      <c r="I16" s="222"/>
    </row>
    <row r="17" spans="1:13" ht="16">
      <c r="A17" s="221"/>
      <c r="B17" s="202"/>
      <c r="C17" s="215"/>
      <c r="D17" s="215"/>
      <c r="E17" s="202"/>
      <c r="F17" s="202"/>
      <c r="G17" s="202"/>
      <c r="H17" s="403"/>
      <c r="I17" s="222"/>
    </row>
    <row r="18" spans="1:13" ht="16">
      <c r="A18" s="221"/>
      <c r="B18" s="395" t="s">
        <v>273</v>
      </c>
      <c r="C18" s="215" t="s">
        <v>274</v>
      </c>
      <c r="D18" s="215"/>
      <c r="E18" s="202"/>
      <c r="F18" s="202"/>
      <c r="G18" s="202"/>
      <c r="H18" s="403"/>
      <c r="I18" s="222"/>
    </row>
    <row r="19" spans="1:13" ht="16">
      <c r="A19" s="221"/>
      <c r="B19" s="202"/>
      <c r="C19" s="215"/>
      <c r="D19" s="1316" t="s">
        <v>270</v>
      </c>
      <c r="E19" s="1317"/>
      <c r="F19" s="1317"/>
      <c r="G19" s="1318"/>
      <c r="H19" s="193"/>
      <c r="I19" s="222"/>
    </row>
    <row r="20" spans="1:13" ht="16">
      <c r="A20" s="221"/>
      <c r="B20" s="202"/>
      <c r="C20" s="215"/>
      <c r="D20" s="1316" t="s">
        <v>271</v>
      </c>
      <c r="E20" s="1317"/>
      <c r="F20" s="1317"/>
      <c r="G20" s="1318"/>
      <c r="H20" s="194"/>
      <c r="I20" s="222"/>
    </row>
    <row r="21" spans="1:13" ht="16">
      <c r="A21" s="221"/>
      <c r="B21" s="202"/>
      <c r="C21" s="215"/>
      <c r="D21" s="1316" t="s">
        <v>272</v>
      </c>
      <c r="E21" s="1317"/>
      <c r="F21" s="1317"/>
      <c r="G21" s="1318"/>
      <c r="H21" s="192"/>
      <c r="I21" s="222"/>
    </row>
    <row r="22" spans="1:13" ht="16">
      <c r="A22" s="221"/>
      <c r="B22" s="202"/>
      <c r="C22" s="215"/>
      <c r="D22" s="215"/>
      <c r="E22" s="202"/>
      <c r="F22" s="202"/>
      <c r="G22" s="202"/>
      <c r="H22" s="403"/>
      <c r="I22" s="222"/>
    </row>
    <row r="23" spans="1:13" ht="16">
      <c r="A23" s="221"/>
      <c r="B23" s="395" t="s">
        <v>275</v>
      </c>
      <c r="C23" s="215" t="s">
        <v>276</v>
      </c>
      <c r="D23" s="215"/>
      <c r="E23" s="202"/>
      <c r="F23" s="202"/>
      <c r="G23" s="202"/>
      <c r="H23" s="403"/>
      <c r="I23" s="222"/>
    </row>
    <row r="24" spans="1:13" ht="16">
      <c r="A24" s="221"/>
      <c r="B24" s="202"/>
      <c r="C24" s="215"/>
      <c r="D24" s="1316" t="s">
        <v>277</v>
      </c>
      <c r="E24" s="1317"/>
      <c r="F24" s="1317"/>
      <c r="G24" s="1318"/>
      <c r="H24" s="191"/>
      <c r="I24" s="222"/>
    </row>
    <row r="25" spans="1:13" ht="16">
      <c r="A25" s="221"/>
      <c r="B25" s="202"/>
      <c r="C25" s="215"/>
      <c r="D25" s="1316" t="s">
        <v>278</v>
      </c>
      <c r="E25" s="1317"/>
      <c r="F25" s="1317"/>
      <c r="G25" s="1318"/>
      <c r="H25" s="194"/>
      <c r="I25" s="222"/>
    </row>
    <row r="26" spans="1:13" ht="16">
      <c r="A26" s="221"/>
      <c r="B26" s="202"/>
      <c r="C26" s="215"/>
      <c r="D26" s="1316" t="s">
        <v>279</v>
      </c>
      <c r="E26" s="1317"/>
      <c r="F26" s="1317"/>
      <c r="G26" s="1318"/>
      <c r="H26" s="194"/>
      <c r="I26" s="222"/>
    </row>
    <row r="27" spans="1:13" ht="16">
      <c r="A27" s="221"/>
      <c r="B27" s="202"/>
      <c r="C27" s="215"/>
      <c r="D27" s="215"/>
      <c r="E27" s="202"/>
      <c r="F27" s="202"/>
      <c r="G27" s="202"/>
      <c r="H27" s="403"/>
      <c r="I27" s="222"/>
    </row>
    <row r="28" spans="1:13" ht="16">
      <c r="A28" s="221"/>
      <c r="B28" s="395" t="s">
        <v>280</v>
      </c>
      <c r="C28" s="215" t="s">
        <v>276</v>
      </c>
      <c r="D28" s="215"/>
      <c r="E28" s="202"/>
      <c r="F28" s="202"/>
      <c r="G28" s="202"/>
      <c r="H28" s="403"/>
      <c r="I28" s="222"/>
    </row>
    <row r="29" spans="1:13" ht="16">
      <c r="A29" s="221"/>
      <c r="B29" s="202"/>
      <c r="C29" s="215"/>
      <c r="D29" s="1316" t="s">
        <v>277</v>
      </c>
      <c r="E29" s="1317"/>
      <c r="F29" s="1317"/>
      <c r="G29" s="1318"/>
      <c r="H29" s="191"/>
      <c r="I29" s="222"/>
      <c r="M29" s="776"/>
    </row>
    <row r="30" spans="1:13" ht="16">
      <c r="A30" s="221"/>
      <c r="B30" s="202"/>
      <c r="C30" s="215"/>
      <c r="D30" s="1319" t="s">
        <v>278</v>
      </c>
      <c r="E30" s="1320"/>
      <c r="F30" s="1320"/>
      <c r="G30" s="1321"/>
      <c r="H30" s="194"/>
      <c r="I30" s="222"/>
    </row>
    <row r="31" spans="1:13" ht="16">
      <c r="A31" s="221"/>
      <c r="B31" s="202"/>
      <c r="C31" s="215"/>
      <c r="D31" s="1319" t="s">
        <v>279</v>
      </c>
      <c r="E31" s="1320"/>
      <c r="F31" s="1320"/>
      <c r="G31" s="1321"/>
      <c r="H31" s="194"/>
      <c r="I31" s="222"/>
    </row>
    <row r="32" spans="1:13" ht="16">
      <c r="A32" s="221"/>
      <c r="B32" s="202"/>
      <c r="C32" s="215"/>
      <c r="D32" s="215"/>
      <c r="E32" s="202"/>
      <c r="F32" s="202"/>
      <c r="G32" s="202"/>
      <c r="H32" s="202"/>
      <c r="I32" s="222"/>
    </row>
    <row r="33" spans="1:9" ht="16">
      <c r="A33" s="221"/>
      <c r="B33" s="209" t="s">
        <v>281</v>
      </c>
      <c r="C33" s="209" t="s">
        <v>282</v>
      </c>
      <c r="D33" s="215"/>
      <c r="E33" s="202"/>
      <c r="F33" s="202"/>
      <c r="G33" s="202"/>
      <c r="H33" s="191"/>
      <c r="I33" s="222"/>
    </row>
    <row r="34" spans="1:9" ht="16">
      <c r="A34" s="221"/>
      <c r="B34" s="209"/>
      <c r="C34" s="209" t="s">
        <v>283</v>
      </c>
      <c r="D34" s="215"/>
      <c r="E34" s="202"/>
      <c r="F34" s="202"/>
      <c r="G34" s="202"/>
      <c r="H34" s="404"/>
      <c r="I34" s="222"/>
    </row>
    <row r="35" spans="1:9" ht="16">
      <c r="A35" s="221"/>
      <c r="B35" s="202"/>
      <c r="C35" s="209"/>
      <c r="D35" s="215"/>
      <c r="E35" s="202"/>
      <c r="F35" s="202"/>
      <c r="G35" s="202"/>
      <c r="H35" s="403"/>
      <c r="I35" s="222"/>
    </row>
    <row r="36" spans="1:9" ht="16">
      <c r="A36" s="221"/>
      <c r="B36" s="209" t="s">
        <v>284</v>
      </c>
      <c r="C36" s="209" t="s">
        <v>285</v>
      </c>
      <c r="D36" s="215"/>
      <c r="E36" s="202"/>
      <c r="F36" s="202"/>
      <c r="G36" s="202"/>
      <c r="H36" s="191"/>
      <c r="I36" s="222"/>
    </row>
    <row r="37" spans="1:9" ht="16">
      <c r="A37" s="221"/>
      <c r="B37" s="202"/>
      <c r="C37" s="215" t="s">
        <v>108</v>
      </c>
      <c r="D37" s="215"/>
      <c r="E37" s="202"/>
      <c r="F37" s="202"/>
      <c r="G37" s="202"/>
      <c r="H37" s="403"/>
      <c r="I37" s="222"/>
    </row>
    <row r="38" spans="1:9" ht="16">
      <c r="A38" s="221"/>
      <c r="B38" s="209" t="s">
        <v>286</v>
      </c>
      <c r="C38" s="209" t="s">
        <v>287</v>
      </c>
      <c r="D38" s="215"/>
      <c r="E38" s="202"/>
      <c r="F38" s="202"/>
      <c r="G38" s="202"/>
      <c r="H38" s="191"/>
      <c r="I38" s="222"/>
    </row>
    <row r="39" spans="1:9" ht="16">
      <c r="A39" s="221"/>
      <c r="B39" s="209"/>
      <c r="C39" s="209"/>
      <c r="D39" s="215"/>
      <c r="E39" s="202"/>
      <c r="F39" s="202"/>
      <c r="G39" s="202"/>
      <c r="H39" s="403"/>
      <c r="I39" s="222"/>
    </row>
    <row r="40" spans="1:9" ht="16">
      <c r="A40" s="221"/>
      <c r="B40" s="209"/>
      <c r="C40" s="209"/>
      <c r="D40" s="1313" t="s">
        <v>288</v>
      </c>
      <c r="E40" s="1314"/>
      <c r="F40" s="1314"/>
      <c r="G40" s="1315"/>
      <c r="H40" s="191"/>
      <c r="I40" s="222"/>
    </row>
    <row r="41" spans="1:9" ht="16">
      <c r="A41" s="221"/>
      <c r="B41" s="209"/>
      <c r="C41" s="209"/>
      <c r="D41" s="1313" t="s">
        <v>289</v>
      </c>
      <c r="E41" s="1314"/>
      <c r="F41" s="1314"/>
      <c r="G41" s="1315"/>
      <c r="H41" s="191"/>
      <c r="I41" s="222"/>
    </row>
    <row r="42" spans="1:9" ht="16">
      <c r="A42" s="221"/>
      <c r="B42" s="209"/>
      <c r="C42" s="209"/>
      <c r="D42" s="1313" t="s">
        <v>290</v>
      </c>
      <c r="E42" s="1314"/>
      <c r="F42" s="1314"/>
      <c r="G42" s="1315"/>
      <c r="H42" s="191"/>
      <c r="I42" s="222"/>
    </row>
    <row r="43" spans="1:9" ht="16">
      <c r="A43" s="221"/>
      <c r="B43" s="202"/>
      <c r="C43" s="215"/>
      <c r="D43" s="215"/>
      <c r="E43" s="202"/>
      <c r="F43" s="202"/>
      <c r="G43" s="202"/>
      <c r="H43" s="403"/>
      <c r="I43" s="222"/>
    </row>
    <row r="44" spans="1:9" ht="16">
      <c r="A44" s="221"/>
      <c r="B44" s="209" t="s">
        <v>291</v>
      </c>
      <c r="C44" s="209" t="s">
        <v>292</v>
      </c>
      <c r="D44" s="215"/>
      <c r="E44" s="202"/>
      <c r="F44" s="202"/>
      <c r="G44" s="202"/>
      <c r="H44" s="191"/>
      <c r="I44" s="222"/>
    </row>
    <row r="45" spans="1:9" ht="16">
      <c r="A45" s="221"/>
      <c r="B45" s="202"/>
      <c r="C45" s="215"/>
      <c r="D45" s="215"/>
      <c r="E45" s="202"/>
      <c r="F45" s="202"/>
      <c r="G45" s="202"/>
      <c r="H45" s="403"/>
      <c r="I45" s="222"/>
    </row>
    <row r="46" spans="1:9" ht="16">
      <c r="A46" s="221"/>
      <c r="B46" s="209" t="s">
        <v>293</v>
      </c>
      <c r="C46" s="209" t="s">
        <v>294</v>
      </c>
      <c r="D46" s="215"/>
      <c r="E46" s="202"/>
      <c r="F46" s="202"/>
      <c r="G46" s="202"/>
      <c r="H46" s="191"/>
      <c r="I46" s="222"/>
    </row>
    <row r="47" spans="1:9" ht="16">
      <c r="A47" s="221"/>
      <c r="B47" s="202"/>
      <c r="C47" s="215"/>
      <c r="D47" s="215"/>
      <c r="E47" s="202"/>
      <c r="F47" s="202"/>
      <c r="G47" s="202"/>
      <c r="H47" s="403"/>
      <c r="I47" s="222"/>
    </row>
    <row r="48" spans="1:9" ht="16">
      <c r="A48" s="221"/>
      <c r="B48" s="209" t="s">
        <v>295</v>
      </c>
      <c r="C48" s="209" t="s">
        <v>761</v>
      </c>
      <c r="D48" s="215"/>
      <c r="E48" s="202"/>
      <c r="F48" s="202"/>
      <c r="G48" s="202"/>
      <c r="H48" s="191"/>
      <c r="I48" s="222"/>
    </row>
    <row r="49" spans="1:9" ht="16">
      <c r="A49" s="221"/>
      <c r="B49" s="209"/>
      <c r="C49" s="209"/>
      <c r="D49" s="215"/>
      <c r="E49" s="202"/>
      <c r="F49" s="202"/>
      <c r="G49" s="202"/>
      <c r="H49" s="404"/>
      <c r="I49" s="222"/>
    </row>
    <row r="50" spans="1:9" ht="16">
      <c r="A50" s="221"/>
      <c r="B50" s="202"/>
      <c r="C50" s="215"/>
      <c r="D50" s="202"/>
      <c r="E50" s="202"/>
      <c r="F50" s="202"/>
      <c r="G50" s="202"/>
      <c r="H50" s="403"/>
      <c r="I50" s="222"/>
    </row>
    <row r="51" spans="1:9" ht="16">
      <c r="A51" s="221"/>
      <c r="B51" s="209" t="s">
        <v>296</v>
      </c>
      <c r="C51" s="209" t="s">
        <v>762</v>
      </c>
      <c r="D51" s="202"/>
      <c r="E51" s="202"/>
      <c r="F51" s="202"/>
      <c r="G51" s="202"/>
      <c r="H51" s="191"/>
      <c r="I51" s="222"/>
    </row>
    <row r="52" spans="1:9" ht="16">
      <c r="A52" s="221"/>
      <c r="B52" s="209"/>
      <c r="C52" s="209" t="s">
        <v>297</v>
      </c>
      <c r="D52" s="202"/>
      <c r="E52" s="202"/>
      <c r="F52" s="202"/>
      <c r="G52" s="202"/>
      <c r="H52" s="405"/>
      <c r="I52" s="222"/>
    </row>
    <row r="53" spans="1:9">
      <c r="A53" s="221"/>
      <c r="B53" s="202"/>
      <c r="C53" s="202"/>
      <c r="D53" s="202"/>
      <c r="E53" s="202"/>
      <c r="F53" s="202"/>
      <c r="G53" s="202"/>
      <c r="H53" s="202"/>
      <c r="I53" s="222"/>
    </row>
    <row r="54" spans="1:9" ht="17" thickBot="1">
      <c r="A54" s="400"/>
      <c r="B54" s="401" t="s">
        <v>298</v>
      </c>
      <c r="C54" s="401" t="s">
        <v>763</v>
      </c>
      <c r="D54" s="246"/>
      <c r="E54" s="246"/>
      <c r="F54" s="246"/>
      <c r="G54" s="246"/>
      <c r="H54" s="195"/>
      <c r="I54" s="402"/>
    </row>
    <row r="55" spans="1:9" ht="14" thickTop="1">
      <c r="A55" s="3"/>
      <c r="B55" s="3"/>
      <c r="C55" s="3"/>
      <c r="D55" s="3"/>
      <c r="E55" s="3"/>
      <c r="F55" s="3"/>
      <c r="G55" s="3"/>
      <c r="H55" s="3"/>
      <c r="I55" s="3"/>
    </row>
  </sheetData>
  <sheetProtection algorithmName="SHA-512" hashValue="bDNr0S3die88TAqc2RPPyOiSaeiDjy+EMxSPK/GeRdZInRBqYUdI39E/qpv69QObGei7ODrJ9OvaHYv9mk5Zmg==" saltValue="/+FOpP1nTS0ZL3IN5ZLfDA==" spinCount="100000" sheet="1" objects="1" scenarios="1"/>
  <mergeCells count="19">
    <mergeCell ref="D9:G9"/>
    <mergeCell ref="D10:G10"/>
    <mergeCell ref="D21:G21"/>
    <mergeCell ref="D19:G19"/>
    <mergeCell ref="D20:G20"/>
    <mergeCell ref="B2:H2"/>
    <mergeCell ref="D6:G6"/>
    <mergeCell ref="D7:G7"/>
    <mergeCell ref="D8:G8"/>
    <mergeCell ref="E1:G1"/>
    <mergeCell ref="D40:G40"/>
    <mergeCell ref="D41:G41"/>
    <mergeCell ref="D42:G42"/>
    <mergeCell ref="D24:G24"/>
    <mergeCell ref="D25:G25"/>
    <mergeCell ref="D26:G26"/>
    <mergeCell ref="D29:G29"/>
    <mergeCell ref="D30:G30"/>
    <mergeCell ref="D31:G31"/>
  </mergeCells>
  <pageMargins left="0.7" right="0.7" top="0.75" bottom="0.75" header="0.3" footer="0.3"/>
  <pageSetup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114"/>
  <sheetViews>
    <sheetView topLeftCell="A22" workbookViewId="0">
      <selection activeCell="N19" sqref="N19"/>
    </sheetView>
  </sheetViews>
  <sheetFormatPr baseColWidth="10" defaultColWidth="8.83203125" defaultRowHeight="13"/>
  <cols>
    <col min="1" max="1" width="14.1640625" style="189" customWidth="1"/>
    <col min="2" max="2" width="17.5" style="107" customWidth="1"/>
    <col min="3" max="4" width="9.1640625" style="107"/>
    <col min="5" max="5" width="12.5" style="107" customWidth="1"/>
    <col min="6" max="7" width="9.1640625" style="107"/>
    <col min="8" max="8" width="11.33203125" style="107" customWidth="1"/>
    <col min="9" max="9" width="9.1640625" style="85"/>
  </cols>
  <sheetData>
    <row r="1" spans="1:11" ht="14" thickBot="1">
      <c r="A1" s="410" t="s">
        <v>807</v>
      </c>
      <c r="B1" s="411"/>
      <c r="C1" s="412"/>
      <c r="D1" s="412"/>
      <c r="E1" s="412"/>
      <c r="F1" s="412"/>
      <c r="G1" s="412"/>
      <c r="H1" s="1326"/>
      <c r="I1" s="1326"/>
      <c r="J1" s="412"/>
      <c r="K1" s="86"/>
    </row>
    <row r="2" spans="1:11" ht="74.25" customHeight="1" thickTop="1" thickBot="1">
      <c r="A2" s="413"/>
      <c r="B2" s="1327" t="s">
        <v>630</v>
      </c>
      <c r="C2" s="1328"/>
      <c r="D2" s="1328"/>
      <c r="E2" s="1328"/>
      <c r="F2" s="1328"/>
      <c r="G2" s="1328"/>
      <c r="H2" s="1329"/>
      <c r="I2" s="413"/>
      <c r="J2" s="413"/>
      <c r="K2" s="108"/>
    </row>
    <row r="3" spans="1:11" ht="27" customHeight="1" thickTop="1" thickBot="1">
      <c r="A3" s="413"/>
      <c r="B3" s="413"/>
      <c r="C3" s="413"/>
      <c r="D3" s="413"/>
      <c r="E3" s="413"/>
      <c r="F3" s="413"/>
      <c r="G3" s="413"/>
      <c r="H3" s="413"/>
      <c r="I3" s="413"/>
      <c r="J3" s="413"/>
    </row>
    <row r="4" spans="1:11" ht="27" customHeight="1" thickTop="1">
      <c r="A4" s="413"/>
      <c r="B4" s="414"/>
      <c r="C4" s="415"/>
      <c r="D4" s="415"/>
      <c r="E4" s="415"/>
      <c r="F4" s="415"/>
      <c r="G4" s="415"/>
      <c r="H4" s="415"/>
      <c r="I4" s="416" t="s">
        <v>629</v>
      </c>
      <c r="J4" s="417" t="s">
        <v>158</v>
      </c>
    </row>
    <row r="5" spans="1:11" ht="27" customHeight="1">
      <c r="A5" s="418" t="s">
        <v>748</v>
      </c>
      <c r="B5" s="1390" t="s">
        <v>773</v>
      </c>
      <c r="C5" s="1394"/>
      <c r="D5" s="1394"/>
      <c r="E5" s="1394"/>
      <c r="F5" s="1394"/>
      <c r="G5" s="1394"/>
      <c r="H5" s="1394"/>
      <c r="I5" s="761"/>
      <c r="J5" s="510">
        <f>J6+J9</f>
        <v>0</v>
      </c>
    </row>
    <row r="6" spans="1:11" ht="27.75" customHeight="1">
      <c r="A6" s="418"/>
      <c r="B6" s="1341" t="s">
        <v>774</v>
      </c>
      <c r="C6" s="1342"/>
      <c r="D6" s="1342"/>
      <c r="E6" s="1342"/>
      <c r="F6" s="1342"/>
      <c r="G6" s="1342"/>
      <c r="H6" s="1342"/>
      <c r="I6" s="196"/>
      <c r="J6" s="510">
        <f>I6</f>
        <v>0</v>
      </c>
    </row>
    <row r="7" spans="1:11" ht="47.25" customHeight="1">
      <c r="A7" s="418"/>
      <c r="B7" s="1335" t="s">
        <v>775</v>
      </c>
      <c r="C7" s="1336"/>
      <c r="D7" s="1336"/>
      <c r="E7" s="1336"/>
      <c r="F7" s="1336"/>
      <c r="G7" s="1336"/>
      <c r="H7" s="1336"/>
      <c r="I7" s="421"/>
      <c r="J7" s="417"/>
    </row>
    <row r="8" spans="1:11" ht="37.5" customHeight="1">
      <c r="A8" s="418"/>
      <c r="B8" s="1341" t="s">
        <v>776</v>
      </c>
      <c r="C8" s="1342"/>
      <c r="D8" s="1342"/>
      <c r="E8" s="1342"/>
      <c r="F8" s="1342"/>
      <c r="G8" s="1342"/>
      <c r="H8" s="1342"/>
      <c r="I8" s="416"/>
      <c r="J8" s="417"/>
    </row>
    <row r="9" spans="1:11" ht="47.25" customHeight="1">
      <c r="A9" s="418"/>
      <c r="B9" s="1356" t="s">
        <v>777</v>
      </c>
      <c r="C9" s="1389"/>
      <c r="D9" s="1389"/>
      <c r="E9" s="1389"/>
      <c r="F9" s="1389"/>
      <c r="G9" s="1389"/>
      <c r="H9" s="1393"/>
      <c r="I9" s="196"/>
      <c r="J9" s="510">
        <f>I9</f>
        <v>0</v>
      </c>
    </row>
    <row r="10" spans="1:11" ht="27.75" customHeight="1">
      <c r="A10" s="418"/>
      <c r="B10" s="419"/>
      <c r="C10" s="420"/>
      <c r="D10" s="420"/>
      <c r="E10" s="420"/>
      <c r="F10" s="420"/>
      <c r="G10" s="420"/>
      <c r="H10" s="420"/>
      <c r="I10" s="421"/>
      <c r="J10" s="417"/>
    </row>
    <row r="11" spans="1:11" ht="37.5" customHeight="1">
      <c r="A11" s="418"/>
      <c r="B11" s="1390" t="s">
        <v>778</v>
      </c>
      <c r="C11" s="1336"/>
      <c r="D11" s="1336"/>
      <c r="E11" s="1336"/>
      <c r="F11" s="1336"/>
      <c r="G11" s="1336"/>
      <c r="H11" s="1336"/>
      <c r="I11" s="761"/>
      <c r="J11" s="510">
        <f>J12+J16+J22</f>
        <v>0</v>
      </c>
    </row>
    <row r="12" spans="1:11" ht="27.75" customHeight="1">
      <c r="A12" s="418"/>
      <c r="B12" s="1341" t="s">
        <v>779</v>
      </c>
      <c r="C12" s="1342"/>
      <c r="D12" s="1342"/>
      <c r="E12" s="1342"/>
      <c r="F12" s="1342"/>
      <c r="G12" s="1342"/>
      <c r="H12" s="1342"/>
      <c r="I12" s="196"/>
      <c r="J12" s="510">
        <f>I12</f>
        <v>0</v>
      </c>
    </row>
    <row r="13" spans="1:11" ht="56.25" customHeight="1">
      <c r="A13" s="418"/>
      <c r="B13" s="1356" t="s">
        <v>780</v>
      </c>
      <c r="C13" s="1389"/>
      <c r="D13" s="1389"/>
      <c r="E13" s="1389"/>
      <c r="F13" s="1389"/>
      <c r="G13" s="1389"/>
      <c r="H13" s="1389"/>
      <c r="I13" s="1389"/>
      <c r="J13" s="1397"/>
    </row>
    <row r="14" spans="1:11" ht="52.5" customHeight="1">
      <c r="A14" s="418"/>
      <c r="B14" s="1335" t="s">
        <v>661</v>
      </c>
      <c r="C14" s="1336"/>
      <c r="D14" s="1336"/>
      <c r="E14" s="1336"/>
      <c r="F14" s="1336"/>
      <c r="G14" s="1336"/>
      <c r="H14" s="1336"/>
      <c r="I14" s="416"/>
      <c r="J14" s="417"/>
    </row>
    <row r="15" spans="1:11" ht="16">
      <c r="A15" s="418"/>
      <c r="B15" s="1335"/>
      <c r="C15" s="1336"/>
      <c r="D15" s="1336"/>
      <c r="E15" s="1336"/>
      <c r="F15" s="1336"/>
      <c r="G15" s="1336"/>
      <c r="H15" s="1336"/>
      <c r="I15" s="416"/>
      <c r="J15" s="417"/>
    </row>
    <row r="16" spans="1:11" ht="36" customHeight="1">
      <c r="A16" s="418"/>
      <c r="B16" s="1341" t="s">
        <v>781</v>
      </c>
      <c r="C16" s="1342"/>
      <c r="D16" s="1342"/>
      <c r="E16" s="1342"/>
      <c r="F16" s="1342"/>
      <c r="G16" s="1342"/>
      <c r="H16" s="1342"/>
      <c r="I16" s="761"/>
      <c r="J16" s="510">
        <f>J18+J19</f>
        <v>0</v>
      </c>
    </row>
    <row r="17" spans="1:10" ht="66" customHeight="1">
      <c r="A17" s="418"/>
      <c r="B17" s="1365" t="s">
        <v>782</v>
      </c>
      <c r="C17" s="1331"/>
      <c r="D17" s="1331"/>
      <c r="E17" s="1331"/>
      <c r="F17" s="1331"/>
      <c r="G17" s="1331"/>
      <c r="H17" s="1331"/>
      <c r="I17" s="416"/>
      <c r="J17" s="417"/>
    </row>
    <row r="18" spans="1:10" ht="45.75" customHeight="1">
      <c r="A18" s="418"/>
      <c r="B18" s="1335" t="s">
        <v>783</v>
      </c>
      <c r="C18" s="1395"/>
      <c r="D18" s="1395"/>
      <c r="E18" s="1395"/>
      <c r="F18" s="1395"/>
      <c r="G18" s="1395"/>
      <c r="H18" s="1395"/>
      <c r="I18" s="196"/>
      <c r="J18" s="510">
        <f>I18</f>
        <v>0</v>
      </c>
    </row>
    <row r="19" spans="1:10" ht="35.25" customHeight="1">
      <c r="A19" s="418"/>
      <c r="B19" s="1335" t="s">
        <v>784</v>
      </c>
      <c r="C19" s="1396"/>
      <c r="D19" s="1396"/>
      <c r="E19" s="1396"/>
      <c r="F19" s="1396"/>
      <c r="G19" s="1396"/>
      <c r="H19" s="1396"/>
      <c r="I19" s="196"/>
      <c r="J19" s="510">
        <f>I19</f>
        <v>0</v>
      </c>
    </row>
    <row r="20" spans="1:10" ht="25.5" customHeight="1">
      <c r="A20" s="418"/>
      <c r="B20" s="1335"/>
      <c r="C20" s="1336"/>
      <c r="D20" s="1336"/>
      <c r="E20" s="1336"/>
      <c r="F20" s="1336"/>
      <c r="G20" s="1336"/>
      <c r="H20" s="1336"/>
      <c r="I20" s="416"/>
      <c r="J20" s="417"/>
    </row>
    <row r="21" spans="1:10" ht="27.75" customHeight="1">
      <c r="A21" s="418"/>
      <c r="B21" s="1341" t="s">
        <v>785</v>
      </c>
      <c r="C21" s="1342"/>
      <c r="D21" s="1342"/>
      <c r="E21" s="1342"/>
      <c r="F21" s="1342"/>
      <c r="G21" s="1342"/>
      <c r="H21" s="1342"/>
      <c r="I21" s="416"/>
      <c r="J21" s="417"/>
    </row>
    <row r="22" spans="1:10" ht="102.75" customHeight="1">
      <c r="A22" s="418"/>
      <c r="B22" s="1356" t="s">
        <v>786</v>
      </c>
      <c r="C22" s="1389"/>
      <c r="D22" s="1389"/>
      <c r="E22" s="1389"/>
      <c r="F22" s="1389"/>
      <c r="G22" s="1389"/>
      <c r="H22" s="1393"/>
      <c r="I22" s="196"/>
      <c r="J22" s="510">
        <f>I22</f>
        <v>0</v>
      </c>
    </row>
    <row r="23" spans="1:10" ht="21" customHeight="1">
      <c r="A23" s="418"/>
      <c r="B23" s="419"/>
      <c r="C23" s="420"/>
      <c r="D23" s="420"/>
      <c r="E23" s="420"/>
      <c r="F23" s="420"/>
      <c r="G23" s="420"/>
      <c r="H23" s="420"/>
      <c r="I23" s="421"/>
      <c r="J23" s="417"/>
    </row>
    <row r="24" spans="1:10" ht="36.75" customHeight="1">
      <c r="A24" s="418" t="s">
        <v>749</v>
      </c>
      <c r="B24" s="1382" t="s">
        <v>847</v>
      </c>
      <c r="C24" s="1343"/>
      <c r="D24" s="1343"/>
      <c r="E24" s="1343"/>
      <c r="F24" s="1343"/>
      <c r="G24" s="1343"/>
      <c r="H24" s="1343"/>
      <c r="I24" s="416"/>
      <c r="J24" s="417"/>
    </row>
    <row r="25" spans="1:10" ht="47.25" customHeight="1">
      <c r="A25" s="418"/>
      <c r="B25" s="1341" t="s">
        <v>787</v>
      </c>
      <c r="C25" s="1342"/>
      <c r="D25" s="1342"/>
      <c r="E25" s="1342"/>
      <c r="F25" s="1342"/>
      <c r="G25" s="1342"/>
      <c r="H25" s="1342"/>
      <c r="I25" s="196"/>
      <c r="J25" s="510">
        <f>I25</f>
        <v>0</v>
      </c>
    </row>
    <row r="26" spans="1:10" ht="81.75" customHeight="1">
      <c r="A26" s="418"/>
      <c r="B26" s="1356" t="s">
        <v>788</v>
      </c>
      <c r="C26" s="1389"/>
      <c r="D26" s="1389"/>
      <c r="E26" s="1389"/>
      <c r="F26" s="1389"/>
      <c r="G26" s="1389"/>
      <c r="H26" s="1389"/>
      <c r="I26" s="416"/>
      <c r="J26" s="417"/>
    </row>
    <row r="27" spans="1:10" ht="16">
      <c r="A27" s="418"/>
      <c r="B27" s="1341" t="s">
        <v>789</v>
      </c>
      <c r="C27" s="1342"/>
      <c r="D27" s="1342"/>
      <c r="E27" s="1342"/>
      <c r="F27" s="1342"/>
      <c r="G27" s="1342"/>
      <c r="H27" s="1342"/>
      <c r="I27" s="416"/>
      <c r="J27" s="417"/>
    </row>
    <row r="28" spans="1:10" ht="69.75" customHeight="1">
      <c r="A28" s="418"/>
      <c r="B28" s="1335" t="s">
        <v>790</v>
      </c>
      <c r="C28" s="1336"/>
      <c r="D28" s="1336"/>
      <c r="E28" s="1336"/>
      <c r="F28" s="1336"/>
      <c r="G28" s="1336"/>
      <c r="H28" s="1336"/>
      <c r="I28" s="416"/>
      <c r="J28" s="417"/>
    </row>
    <row r="29" spans="1:10" ht="24" customHeight="1">
      <c r="A29" s="418"/>
      <c r="B29" s="1335"/>
      <c r="C29" s="1336"/>
      <c r="D29" s="1336"/>
      <c r="E29" s="1336"/>
      <c r="F29" s="1336"/>
      <c r="G29" s="1336"/>
      <c r="H29" s="1336"/>
      <c r="I29" s="416"/>
      <c r="J29" s="417"/>
    </row>
    <row r="30" spans="1:10" ht="58.5" customHeight="1">
      <c r="A30" s="418" t="s">
        <v>750</v>
      </c>
      <c r="B30" s="1390" t="s">
        <v>791</v>
      </c>
      <c r="C30" s="1342"/>
      <c r="D30" s="1342"/>
      <c r="E30" s="1342"/>
      <c r="F30" s="1342"/>
      <c r="G30" s="1342"/>
      <c r="H30" s="1342"/>
      <c r="I30" s="196"/>
      <c r="J30" s="510">
        <f>I30</f>
        <v>0</v>
      </c>
    </row>
    <row r="31" spans="1:10" ht="23.25" customHeight="1">
      <c r="A31" s="418"/>
      <c r="B31" s="1341" t="s">
        <v>792</v>
      </c>
      <c r="C31" s="1342"/>
      <c r="D31" s="1342"/>
      <c r="E31" s="1342"/>
      <c r="F31" s="1342"/>
      <c r="G31" s="1342"/>
      <c r="H31" s="1342"/>
      <c r="I31" s="416"/>
      <c r="J31" s="417"/>
    </row>
    <row r="32" spans="1:10" ht="30" customHeight="1">
      <c r="A32" s="418"/>
      <c r="B32" s="1335" t="s">
        <v>793</v>
      </c>
      <c r="C32" s="1336"/>
      <c r="D32" s="1336"/>
      <c r="E32" s="1336"/>
      <c r="F32" s="1336"/>
      <c r="G32" s="1336"/>
      <c r="H32" s="1336"/>
      <c r="I32" s="416"/>
      <c r="J32" s="417"/>
    </row>
    <row r="33" spans="1:10" ht="77.25" customHeight="1">
      <c r="A33" s="418"/>
      <c r="B33" s="1356" t="s">
        <v>794</v>
      </c>
      <c r="C33" s="1389"/>
      <c r="D33" s="1389"/>
      <c r="E33" s="1389"/>
      <c r="F33" s="1389"/>
      <c r="G33" s="1389"/>
      <c r="H33" s="1389"/>
      <c r="I33" s="416"/>
      <c r="J33" s="417"/>
    </row>
    <row r="34" spans="1:10" ht="21.75" customHeight="1">
      <c r="A34" s="418"/>
      <c r="B34" s="1391"/>
      <c r="C34" s="1392"/>
      <c r="D34" s="1392"/>
      <c r="E34" s="1392"/>
      <c r="F34" s="1392"/>
      <c r="G34" s="1392"/>
      <c r="H34" s="1392"/>
      <c r="I34" s="416"/>
      <c r="J34" s="417"/>
    </row>
    <row r="35" spans="1:10" ht="42.75" customHeight="1">
      <c r="A35" s="418" t="s">
        <v>751</v>
      </c>
      <c r="B35" s="1390" t="s">
        <v>795</v>
      </c>
      <c r="C35" s="1342"/>
      <c r="D35" s="1342"/>
      <c r="E35" s="1342"/>
      <c r="F35" s="1342"/>
      <c r="G35" s="1342"/>
      <c r="H35" s="1342"/>
      <c r="I35" s="196"/>
      <c r="J35" s="510">
        <f>I35</f>
        <v>0</v>
      </c>
    </row>
    <row r="36" spans="1:10" ht="30.75" customHeight="1">
      <c r="A36" s="418"/>
      <c r="B36" s="1335" t="s">
        <v>796</v>
      </c>
      <c r="C36" s="1336"/>
      <c r="D36" s="1336"/>
      <c r="E36" s="1336"/>
      <c r="F36" s="1336"/>
      <c r="G36" s="1336"/>
      <c r="H36" s="1336"/>
      <c r="I36" s="416"/>
      <c r="J36" s="417"/>
    </row>
    <row r="37" spans="1:10" ht="20.25" customHeight="1">
      <c r="A37" s="418"/>
      <c r="B37" s="1335" t="s">
        <v>797</v>
      </c>
      <c r="C37" s="1336"/>
      <c r="D37" s="1336"/>
      <c r="E37" s="1336"/>
      <c r="F37" s="1336"/>
      <c r="G37" s="1336"/>
      <c r="H37" s="1336"/>
      <c r="I37" s="416"/>
      <c r="J37" s="417"/>
    </row>
    <row r="38" spans="1:10" ht="20.25" customHeight="1">
      <c r="A38" s="418"/>
      <c r="B38" s="1335" t="s">
        <v>798</v>
      </c>
      <c r="C38" s="1336"/>
      <c r="D38" s="1336"/>
      <c r="E38" s="1336"/>
      <c r="F38" s="1336"/>
      <c r="G38" s="1336"/>
      <c r="H38" s="1336"/>
      <c r="I38" s="416"/>
      <c r="J38" s="417"/>
    </row>
    <row r="39" spans="1:10" ht="20.25" customHeight="1">
      <c r="A39" s="418"/>
      <c r="B39" s="1335" t="s">
        <v>799</v>
      </c>
      <c r="C39" s="1336"/>
      <c r="D39" s="1336"/>
      <c r="E39" s="1336"/>
      <c r="F39" s="1336"/>
      <c r="G39" s="1336"/>
      <c r="H39" s="1336"/>
      <c r="I39" s="416"/>
      <c r="J39" s="417"/>
    </row>
    <row r="40" spans="1:10" ht="20.25" customHeight="1">
      <c r="A40" s="418"/>
      <c r="B40" s="1335" t="s">
        <v>800</v>
      </c>
      <c r="C40" s="1336"/>
      <c r="D40" s="1336"/>
      <c r="E40" s="1336"/>
      <c r="F40" s="1336"/>
      <c r="G40" s="1336"/>
      <c r="H40" s="1336"/>
      <c r="I40" s="416"/>
      <c r="J40" s="417"/>
    </row>
    <row r="41" spans="1:10" ht="20.25" customHeight="1">
      <c r="A41" s="418"/>
      <c r="B41" s="1341"/>
      <c r="C41" s="1342"/>
      <c r="D41" s="1342"/>
      <c r="E41" s="1342"/>
      <c r="F41" s="1342"/>
      <c r="G41" s="1342"/>
      <c r="H41" s="1342"/>
      <c r="I41" s="416"/>
      <c r="J41" s="417"/>
    </row>
    <row r="42" spans="1:10" ht="41.25" customHeight="1">
      <c r="A42" s="418" t="s">
        <v>753</v>
      </c>
      <c r="B42" s="1390" t="s">
        <v>801</v>
      </c>
      <c r="C42" s="1342"/>
      <c r="D42" s="1342"/>
      <c r="E42" s="1342"/>
      <c r="F42" s="1342"/>
      <c r="G42" s="1342"/>
      <c r="H42" s="1342"/>
      <c r="I42" s="196"/>
      <c r="J42" s="510">
        <f>I42</f>
        <v>0</v>
      </c>
    </row>
    <row r="43" spans="1:10" ht="20.25" customHeight="1">
      <c r="A43" s="418"/>
      <c r="B43" s="1335" t="s">
        <v>802</v>
      </c>
      <c r="C43" s="1336"/>
      <c r="D43" s="1336"/>
      <c r="E43" s="1336"/>
      <c r="F43" s="1336"/>
      <c r="G43" s="1336"/>
      <c r="H43" s="1336"/>
      <c r="I43" s="416"/>
      <c r="J43" s="417"/>
    </row>
    <row r="44" spans="1:10" ht="21.75" customHeight="1">
      <c r="A44" s="418"/>
      <c r="B44" s="1335" t="s">
        <v>803</v>
      </c>
      <c r="C44" s="1336"/>
      <c r="D44" s="1336"/>
      <c r="E44" s="1336"/>
      <c r="F44" s="1336"/>
      <c r="G44" s="1336"/>
      <c r="H44" s="1336"/>
      <c r="I44" s="416"/>
      <c r="J44" s="417"/>
    </row>
    <row r="45" spans="1:10" ht="21.75" customHeight="1">
      <c r="A45" s="418"/>
      <c r="B45" s="1335" t="s">
        <v>804</v>
      </c>
      <c r="C45" s="1336"/>
      <c r="D45" s="1336"/>
      <c r="E45" s="1336"/>
      <c r="F45" s="1336"/>
      <c r="G45" s="1336"/>
      <c r="H45" s="1336"/>
      <c r="I45" s="416"/>
      <c r="J45" s="417"/>
    </row>
    <row r="46" spans="1:10" ht="24" customHeight="1">
      <c r="A46" s="418"/>
      <c r="B46" s="1335" t="s">
        <v>805</v>
      </c>
      <c r="C46" s="1336"/>
      <c r="D46" s="1336"/>
      <c r="E46" s="1336"/>
      <c r="F46" s="1336"/>
      <c r="G46" s="1336"/>
      <c r="H46" s="1336"/>
      <c r="I46" s="416"/>
      <c r="J46" s="417"/>
    </row>
    <row r="47" spans="1:10" ht="26.25" customHeight="1">
      <c r="A47" s="418"/>
      <c r="B47" s="1335" t="s">
        <v>806</v>
      </c>
      <c r="C47" s="1336"/>
      <c r="D47" s="1336"/>
      <c r="E47" s="1336"/>
      <c r="F47" s="1336"/>
      <c r="G47" s="1336"/>
      <c r="H47" s="1336"/>
      <c r="I47" s="416"/>
      <c r="J47" s="417"/>
    </row>
    <row r="48" spans="1:10" ht="19.5" customHeight="1">
      <c r="A48" s="418"/>
      <c r="B48" s="1341"/>
      <c r="C48" s="1342"/>
      <c r="D48" s="1342"/>
      <c r="E48" s="1342"/>
      <c r="F48" s="1342"/>
      <c r="G48" s="1342"/>
      <c r="H48" s="1342"/>
      <c r="I48" s="416"/>
      <c r="J48" s="417"/>
    </row>
    <row r="49" spans="1:10" ht="33.75" customHeight="1">
      <c r="A49" s="418" t="s">
        <v>752</v>
      </c>
      <c r="B49" s="1382" t="s">
        <v>848</v>
      </c>
      <c r="C49" s="1383"/>
      <c r="D49" s="1383"/>
      <c r="E49" s="1383"/>
      <c r="F49" s="1383"/>
      <c r="G49" s="1383"/>
      <c r="H49" s="1383"/>
      <c r="I49" s="416"/>
      <c r="J49" s="417"/>
    </row>
    <row r="50" spans="1:10" ht="58.5" customHeight="1">
      <c r="A50" s="422"/>
      <c r="B50" s="1340" t="s">
        <v>849</v>
      </c>
      <c r="C50" s="1343"/>
      <c r="D50" s="1343"/>
      <c r="E50" s="1343"/>
      <c r="F50" s="1343"/>
      <c r="G50" s="1343"/>
      <c r="H50" s="1343"/>
      <c r="I50" s="416"/>
      <c r="J50" s="417"/>
    </row>
    <row r="51" spans="1:10" ht="24" customHeight="1">
      <c r="A51" s="422"/>
      <c r="B51" s="1351" t="s">
        <v>850</v>
      </c>
      <c r="C51" s="1343"/>
      <c r="D51" s="1343"/>
      <c r="E51" s="1343"/>
      <c r="F51" s="1343"/>
      <c r="G51" s="1343"/>
      <c r="H51" s="1343"/>
      <c r="I51" s="190"/>
      <c r="J51" s="511">
        <f>I51</f>
        <v>0</v>
      </c>
    </row>
    <row r="52" spans="1:10" ht="47.25" customHeight="1">
      <c r="A52" s="422"/>
      <c r="B52" s="1338" t="s">
        <v>839</v>
      </c>
      <c r="C52" s="1352"/>
      <c r="D52" s="1352"/>
      <c r="E52" s="1352"/>
      <c r="F52" s="1352"/>
      <c r="G52" s="1352"/>
      <c r="H52" s="1352"/>
      <c r="I52" s="416"/>
      <c r="J52" s="417"/>
    </row>
    <row r="53" spans="1:10" ht="19.5" customHeight="1">
      <c r="A53" s="422"/>
      <c r="B53" s="423"/>
      <c r="C53" s="423"/>
      <c r="D53" s="423"/>
      <c r="E53" s="423"/>
      <c r="F53" s="423"/>
      <c r="G53" s="423"/>
      <c r="H53" s="423"/>
      <c r="I53" s="416"/>
      <c r="J53" s="417"/>
    </row>
    <row r="54" spans="1:10" ht="69.75" customHeight="1">
      <c r="A54" s="424" t="s">
        <v>754</v>
      </c>
      <c r="B54" s="1378" t="s">
        <v>808</v>
      </c>
      <c r="C54" s="1379"/>
      <c r="D54" s="1379"/>
      <c r="E54" s="1379"/>
      <c r="F54" s="1379"/>
      <c r="G54" s="1379"/>
      <c r="H54" s="1379"/>
      <c r="I54" s="762"/>
      <c r="J54" s="511">
        <f>I54</f>
        <v>0</v>
      </c>
    </row>
    <row r="55" spans="1:10" ht="69.75" customHeight="1">
      <c r="A55" s="424"/>
      <c r="B55" s="1384" t="s">
        <v>851</v>
      </c>
      <c r="C55" s="1385"/>
      <c r="D55" s="1385"/>
      <c r="E55" s="1385"/>
      <c r="F55" s="1385"/>
      <c r="G55" s="1385"/>
      <c r="H55" s="1385"/>
      <c r="I55" s="425"/>
      <c r="J55" s="426"/>
    </row>
    <row r="56" spans="1:10" ht="42" customHeight="1">
      <c r="A56" s="424"/>
      <c r="B56" s="1346" t="s">
        <v>841</v>
      </c>
      <c r="C56" s="1346"/>
      <c r="D56" s="1346"/>
      <c r="E56" s="1346"/>
      <c r="F56" s="1346"/>
      <c r="G56" s="1346"/>
      <c r="H56" s="1347"/>
      <c r="I56" s="190"/>
      <c r="J56" s="511">
        <f>I56</f>
        <v>0</v>
      </c>
    </row>
    <row r="57" spans="1:10" ht="42" customHeight="1">
      <c r="A57" s="424"/>
      <c r="B57" s="1346" t="s">
        <v>842</v>
      </c>
      <c r="C57" s="1346"/>
      <c r="D57" s="1346"/>
      <c r="E57" s="1346"/>
      <c r="F57" s="1346"/>
      <c r="G57" s="1346"/>
      <c r="H57" s="1347"/>
      <c r="I57" s="190"/>
      <c r="J57" s="511">
        <f>I57</f>
        <v>0</v>
      </c>
    </row>
    <row r="58" spans="1:10" ht="42" customHeight="1">
      <c r="A58" s="424"/>
      <c r="B58" s="1386" t="s">
        <v>843</v>
      </c>
      <c r="C58" s="1387"/>
      <c r="D58" s="1387"/>
      <c r="E58" s="1387"/>
      <c r="F58" s="1387"/>
      <c r="G58" s="1387"/>
      <c r="H58" s="1388"/>
      <c r="I58" s="190"/>
      <c r="J58" s="511">
        <f>I58</f>
        <v>0</v>
      </c>
    </row>
    <row r="59" spans="1:10" ht="42" customHeight="1">
      <c r="A59" s="424"/>
      <c r="B59" s="1348" t="s">
        <v>844</v>
      </c>
      <c r="C59" s="1348"/>
      <c r="D59" s="1348"/>
      <c r="E59" s="1348"/>
      <c r="F59" s="1348"/>
      <c r="G59" s="1348"/>
      <c r="H59" s="1349"/>
      <c r="I59" s="190"/>
      <c r="J59" s="511">
        <f>I59</f>
        <v>0</v>
      </c>
    </row>
    <row r="60" spans="1:10" ht="42" customHeight="1">
      <c r="A60" s="424"/>
      <c r="B60" s="1346" t="s">
        <v>845</v>
      </c>
      <c r="C60" s="1346"/>
      <c r="D60" s="1346"/>
      <c r="E60" s="1346"/>
      <c r="F60" s="1346"/>
      <c r="G60" s="1346"/>
      <c r="H60" s="1347"/>
      <c r="I60" s="190"/>
      <c r="J60" s="511">
        <f>I60</f>
        <v>0</v>
      </c>
    </row>
    <row r="61" spans="1:10">
      <c r="A61" s="424"/>
      <c r="B61" s="1380"/>
      <c r="C61" s="1380"/>
      <c r="D61" s="1380"/>
      <c r="E61" s="1380"/>
      <c r="F61" s="1380"/>
      <c r="G61" s="1380"/>
      <c r="H61" s="1380"/>
      <c r="I61" s="1380"/>
      <c r="J61" s="1381"/>
    </row>
    <row r="62" spans="1:10" ht="33" customHeight="1">
      <c r="A62" s="424" t="s">
        <v>757</v>
      </c>
      <c r="B62" s="1350" t="s">
        <v>809</v>
      </c>
      <c r="C62" s="1345"/>
      <c r="D62" s="1345"/>
      <c r="E62" s="1345"/>
      <c r="F62" s="1345"/>
      <c r="G62" s="1345"/>
      <c r="H62" s="1345"/>
      <c r="I62" s="197"/>
      <c r="J62" s="510">
        <f>I62</f>
        <v>0</v>
      </c>
    </row>
    <row r="63" spans="1:10" ht="53.25" customHeight="1">
      <c r="A63" s="424"/>
      <c r="B63" s="1335" t="s">
        <v>810</v>
      </c>
      <c r="C63" s="1336"/>
      <c r="D63" s="1336"/>
      <c r="E63" s="1336"/>
      <c r="F63" s="1336"/>
      <c r="G63" s="1336"/>
      <c r="H63" s="1336"/>
      <c r="I63" s="416"/>
      <c r="J63" s="417"/>
    </row>
    <row r="64" spans="1:10" ht="16">
      <c r="A64" s="424"/>
      <c r="B64" s="1335" t="s">
        <v>811</v>
      </c>
      <c r="C64" s="1336"/>
      <c r="D64" s="1336"/>
      <c r="E64" s="1336"/>
      <c r="F64" s="1336"/>
      <c r="G64" s="1336"/>
      <c r="H64" s="1336"/>
      <c r="I64" s="416"/>
      <c r="J64" s="417"/>
    </row>
    <row r="65" spans="1:10" ht="25.5" customHeight="1">
      <c r="A65" s="424"/>
      <c r="B65" s="1335" t="s">
        <v>812</v>
      </c>
      <c r="C65" s="1336"/>
      <c r="D65" s="1336"/>
      <c r="E65" s="1336"/>
      <c r="F65" s="1336"/>
      <c r="G65" s="1336"/>
      <c r="H65" s="1336"/>
      <c r="I65" s="416"/>
      <c r="J65" s="417"/>
    </row>
    <row r="66" spans="1:10" ht="25.5" customHeight="1">
      <c r="A66" s="424"/>
      <c r="B66" s="1335" t="s">
        <v>813</v>
      </c>
      <c r="C66" s="1336"/>
      <c r="D66" s="1336"/>
      <c r="E66" s="1336"/>
      <c r="F66" s="1336"/>
      <c r="G66" s="1336"/>
      <c r="H66" s="1336"/>
      <c r="I66" s="416"/>
      <c r="J66" s="417"/>
    </row>
    <row r="67" spans="1:10" ht="25.5" customHeight="1">
      <c r="A67" s="424"/>
      <c r="B67" s="1335" t="s">
        <v>814</v>
      </c>
      <c r="C67" s="1336"/>
      <c r="D67" s="1336"/>
      <c r="E67" s="1336"/>
      <c r="F67" s="1336"/>
      <c r="G67" s="1336"/>
      <c r="H67" s="1336"/>
      <c r="I67" s="416"/>
      <c r="J67" s="417"/>
    </row>
    <row r="68" spans="1:10" ht="25.5" customHeight="1">
      <c r="A68" s="424"/>
      <c r="B68" s="1335" t="s">
        <v>815</v>
      </c>
      <c r="C68" s="1336"/>
      <c r="D68" s="1336"/>
      <c r="E68" s="1336"/>
      <c r="F68" s="1336"/>
      <c r="G68" s="1336"/>
      <c r="H68" s="1336"/>
      <c r="I68" s="416"/>
      <c r="J68" s="417"/>
    </row>
    <row r="69" spans="1:10" ht="25.5" customHeight="1">
      <c r="A69" s="424"/>
      <c r="B69" s="1335" t="s">
        <v>816</v>
      </c>
      <c r="C69" s="1336"/>
      <c r="D69" s="1336"/>
      <c r="E69" s="1336"/>
      <c r="F69" s="1336"/>
      <c r="G69" s="1336"/>
      <c r="H69" s="1336"/>
      <c r="I69" s="416"/>
      <c r="J69" s="417"/>
    </row>
    <row r="70" spans="1:10" ht="25.5" customHeight="1">
      <c r="A70" s="424"/>
      <c r="B70" s="1335"/>
      <c r="C70" s="1336"/>
      <c r="D70" s="1336"/>
      <c r="E70" s="1336"/>
      <c r="F70" s="1336"/>
      <c r="G70" s="1336"/>
      <c r="H70" s="1336"/>
      <c r="I70" s="416"/>
      <c r="J70" s="417"/>
    </row>
    <row r="71" spans="1:10" ht="40.5" customHeight="1">
      <c r="A71" s="424" t="s">
        <v>852</v>
      </c>
      <c r="B71" s="1344" t="s">
        <v>817</v>
      </c>
      <c r="C71" s="1345"/>
      <c r="D71" s="1345"/>
      <c r="E71" s="1345"/>
      <c r="F71" s="1345"/>
      <c r="G71" s="1345"/>
      <c r="H71" s="1345"/>
      <c r="I71" s="197"/>
      <c r="J71" s="510">
        <f>I71</f>
        <v>0</v>
      </c>
    </row>
    <row r="72" spans="1:10" ht="59.25" customHeight="1">
      <c r="A72" s="424"/>
      <c r="B72" s="1332" t="s">
        <v>853</v>
      </c>
      <c r="C72" s="1337"/>
      <c r="D72" s="1337"/>
      <c r="E72" s="1337"/>
      <c r="F72" s="1337"/>
      <c r="G72" s="1337"/>
      <c r="H72" s="1337"/>
      <c r="I72" s="416"/>
      <c r="J72" s="417"/>
    </row>
    <row r="73" spans="1:10" ht="64.5" customHeight="1">
      <c r="A73" s="424"/>
      <c r="B73" s="1335" t="s">
        <v>818</v>
      </c>
      <c r="C73" s="1336"/>
      <c r="D73" s="1336"/>
      <c r="E73" s="1336"/>
      <c r="F73" s="1336"/>
      <c r="G73" s="1336"/>
      <c r="H73" s="1336"/>
      <c r="I73" s="416"/>
      <c r="J73" s="417"/>
    </row>
    <row r="74" spans="1:10" ht="25.5" customHeight="1">
      <c r="A74" s="424"/>
      <c r="B74" s="1341" t="s">
        <v>822</v>
      </c>
      <c r="C74" s="1336"/>
      <c r="D74" s="1336"/>
      <c r="E74" s="1336"/>
      <c r="F74" s="1336"/>
      <c r="G74" s="1336"/>
      <c r="H74" s="1336"/>
      <c r="I74" s="416"/>
      <c r="J74" s="417"/>
    </row>
    <row r="75" spans="1:10" ht="48.75" customHeight="1">
      <c r="A75" s="424"/>
      <c r="B75" s="1335" t="s">
        <v>819</v>
      </c>
      <c r="C75" s="1336"/>
      <c r="D75" s="1336"/>
      <c r="E75" s="1336"/>
      <c r="F75" s="1336"/>
      <c r="G75" s="1336"/>
      <c r="H75" s="1336"/>
      <c r="I75" s="416"/>
      <c r="J75" s="417"/>
    </row>
    <row r="76" spans="1:10" ht="23.25" customHeight="1">
      <c r="A76" s="424"/>
      <c r="B76" s="1375" t="s">
        <v>823</v>
      </c>
      <c r="C76" s="1376"/>
      <c r="D76" s="1376"/>
      <c r="E76" s="1376"/>
      <c r="F76" s="1376"/>
      <c r="G76" s="1376"/>
      <c r="H76" s="1376"/>
      <c r="I76" s="416"/>
      <c r="J76" s="417"/>
    </row>
    <row r="77" spans="1:10" ht="42.75" customHeight="1">
      <c r="A77" s="424"/>
      <c r="B77" s="1335" t="s">
        <v>820</v>
      </c>
      <c r="C77" s="1336"/>
      <c r="D77" s="1336"/>
      <c r="E77" s="1336"/>
      <c r="F77" s="1336"/>
      <c r="G77" s="1336"/>
      <c r="H77" s="1336"/>
      <c r="I77" s="416"/>
      <c r="J77" s="417"/>
    </row>
    <row r="78" spans="1:10" ht="21" customHeight="1">
      <c r="A78" s="424"/>
      <c r="B78" s="1375" t="s">
        <v>824</v>
      </c>
      <c r="C78" s="1376"/>
      <c r="D78" s="1376"/>
      <c r="E78" s="1376"/>
      <c r="F78" s="1376"/>
      <c r="G78" s="1376"/>
      <c r="H78" s="1376"/>
      <c r="I78" s="416"/>
      <c r="J78" s="417"/>
    </row>
    <row r="79" spans="1:10" ht="46.5" customHeight="1">
      <c r="A79" s="424"/>
      <c r="B79" s="1338" t="s">
        <v>821</v>
      </c>
      <c r="C79" s="1339"/>
      <c r="D79" s="1339"/>
      <c r="E79" s="1339"/>
      <c r="F79" s="1339"/>
      <c r="G79" s="1339"/>
      <c r="H79" s="1339"/>
      <c r="I79" s="1339"/>
      <c r="J79" s="417"/>
    </row>
    <row r="80" spans="1:10" ht="22.5" customHeight="1">
      <c r="A80" s="424"/>
      <c r="B80" s="1375" t="s">
        <v>855</v>
      </c>
      <c r="C80" s="1376"/>
      <c r="D80" s="1376"/>
      <c r="E80" s="1376"/>
      <c r="F80" s="1376"/>
      <c r="G80" s="1376"/>
      <c r="H80" s="1376"/>
      <c r="I80" s="416"/>
      <c r="J80" s="417"/>
    </row>
    <row r="81" spans="1:10" ht="34.5" customHeight="1">
      <c r="A81" s="424"/>
      <c r="B81" s="1340" t="s">
        <v>854</v>
      </c>
      <c r="C81" s="1339"/>
      <c r="D81" s="1339"/>
      <c r="E81" s="1339"/>
      <c r="F81" s="1339"/>
      <c r="G81" s="1339"/>
      <c r="H81" s="1339"/>
      <c r="I81" s="1339"/>
      <c r="J81" s="417"/>
    </row>
    <row r="82" spans="1:10" ht="21" customHeight="1">
      <c r="A82" s="424"/>
      <c r="B82" s="427"/>
      <c r="C82" s="428"/>
      <c r="D82" s="428"/>
      <c r="E82" s="428"/>
      <c r="F82" s="428"/>
      <c r="G82" s="428"/>
      <c r="H82" s="428"/>
      <c r="I82" s="428"/>
      <c r="J82" s="417"/>
    </row>
    <row r="83" spans="1:10" ht="34.5" customHeight="1">
      <c r="A83" s="424" t="s">
        <v>163</v>
      </c>
      <c r="B83" s="1373" t="s">
        <v>825</v>
      </c>
      <c r="C83" s="1374"/>
      <c r="D83" s="1374"/>
      <c r="E83" s="1374"/>
      <c r="F83" s="1374"/>
      <c r="G83" s="1374"/>
      <c r="H83" s="1374"/>
      <c r="I83" s="761"/>
      <c r="J83" s="510">
        <f>J84+J85</f>
        <v>0</v>
      </c>
    </row>
    <row r="84" spans="1:10" ht="54.75" customHeight="1">
      <c r="A84" s="424"/>
      <c r="B84" s="1330" t="s">
        <v>856</v>
      </c>
      <c r="C84" s="1331"/>
      <c r="D84" s="1331"/>
      <c r="E84" s="1331"/>
      <c r="F84" s="1331"/>
      <c r="G84" s="1331"/>
      <c r="H84" s="1331"/>
      <c r="I84" s="198"/>
      <c r="J84" s="510">
        <f>I84</f>
        <v>0</v>
      </c>
    </row>
    <row r="85" spans="1:10" ht="34.5" customHeight="1">
      <c r="A85" s="424"/>
      <c r="B85" s="1332" t="s">
        <v>857</v>
      </c>
      <c r="C85" s="1333"/>
      <c r="D85" s="1333"/>
      <c r="E85" s="1333"/>
      <c r="F85" s="1333"/>
      <c r="G85" s="1333"/>
      <c r="H85" s="1334"/>
      <c r="I85" s="198"/>
      <c r="J85" s="510">
        <f>I85</f>
        <v>0</v>
      </c>
    </row>
    <row r="86" spans="1:10" ht="31.5" customHeight="1">
      <c r="A86" s="424"/>
      <c r="B86" s="429"/>
      <c r="C86" s="430"/>
      <c r="D86" s="430"/>
      <c r="E86" s="430"/>
      <c r="F86" s="430"/>
      <c r="G86" s="430"/>
      <c r="H86" s="430"/>
      <c r="I86" s="416"/>
      <c r="J86" s="417"/>
    </row>
    <row r="87" spans="1:10" ht="24.75" customHeight="1">
      <c r="A87" s="424" t="s">
        <v>755</v>
      </c>
      <c r="B87" s="1344" t="s">
        <v>826</v>
      </c>
      <c r="C87" s="1345"/>
      <c r="D87" s="1345"/>
      <c r="E87" s="1345"/>
      <c r="F87" s="1345"/>
      <c r="G87" s="1345"/>
      <c r="H87" s="1345"/>
      <c r="I87" s="761"/>
      <c r="J87" s="510">
        <f>SUM(J89:J96)</f>
        <v>0</v>
      </c>
    </row>
    <row r="88" spans="1:10" ht="39.75" customHeight="1">
      <c r="A88" s="424"/>
      <c r="B88" s="1335" t="s">
        <v>827</v>
      </c>
      <c r="C88" s="1342"/>
      <c r="D88" s="1342"/>
      <c r="E88" s="1342"/>
      <c r="F88" s="1342"/>
      <c r="G88" s="1342"/>
      <c r="H88" s="1342"/>
      <c r="I88" s="416"/>
      <c r="J88" s="417"/>
    </row>
    <row r="89" spans="1:10" ht="37.5" customHeight="1">
      <c r="A89" s="424"/>
      <c r="B89" s="1358" t="s">
        <v>858</v>
      </c>
      <c r="C89" s="1336"/>
      <c r="D89" s="1336"/>
      <c r="E89" s="1336"/>
      <c r="F89" s="1336"/>
      <c r="G89" s="1336"/>
      <c r="H89" s="1336"/>
      <c r="I89" s="198"/>
      <c r="J89" s="510">
        <f t="shared" ref="J89:J96" si="0">I89</f>
        <v>0</v>
      </c>
    </row>
    <row r="90" spans="1:10" ht="33.75" customHeight="1">
      <c r="A90" s="424"/>
      <c r="B90" s="1358" t="s">
        <v>859</v>
      </c>
      <c r="C90" s="1336"/>
      <c r="D90" s="1336"/>
      <c r="E90" s="1336"/>
      <c r="F90" s="1336"/>
      <c r="G90" s="1336"/>
      <c r="H90" s="1336"/>
      <c r="I90" s="198"/>
      <c r="J90" s="510">
        <f t="shared" si="0"/>
        <v>0</v>
      </c>
    </row>
    <row r="91" spans="1:10" ht="36.75" customHeight="1">
      <c r="A91" s="424"/>
      <c r="B91" s="1358" t="s">
        <v>860</v>
      </c>
      <c r="C91" s="1336"/>
      <c r="D91" s="1336"/>
      <c r="E91" s="1336"/>
      <c r="F91" s="1336"/>
      <c r="G91" s="1336"/>
      <c r="H91" s="1336"/>
      <c r="I91" s="198"/>
      <c r="J91" s="510">
        <f t="shared" si="0"/>
        <v>0</v>
      </c>
    </row>
    <row r="92" spans="1:10" ht="130.5" customHeight="1">
      <c r="A92" s="424"/>
      <c r="B92" s="1338" t="s">
        <v>840</v>
      </c>
      <c r="C92" s="1352"/>
      <c r="D92" s="1352"/>
      <c r="E92" s="1352"/>
      <c r="F92" s="1352"/>
      <c r="G92" s="1352"/>
      <c r="H92" s="1377"/>
      <c r="I92" s="198"/>
      <c r="J92" s="510">
        <f t="shared" si="0"/>
        <v>0</v>
      </c>
    </row>
    <row r="93" spans="1:10" ht="50.25" customHeight="1">
      <c r="A93" s="424"/>
      <c r="B93" s="1358" t="s">
        <v>861</v>
      </c>
      <c r="C93" s="1336"/>
      <c r="D93" s="1336"/>
      <c r="E93" s="1336"/>
      <c r="F93" s="1336"/>
      <c r="G93" s="1336"/>
      <c r="H93" s="1336"/>
      <c r="I93" s="198"/>
      <c r="J93" s="510">
        <f t="shared" si="0"/>
        <v>0</v>
      </c>
    </row>
    <row r="94" spans="1:10" ht="57.75" customHeight="1">
      <c r="A94" s="431" t="s">
        <v>764</v>
      </c>
      <c r="B94" s="1354" t="s">
        <v>828</v>
      </c>
      <c r="C94" s="1355"/>
      <c r="D94" s="1355"/>
      <c r="E94" s="1355"/>
      <c r="F94" s="1355"/>
      <c r="G94" s="1355"/>
      <c r="H94" s="1355"/>
      <c r="I94" s="198"/>
      <c r="J94" s="510">
        <f t="shared" si="0"/>
        <v>0</v>
      </c>
    </row>
    <row r="95" spans="1:10" ht="60" customHeight="1">
      <c r="A95" s="431" t="s">
        <v>764</v>
      </c>
      <c r="B95" s="1356" t="s">
        <v>829</v>
      </c>
      <c r="C95" s="1357"/>
      <c r="D95" s="1357"/>
      <c r="E95" s="1357"/>
      <c r="F95" s="1357"/>
      <c r="G95" s="1357"/>
      <c r="H95" s="1357"/>
      <c r="I95" s="198"/>
      <c r="J95" s="510">
        <f t="shared" si="0"/>
        <v>0</v>
      </c>
    </row>
    <row r="96" spans="1:10" ht="57" customHeight="1">
      <c r="A96" s="431" t="s">
        <v>764</v>
      </c>
      <c r="B96" s="1354" t="s">
        <v>830</v>
      </c>
      <c r="C96" s="1355"/>
      <c r="D96" s="1355"/>
      <c r="E96" s="1355"/>
      <c r="F96" s="1355"/>
      <c r="G96" s="1355"/>
      <c r="H96" s="1355"/>
      <c r="I96" s="198"/>
      <c r="J96" s="510">
        <f t="shared" si="0"/>
        <v>0</v>
      </c>
    </row>
    <row r="97" spans="1:10" ht="22.5" customHeight="1">
      <c r="A97" s="432"/>
      <c r="B97" s="1335"/>
      <c r="C97" s="1336"/>
      <c r="D97" s="1336"/>
      <c r="E97" s="1336"/>
      <c r="F97" s="1336"/>
      <c r="G97" s="1336"/>
      <c r="H97" s="1336"/>
      <c r="I97" s="416"/>
      <c r="J97" s="417"/>
    </row>
    <row r="98" spans="1:10" ht="48" customHeight="1">
      <c r="A98" s="424" t="s">
        <v>756</v>
      </c>
      <c r="B98" s="1353" t="s">
        <v>831</v>
      </c>
      <c r="C98" s="1333"/>
      <c r="D98" s="1333"/>
      <c r="E98" s="1333"/>
      <c r="F98" s="1333"/>
      <c r="G98" s="1333"/>
      <c r="H98" s="1334"/>
      <c r="I98" s="198"/>
      <c r="J98" s="510">
        <f>I98</f>
        <v>0</v>
      </c>
    </row>
    <row r="99" spans="1:10" ht="87.75" customHeight="1">
      <c r="A99" s="424"/>
      <c r="B99" s="1365" t="s">
        <v>832</v>
      </c>
      <c r="C99" s="1331"/>
      <c r="D99" s="1331"/>
      <c r="E99" s="1331"/>
      <c r="F99" s="1331"/>
      <c r="G99" s="1331"/>
      <c r="H99" s="1331"/>
      <c r="I99" s="421"/>
      <c r="J99" s="417"/>
    </row>
    <row r="100" spans="1:10" ht="33" customHeight="1">
      <c r="A100" s="424"/>
      <c r="B100" s="1341" t="s">
        <v>767</v>
      </c>
      <c r="C100" s="1342"/>
      <c r="D100" s="1342"/>
      <c r="E100" s="1342"/>
      <c r="F100" s="1342"/>
      <c r="G100" s="1342"/>
      <c r="H100" s="1342"/>
      <c r="I100" s="416"/>
      <c r="J100" s="417"/>
    </row>
    <row r="101" spans="1:10" ht="42" customHeight="1">
      <c r="A101" s="424"/>
      <c r="B101" s="1365" t="s">
        <v>765</v>
      </c>
      <c r="C101" s="1331"/>
      <c r="D101" s="1331"/>
      <c r="E101" s="1331"/>
      <c r="F101" s="1331"/>
      <c r="G101" s="1331"/>
      <c r="H101" s="1331"/>
      <c r="I101" s="198"/>
      <c r="J101" s="510">
        <f>I101</f>
        <v>0</v>
      </c>
    </row>
    <row r="102" spans="1:10" ht="18.75" customHeight="1">
      <c r="A102" s="424"/>
      <c r="B102" s="1335" t="s">
        <v>833</v>
      </c>
      <c r="C102" s="1336"/>
      <c r="D102" s="1336"/>
      <c r="E102" s="1336"/>
      <c r="F102" s="1336"/>
      <c r="G102" s="1336"/>
      <c r="H102" s="1336"/>
      <c r="I102" s="416"/>
      <c r="J102" s="417"/>
    </row>
    <row r="103" spans="1:10" ht="36" customHeight="1">
      <c r="A103" s="424"/>
      <c r="B103" s="1341" t="s">
        <v>766</v>
      </c>
      <c r="C103" s="1342"/>
      <c r="D103" s="1342"/>
      <c r="E103" s="1342"/>
      <c r="F103" s="1342"/>
      <c r="G103" s="1342"/>
      <c r="H103" s="1342"/>
      <c r="I103" s="416"/>
      <c r="J103" s="417"/>
    </row>
    <row r="104" spans="1:10" ht="44.25" customHeight="1">
      <c r="A104" s="424"/>
      <c r="B104" s="1365" t="s">
        <v>834</v>
      </c>
      <c r="C104" s="1331"/>
      <c r="D104" s="1331"/>
      <c r="E104" s="1331"/>
      <c r="F104" s="1331"/>
      <c r="G104" s="1331"/>
      <c r="H104" s="1331"/>
      <c r="I104" s="198"/>
      <c r="J104" s="510">
        <f>I104</f>
        <v>0</v>
      </c>
    </row>
    <row r="105" spans="1:10" ht="15.75" customHeight="1">
      <c r="A105" s="424"/>
      <c r="B105" s="1335"/>
      <c r="C105" s="1336"/>
      <c r="D105" s="1336"/>
      <c r="E105" s="1336"/>
      <c r="F105" s="1336"/>
      <c r="G105" s="1336"/>
      <c r="H105" s="1336"/>
      <c r="I105" s="416"/>
      <c r="J105" s="417"/>
    </row>
    <row r="106" spans="1:10" ht="42" customHeight="1">
      <c r="A106" s="424" t="s">
        <v>757</v>
      </c>
      <c r="B106" s="1353" t="s">
        <v>835</v>
      </c>
      <c r="C106" s="1333"/>
      <c r="D106" s="1333"/>
      <c r="E106" s="1333"/>
      <c r="F106" s="1333"/>
      <c r="G106" s="1333"/>
      <c r="H106" s="1334"/>
      <c r="I106" s="198"/>
      <c r="J106" s="510">
        <f>I106</f>
        <v>0</v>
      </c>
    </row>
    <row r="107" spans="1:10" ht="72.75" customHeight="1">
      <c r="A107" s="424"/>
      <c r="B107" s="1365" t="s">
        <v>838</v>
      </c>
      <c r="C107" s="1366"/>
      <c r="D107" s="1366"/>
      <c r="E107" s="1366"/>
      <c r="F107" s="1366"/>
      <c r="G107" s="1366"/>
      <c r="H107" s="1366"/>
      <c r="I107" s="416"/>
      <c r="J107" s="417"/>
    </row>
    <row r="108" spans="1:10" ht="27.75" customHeight="1">
      <c r="A108" s="424"/>
      <c r="B108" s="1341"/>
      <c r="C108" s="1342"/>
      <c r="D108" s="1342"/>
      <c r="E108" s="1342"/>
      <c r="F108" s="1342"/>
      <c r="G108" s="1342"/>
      <c r="H108" s="1342"/>
      <c r="I108" s="416"/>
      <c r="J108" s="417"/>
    </row>
    <row r="109" spans="1:10" ht="45.75" customHeight="1">
      <c r="A109" s="424" t="s">
        <v>768</v>
      </c>
      <c r="B109" s="1353" t="s">
        <v>836</v>
      </c>
      <c r="C109" s="1333"/>
      <c r="D109" s="1333"/>
      <c r="E109" s="1333"/>
      <c r="F109" s="1333"/>
      <c r="G109" s="1333"/>
      <c r="H109" s="1334"/>
      <c r="I109" s="199"/>
      <c r="J109" s="512">
        <f>I109</f>
        <v>0</v>
      </c>
    </row>
    <row r="110" spans="1:10" ht="28.5" customHeight="1" thickBot="1">
      <c r="A110" s="424"/>
      <c r="B110" s="1371" t="s">
        <v>837</v>
      </c>
      <c r="C110" s="1372"/>
      <c r="D110" s="1372"/>
      <c r="E110" s="1372"/>
      <c r="F110" s="1372"/>
      <c r="G110" s="1372"/>
      <c r="H110" s="1372"/>
      <c r="I110" s="433"/>
      <c r="J110" s="434"/>
    </row>
    <row r="111" spans="1:10" ht="17" thickTop="1">
      <c r="A111" s="435"/>
      <c r="B111" s="1367" t="s">
        <v>660</v>
      </c>
      <c r="C111" s="1368"/>
      <c r="D111" s="1368"/>
      <c r="E111" s="1368"/>
      <c r="F111" s="1368"/>
      <c r="G111" s="1368"/>
      <c r="H111" s="1368"/>
      <c r="I111" s="1369"/>
      <c r="J111" s="1370"/>
    </row>
    <row r="112" spans="1:10" ht="13.5" customHeight="1">
      <c r="A112" s="436"/>
      <c r="B112" s="1363" t="s">
        <v>158</v>
      </c>
      <c r="C112" s="1363"/>
      <c r="D112" s="1363"/>
      <c r="E112" s="1363"/>
      <c r="F112" s="1363"/>
      <c r="G112" s="1363"/>
      <c r="H112" s="1363"/>
      <c r="I112" s="1359"/>
      <c r="J112" s="1361">
        <f>J109+J106+J98+J87+J83+J71+J62+J54+J51+J42+J35+J30+J25+J11+J5</f>
        <v>0</v>
      </c>
    </row>
    <row r="113" spans="1:10" ht="39" customHeight="1" thickBot="1">
      <c r="A113" s="437"/>
      <c r="B113" s="1364"/>
      <c r="C113" s="1364"/>
      <c r="D113" s="1364"/>
      <c r="E113" s="1364"/>
      <c r="F113" s="1364"/>
      <c r="G113" s="1364"/>
      <c r="H113" s="1364"/>
      <c r="I113" s="1360"/>
      <c r="J113" s="1362"/>
    </row>
    <row r="114" spans="1:10" ht="14" thickTop="1"/>
  </sheetData>
  <mergeCells count="108">
    <mergeCell ref="B5:H5"/>
    <mergeCell ref="B18:H18"/>
    <mergeCell ref="B14:H14"/>
    <mergeCell ref="B15:H15"/>
    <mergeCell ref="B16:H16"/>
    <mergeCell ref="B17:H17"/>
    <mergeCell ref="B19:H19"/>
    <mergeCell ref="B24:H24"/>
    <mergeCell ref="B6:H6"/>
    <mergeCell ref="B7:H7"/>
    <mergeCell ref="B13:J13"/>
    <mergeCell ref="B8:H8"/>
    <mergeCell ref="B9:H9"/>
    <mergeCell ref="B11:H11"/>
    <mergeCell ref="B12:H12"/>
    <mergeCell ref="B39:H39"/>
    <mergeCell ref="B40:H40"/>
    <mergeCell ref="B41:H41"/>
    <mergeCell ref="B46:H46"/>
    <mergeCell ref="B42:H42"/>
    <mergeCell ref="B44:H44"/>
    <mergeCell ref="B20:H20"/>
    <mergeCell ref="B21:H21"/>
    <mergeCell ref="B22:H22"/>
    <mergeCell ref="B68:H68"/>
    <mergeCell ref="B65:H65"/>
    <mergeCell ref="B66:H66"/>
    <mergeCell ref="B54:H54"/>
    <mergeCell ref="B56:H56"/>
    <mergeCell ref="B61:J61"/>
    <mergeCell ref="B25:H25"/>
    <mergeCell ref="B49:H49"/>
    <mergeCell ref="B55:H55"/>
    <mergeCell ref="B58:H58"/>
    <mergeCell ref="B26:H26"/>
    <mergeCell ref="B28:H28"/>
    <mergeCell ref="B29:H29"/>
    <mergeCell ref="B30:H30"/>
    <mergeCell ref="B31:H31"/>
    <mergeCell ref="B32:H32"/>
    <mergeCell ref="B33:H33"/>
    <mergeCell ref="B27:H27"/>
    <mergeCell ref="B35:H35"/>
    <mergeCell ref="B36:H36"/>
    <mergeCell ref="B34:H34"/>
    <mergeCell ref="B47:H47"/>
    <mergeCell ref="B37:H37"/>
    <mergeCell ref="B38:H38"/>
    <mergeCell ref="B93:H93"/>
    <mergeCell ref="B83:H83"/>
    <mergeCell ref="B87:H87"/>
    <mergeCell ref="B88:H88"/>
    <mergeCell ref="B76:H76"/>
    <mergeCell ref="B74:H74"/>
    <mergeCell ref="B75:H75"/>
    <mergeCell ref="B77:H77"/>
    <mergeCell ref="B78:H78"/>
    <mergeCell ref="B80:H80"/>
    <mergeCell ref="B92:H92"/>
    <mergeCell ref="B91:H91"/>
    <mergeCell ref="B98:H98"/>
    <mergeCell ref="B96:H96"/>
    <mergeCell ref="B94:H94"/>
    <mergeCell ref="B95:H95"/>
    <mergeCell ref="B89:H89"/>
    <mergeCell ref="B90:H90"/>
    <mergeCell ref="I112:I113"/>
    <mergeCell ref="J112:J113"/>
    <mergeCell ref="B112:H113"/>
    <mergeCell ref="B108:H108"/>
    <mergeCell ref="B99:H99"/>
    <mergeCell ref="B97:H97"/>
    <mergeCell ref="B107:H107"/>
    <mergeCell ref="B111:H111"/>
    <mergeCell ref="I111:J111"/>
    <mergeCell ref="B103:H103"/>
    <mergeCell ref="B104:H104"/>
    <mergeCell ref="B100:H100"/>
    <mergeCell ref="B101:H101"/>
    <mergeCell ref="B102:H102"/>
    <mergeCell ref="B110:H110"/>
    <mergeCell ref="B109:H109"/>
    <mergeCell ref="B105:H105"/>
    <mergeCell ref="B106:H106"/>
    <mergeCell ref="H1:I1"/>
    <mergeCell ref="B2:H2"/>
    <mergeCell ref="B84:H84"/>
    <mergeCell ref="B85:H85"/>
    <mergeCell ref="B43:H43"/>
    <mergeCell ref="B72:H72"/>
    <mergeCell ref="B79:I79"/>
    <mergeCell ref="B81:I81"/>
    <mergeCell ref="B48:H48"/>
    <mergeCell ref="B50:H50"/>
    <mergeCell ref="B45:H45"/>
    <mergeCell ref="B69:H69"/>
    <mergeCell ref="B70:H70"/>
    <mergeCell ref="B71:H71"/>
    <mergeCell ref="B73:H73"/>
    <mergeCell ref="B57:H57"/>
    <mergeCell ref="B60:H60"/>
    <mergeCell ref="B59:H59"/>
    <mergeCell ref="B62:H62"/>
    <mergeCell ref="B63:H63"/>
    <mergeCell ref="B64:H64"/>
    <mergeCell ref="B51:H51"/>
    <mergeCell ref="B52:H52"/>
    <mergeCell ref="B67:H67"/>
  </mergeCells>
  <pageMargins left="0.5" right="0.5" top="0.75" bottom="0.75" header="0.3" footer="0.3"/>
  <pageSetup scale="88" fitToHeight="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E35"/>
  <sheetViews>
    <sheetView workbookViewId="0">
      <selection activeCell="A2" sqref="A2:K2"/>
    </sheetView>
  </sheetViews>
  <sheetFormatPr baseColWidth="10" defaultColWidth="8.83203125" defaultRowHeight="13"/>
  <cols>
    <col min="1" max="1" width="43.5" customWidth="1"/>
    <col min="2" max="2" width="34.6640625" customWidth="1"/>
    <col min="5" max="5" width="15.5" customWidth="1"/>
    <col min="6" max="6" width="13.33203125" customWidth="1"/>
    <col min="7" max="7" width="18.1640625" style="105" customWidth="1"/>
    <col min="8" max="9" width="18.33203125" style="105" customWidth="1"/>
    <col min="10" max="10" width="17.83203125" customWidth="1"/>
    <col min="11" max="11" width="36.5" customWidth="1"/>
    <col min="28" max="30" width="9.1640625" hidden="1" customWidth="1"/>
    <col min="31" max="32" width="0" hidden="1" customWidth="1"/>
  </cols>
  <sheetData>
    <row r="1" spans="1:31" ht="14" thickBot="1">
      <c r="A1" s="406" t="s">
        <v>747</v>
      </c>
      <c r="B1" s="824">
        <f>+Cover!D6</f>
        <v>91818</v>
      </c>
      <c r="C1" s="407"/>
      <c r="D1" s="407"/>
      <c r="E1" s="407"/>
      <c r="F1" s="407"/>
      <c r="G1" s="408"/>
      <c r="H1" s="408"/>
      <c r="I1" s="1398">
        <f>+Cover!E9</f>
        <v>0</v>
      </c>
      <c r="J1" s="1398"/>
      <c r="K1" s="1398"/>
    </row>
    <row r="2" spans="1:31" ht="29.25" customHeight="1" thickTop="1">
      <c r="A2" s="1404" t="s">
        <v>640</v>
      </c>
      <c r="B2" s="1404"/>
      <c r="C2" s="1404"/>
      <c r="D2" s="1404"/>
      <c r="E2" s="1404"/>
      <c r="F2" s="1404"/>
      <c r="G2" s="1404"/>
      <c r="H2" s="1404"/>
      <c r="I2" s="1404"/>
      <c r="J2" s="1404"/>
      <c r="K2" s="1404"/>
    </row>
    <row r="3" spans="1:31" ht="29.25" customHeight="1">
      <c r="A3" s="1405"/>
      <c r="B3" s="1405"/>
      <c r="C3" s="1405"/>
      <c r="D3" s="1405"/>
      <c r="E3" s="1405"/>
      <c r="F3" s="1405"/>
      <c r="G3" s="1405"/>
      <c r="H3" s="1405"/>
      <c r="I3" s="1405"/>
      <c r="J3" s="1405"/>
      <c r="K3" s="1405"/>
    </row>
    <row r="4" spans="1:31" ht="37.5" customHeight="1">
      <c r="A4" s="1399" t="s">
        <v>641</v>
      </c>
      <c r="B4" s="1399" t="s">
        <v>642</v>
      </c>
      <c r="C4" s="1399" t="s">
        <v>643</v>
      </c>
      <c r="D4" s="1399" t="s">
        <v>644</v>
      </c>
      <c r="E4" s="1399" t="s">
        <v>645</v>
      </c>
      <c r="F4" s="1400" t="s">
        <v>646</v>
      </c>
      <c r="G4" s="1406" t="s">
        <v>647</v>
      </c>
      <c r="H4" s="1406" t="s">
        <v>657</v>
      </c>
      <c r="I4" s="1402" t="s">
        <v>658</v>
      </c>
      <c r="J4" s="1399" t="s">
        <v>652</v>
      </c>
      <c r="K4" s="1399" t="s">
        <v>648</v>
      </c>
    </row>
    <row r="5" spans="1:31">
      <c r="A5" s="1399"/>
      <c r="B5" s="1399"/>
      <c r="C5" s="1399"/>
      <c r="D5" s="1399"/>
      <c r="E5" s="1399"/>
      <c r="F5" s="1401"/>
      <c r="G5" s="1406"/>
      <c r="H5" s="1406"/>
      <c r="I5" s="1403"/>
      <c r="J5" s="1399"/>
      <c r="K5" s="1399"/>
      <c r="AB5" s="106" t="s">
        <v>649</v>
      </c>
      <c r="AC5" s="106" t="s">
        <v>650</v>
      </c>
      <c r="AD5" s="106" t="s">
        <v>30</v>
      </c>
      <c r="AE5" s="106" t="s">
        <v>653</v>
      </c>
    </row>
    <row r="6" spans="1:31">
      <c r="A6" s="109"/>
      <c r="B6" s="110"/>
      <c r="C6" s="110"/>
      <c r="D6" s="110"/>
      <c r="E6" s="110"/>
      <c r="F6" s="110"/>
      <c r="G6" s="111"/>
      <c r="H6" s="111"/>
      <c r="I6" s="111"/>
      <c r="J6" s="110"/>
      <c r="K6" s="110"/>
      <c r="AB6" s="106" t="s">
        <v>483</v>
      </c>
      <c r="AC6" s="106" t="s">
        <v>651</v>
      </c>
      <c r="AD6" s="106" t="s">
        <v>24</v>
      </c>
      <c r="AE6" s="106" t="s">
        <v>654</v>
      </c>
    </row>
    <row r="7" spans="1:31">
      <c r="A7" s="109"/>
      <c r="B7" s="110"/>
      <c r="C7" s="110"/>
      <c r="D7" s="110"/>
      <c r="E7" s="110"/>
      <c r="F7" s="110"/>
      <c r="G7" s="111"/>
      <c r="H7" s="111"/>
      <c r="I7" s="111"/>
      <c r="J7" s="110"/>
      <c r="K7" s="110"/>
    </row>
    <row r="8" spans="1:31">
      <c r="A8" s="109"/>
      <c r="B8" s="110"/>
      <c r="C8" s="110"/>
      <c r="D8" s="110"/>
      <c r="E8" s="110"/>
      <c r="F8" s="110"/>
      <c r="G8" s="111"/>
      <c r="H8" s="111"/>
      <c r="I8" s="111"/>
      <c r="J8" s="110"/>
      <c r="K8" s="110"/>
    </row>
    <row r="9" spans="1:31">
      <c r="A9" s="109"/>
      <c r="B9" s="110"/>
      <c r="C9" s="110"/>
      <c r="D9" s="110"/>
      <c r="E9" s="110"/>
      <c r="F9" s="110"/>
      <c r="G9" s="111"/>
      <c r="H9" s="111"/>
      <c r="I9" s="111"/>
      <c r="J9" s="110"/>
      <c r="K9" s="110"/>
    </row>
    <row r="10" spans="1:31">
      <c r="A10" s="109"/>
      <c r="B10" s="110"/>
      <c r="C10" s="110"/>
      <c r="D10" s="110"/>
      <c r="E10" s="110"/>
      <c r="F10" s="110"/>
      <c r="G10" s="111"/>
      <c r="H10" s="111"/>
      <c r="I10" s="111"/>
      <c r="J10" s="110"/>
      <c r="K10" s="110"/>
    </row>
    <row r="11" spans="1:31">
      <c r="A11" s="109"/>
      <c r="B11" s="110"/>
      <c r="C11" s="110"/>
      <c r="D11" s="110"/>
      <c r="E11" s="110"/>
      <c r="F11" s="110"/>
      <c r="G11" s="111"/>
      <c r="H11" s="111"/>
      <c r="I11" s="111"/>
      <c r="J11" s="110"/>
      <c r="K11" s="110"/>
    </row>
    <row r="12" spans="1:31">
      <c r="A12" s="109"/>
      <c r="B12" s="110"/>
      <c r="C12" s="110"/>
      <c r="D12" s="110"/>
      <c r="E12" s="110"/>
      <c r="F12" s="110"/>
      <c r="G12" s="111"/>
      <c r="H12" s="111"/>
      <c r="I12" s="111"/>
      <c r="J12" s="110"/>
      <c r="K12" s="110"/>
    </row>
    <row r="13" spans="1:31">
      <c r="A13" s="109"/>
      <c r="B13" s="110"/>
      <c r="C13" s="110"/>
      <c r="D13" s="110"/>
      <c r="E13" s="110"/>
      <c r="F13" s="110"/>
      <c r="G13" s="111"/>
      <c r="H13" s="111"/>
      <c r="I13" s="111"/>
      <c r="J13" s="110"/>
      <c r="K13" s="110"/>
    </row>
    <row r="14" spans="1:31">
      <c r="A14" s="109"/>
      <c r="B14" s="110"/>
      <c r="C14" s="110"/>
      <c r="D14" s="110"/>
      <c r="E14" s="110"/>
      <c r="F14" s="110"/>
      <c r="G14" s="111"/>
      <c r="H14" s="111"/>
      <c r="I14" s="111"/>
      <c r="J14" s="110"/>
      <c r="K14" s="110"/>
    </row>
    <row r="15" spans="1:31">
      <c r="A15" s="109"/>
      <c r="B15" s="110"/>
      <c r="C15" s="110"/>
      <c r="D15" s="110"/>
      <c r="E15" s="110"/>
      <c r="F15" s="110"/>
      <c r="G15" s="111"/>
      <c r="H15" s="111"/>
      <c r="I15" s="111"/>
      <c r="J15" s="110"/>
      <c r="K15" s="110"/>
    </row>
    <row r="16" spans="1:31">
      <c r="A16" s="109"/>
      <c r="B16" s="110"/>
      <c r="C16" s="110"/>
      <c r="D16" s="110"/>
      <c r="E16" s="110"/>
      <c r="F16" s="110"/>
      <c r="G16" s="111"/>
      <c r="H16" s="111"/>
      <c r="I16" s="111"/>
      <c r="J16" s="110"/>
      <c r="K16" s="110"/>
    </row>
    <row r="17" spans="1:11">
      <c r="A17" s="109"/>
      <c r="B17" s="110"/>
      <c r="C17" s="110"/>
      <c r="D17" s="110"/>
      <c r="E17" s="110"/>
      <c r="F17" s="110"/>
      <c r="G17" s="111"/>
      <c r="H17" s="111"/>
      <c r="I17" s="111"/>
      <c r="J17" s="110"/>
      <c r="K17" s="110"/>
    </row>
    <row r="18" spans="1:11">
      <c r="A18" s="109"/>
      <c r="B18" s="110"/>
      <c r="C18" s="110"/>
      <c r="D18" s="110"/>
      <c r="E18" s="110"/>
      <c r="F18" s="110"/>
      <c r="G18" s="111"/>
      <c r="H18" s="111"/>
      <c r="I18" s="111"/>
      <c r="J18" s="110"/>
      <c r="K18" s="110"/>
    </row>
    <row r="19" spans="1:11">
      <c r="A19" s="109"/>
      <c r="B19" s="110"/>
      <c r="C19" s="110"/>
      <c r="D19" s="110"/>
      <c r="E19" s="110"/>
      <c r="F19" s="110"/>
      <c r="G19" s="111"/>
      <c r="H19" s="111"/>
      <c r="I19" s="111"/>
      <c r="J19" s="110"/>
      <c r="K19" s="110"/>
    </row>
    <row r="20" spans="1:11">
      <c r="A20" s="109"/>
      <c r="B20" s="110"/>
      <c r="C20" s="110"/>
      <c r="D20" s="110"/>
      <c r="E20" s="110"/>
      <c r="F20" s="110"/>
      <c r="G20" s="111"/>
      <c r="H20" s="111"/>
      <c r="I20" s="111"/>
      <c r="J20" s="110"/>
      <c r="K20" s="110"/>
    </row>
    <row r="21" spans="1:11">
      <c r="A21" s="109"/>
      <c r="B21" s="110"/>
      <c r="C21" s="110"/>
      <c r="D21" s="110"/>
      <c r="E21" s="110"/>
      <c r="F21" s="110"/>
      <c r="G21" s="111"/>
      <c r="H21" s="111"/>
      <c r="I21" s="111"/>
      <c r="J21" s="110"/>
      <c r="K21" s="110"/>
    </row>
    <row r="22" spans="1:11">
      <c r="A22" s="109"/>
      <c r="B22" s="110"/>
      <c r="C22" s="110"/>
      <c r="D22" s="110"/>
      <c r="E22" s="110"/>
      <c r="F22" s="110"/>
      <c r="G22" s="111"/>
      <c r="H22" s="111"/>
      <c r="I22" s="111"/>
      <c r="J22" s="110"/>
      <c r="K22" s="110"/>
    </row>
    <row r="23" spans="1:11">
      <c r="A23" s="109"/>
      <c r="B23" s="110"/>
      <c r="C23" s="110"/>
      <c r="D23" s="110"/>
      <c r="E23" s="110"/>
      <c r="F23" s="110"/>
      <c r="G23" s="111"/>
      <c r="H23" s="111"/>
      <c r="I23" s="111"/>
      <c r="J23" s="110"/>
      <c r="K23" s="110"/>
    </row>
    <row r="24" spans="1:11">
      <c r="A24" s="109"/>
      <c r="B24" s="110"/>
      <c r="C24" s="110"/>
      <c r="D24" s="110"/>
      <c r="E24" s="110"/>
      <c r="F24" s="110"/>
      <c r="G24" s="111"/>
      <c r="H24" s="111"/>
      <c r="I24" s="111"/>
      <c r="J24" s="110"/>
      <c r="K24" s="110"/>
    </row>
    <row r="25" spans="1:11">
      <c r="A25" s="109"/>
      <c r="B25" s="110"/>
      <c r="C25" s="110"/>
      <c r="D25" s="110"/>
      <c r="E25" s="110"/>
      <c r="F25" s="110"/>
      <c r="G25" s="111"/>
      <c r="H25" s="111"/>
      <c r="I25" s="111"/>
      <c r="J25" s="110"/>
      <c r="K25" s="110"/>
    </row>
    <row r="26" spans="1:11">
      <c r="A26" s="109"/>
      <c r="B26" s="110"/>
      <c r="C26" s="110"/>
      <c r="D26" s="110"/>
      <c r="E26" s="110"/>
      <c r="F26" s="110"/>
      <c r="G26" s="111"/>
      <c r="H26" s="111"/>
      <c r="I26" s="111"/>
      <c r="J26" s="110"/>
      <c r="K26" s="110"/>
    </row>
    <row r="27" spans="1:11">
      <c r="A27" s="109"/>
      <c r="B27" s="110"/>
      <c r="C27" s="110"/>
      <c r="D27" s="110"/>
      <c r="E27" s="110"/>
      <c r="F27" s="110"/>
      <c r="G27" s="111"/>
      <c r="H27" s="111"/>
      <c r="I27" s="111"/>
      <c r="J27" s="110"/>
      <c r="K27" s="110"/>
    </row>
    <row r="28" spans="1:11">
      <c r="A28" s="109"/>
      <c r="B28" s="110"/>
      <c r="C28" s="110"/>
      <c r="D28" s="110"/>
      <c r="E28" s="110"/>
      <c r="F28" s="110"/>
      <c r="G28" s="111"/>
      <c r="H28" s="111"/>
      <c r="I28" s="111"/>
      <c r="J28" s="110"/>
      <c r="K28" s="110"/>
    </row>
    <row r="29" spans="1:11">
      <c r="A29" s="109"/>
      <c r="B29" s="110"/>
      <c r="C29" s="110"/>
      <c r="D29" s="110"/>
      <c r="E29" s="110"/>
      <c r="F29" s="110"/>
      <c r="G29" s="111"/>
      <c r="H29" s="111"/>
      <c r="I29" s="111"/>
      <c r="J29" s="110"/>
      <c r="K29" s="110"/>
    </row>
    <row r="30" spans="1:11" ht="14" thickBot="1">
      <c r="A30" s="112"/>
      <c r="B30" s="113"/>
      <c r="C30" s="113"/>
      <c r="D30" s="113"/>
      <c r="E30" s="113"/>
      <c r="F30" s="113"/>
      <c r="G30" s="114"/>
      <c r="H30" s="114"/>
      <c r="I30" s="114"/>
      <c r="J30" s="113"/>
      <c r="K30" s="113"/>
    </row>
    <row r="31" spans="1:11" ht="14" thickTop="1">
      <c r="A31" s="407"/>
      <c r="B31" s="407"/>
      <c r="C31" s="407"/>
      <c r="D31" s="407"/>
      <c r="E31" s="407"/>
      <c r="F31" s="407"/>
      <c r="G31" s="408"/>
      <c r="H31" s="408"/>
      <c r="I31" s="408"/>
      <c r="J31" s="407"/>
      <c r="K31" s="407"/>
    </row>
    <row r="32" spans="1:11" ht="16">
      <c r="A32" s="409" t="s">
        <v>655</v>
      </c>
      <c r="B32" s="407"/>
      <c r="C32" s="407"/>
      <c r="D32" s="407"/>
      <c r="E32" s="407"/>
      <c r="F32" s="407"/>
      <c r="G32" s="408"/>
      <c r="H32" s="408"/>
      <c r="I32" s="408"/>
      <c r="J32" s="407"/>
      <c r="K32" s="407"/>
    </row>
    <row r="33" spans="1:11" ht="16">
      <c r="A33" s="409"/>
      <c r="B33" s="407"/>
      <c r="C33" s="407"/>
      <c r="D33" s="407"/>
      <c r="E33" s="407"/>
      <c r="F33" s="407"/>
      <c r="G33" s="408"/>
      <c r="H33" s="408"/>
      <c r="I33" s="408"/>
      <c r="J33" s="407"/>
      <c r="K33" s="407"/>
    </row>
    <row r="34" spans="1:11" ht="16">
      <c r="A34" s="409" t="s">
        <v>656</v>
      </c>
      <c r="B34" s="407"/>
      <c r="C34" s="407"/>
      <c r="D34" s="407"/>
      <c r="E34" s="407"/>
      <c r="F34" s="407"/>
      <c r="G34" s="408"/>
      <c r="H34" s="408"/>
      <c r="I34" s="408"/>
      <c r="J34" s="407"/>
      <c r="K34" s="407"/>
    </row>
    <row r="35" spans="1:11" ht="16">
      <c r="A35" s="104"/>
    </row>
  </sheetData>
  <sheetProtection algorithmName="SHA-512" hashValue="Z7sOKc/t6XhGdXN/CqnasKwp9Mug+FsU82GYyRKfJ5GMWF+uBs4ATVfO0u5z+C/UJWMIM2b2/OoLJJh6zDr6DA==" saltValue="AyxC5wjLJ8DFjfBtm4f8Jw==" spinCount="100000" sheet="1" objects="1" scenarios="1"/>
  <mergeCells count="14">
    <mergeCell ref="I1:K1"/>
    <mergeCell ref="K4:K5"/>
    <mergeCell ref="F4:F5"/>
    <mergeCell ref="I4:I5"/>
    <mergeCell ref="A2:K2"/>
    <mergeCell ref="A3:K3"/>
    <mergeCell ref="A4:A5"/>
    <mergeCell ref="B4:B5"/>
    <mergeCell ref="C4:C5"/>
    <mergeCell ref="D4:D5"/>
    <mergeCell ref="E4:E5"/>
    <mergeCell ref="G4:G5"/>
    <mergeCell ref="H4:H5"/>
    <mergeCell ref="J4:J5"/>
  </mergeCells>
  <dataValidations count="4">
    <dataValidation type="list" allowBlank="1" showInputMessage="1" showErrorMessage="1" sqref="D6:D30" xr:uid="{00000000-0002-0000-1200-000000000000}">
      <formula1>$AB$5:$AB$6</formula1>
    </dataValidation>
    <dataValidation type="list" allowBlank="1" showInputMessage="1" showErrorMessage="1" sqref="E6:E30" xr:uid="{00000000-0002-0000-1200-000001000000}">
      <formula1>$AC$5:$AC$6</formula1>
    </dataValidation>
    <dataValidation type="list" allowBlank="1" showInputMessage="1" showErrorMessage="1" sqref="F6:F30" xr:uid="{00000000-0002-0000-1200-000002000000}">
      <formula1>$AD$5:$AD$6</formula1>
    </dataValidation>
    <dataValidation type="list" allowBlank="1" showInputMessage="1" showErrorMessage="1" sqref="J6:J30" xr:uid="{00000000-0002-0000-1200-000003000000}">
      <formula1>$AE$5:$AE$6</formula1>
    </dataValidation>
  </dataValidations>
  <pageMargins left="0.7" right="0.7" top="0.75" bottom="0.75" header="0.3" footer="0.3"/>
  <pageSetup scale="53"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F146"/>
  <sheetViews>
    <sheetView tabSelected="1" topLeftCell="A10" zoomScaleNormal="100" workbookViewId="0">
      <selection activeCell="E27" sqref="E27:G27"/>
    </sheetView>
  </sheetViews>
  <sheetFormatPr baseColWidth="10" defaultColWidth="9.1640625" defaultRowHeight="12"/>
  <cols>
    <col min="1" max="2" width="3.6640625" style="4" customWidth="1"/>
    <col min="3" max="3" width="9.1640625" style="4"/>
    <col min="4" max="4" width="34.83203125" style="4" customWidth="1"/>
    <col min="5" max="6" width="9.1640625" style="4"/>
    <col min="7" max="7" width="30.33203125" style="4" customWidth="1"/>
    <col min="8" max="8" width="34" style="4" customWidth="1"/>
    <col min="9" max="10" width="3.6640625" style="4" customWidth="1"/>
    <col min="11" max="14" width="9.1640625" style="4"/>
    <col min="15" max="15" width="9.1640625" style="4" customWidth="1"/>
    <col min="16" max="16" width="97.33203125" style="4" customWidth="1"/>
    <col min="17" max="34" width="9.1640625" style="4" hidden="1" customWidth="1"/>
    <col min="35" max="35" width="25.1640625" style="4" hidden="1" customWidth="1"/>
    <col min="36" max="44" width="9.1640625" style="4" hidden="1" customWidth="1"/>
    <col min="45" max="45" width="31.6640625" style="4" hidden="1" customWidth="1"/>
    <col min="46" max="50" width="11.1640625" style="4" hidden="1" customWidth="1"/>
    <col min="51" max="51" width="25.5" style="4" hidden="1" customWidth="1"/>
    <col min="52" max="52" width="9.1640625" style="4" hidden="1" customWidth="1"/>
    <col min="53" max="53" width="24.6640625" style="4" hidden="1" customWidth="1"/>
    <col min="54" max="55" width="9.1640625" style="4" hidden="1" customWidth="1"/>
    <col min="56" max="56" width="46.83203125" style="4" hidden="1" customWidth="1"/>
    <col min="57" max="57" width="23.83203125" style="4" hidden="1" customWidth="1"/>
    <col min="58" max="59" width="9.1640625" style="4" hidden="1" customWidth="1"/>
    <col min="60" max="60" width="12.83203125" style="4" hidden="1" customWidth="1"/>
    <col min="61" max="61" width="9.1640625" style="4" hidden="1" customWidth="1"/>
    <col min="62" max="62" width="10.1640625" style="4" hidden="1" customWidth="1"/>
    <col min="63" max="63" width="11.1640625" style="4" hidden="1" customWidth="1"/>
    <col min="64" max="64" width="12.33203125" style="4" hidden="1" customWidth="1"/>
    <col min="65" max="65" width="9.1640625" style="4" hidden="1" customWidth="1"/>
    <col min="66" max="66" width="9.83203125" style="4" hidden="1" customWidth="1"/>
    <col min="67" max="67" width="9.1640625" style="4" hidden="1" customWidth="1"/>
    <col min="68" max="68" width="11.5" style="4" hidden="1" customWidth="1"/>
    <col min="69" max="84" width="9.1640625" style="4" hidden="1" customWidth="1"/>
    <col min="85" max="85" width="0" style="4" hidden="1" customWidth="1"/>
    <col min="86" max="16384" width="9.1640625" style="4"/>
  </cols>
  <sheetData>
    <row r="1" spans="1:72" ht="17.25" customHeight="1" thickTop="1">
      <c r="A1" s="540" t="s">
        <v>9</v>
      </c>
      <c r="B1" s="541"/>
      <c r="C1" s="542"/>
      <c r="D1" s="543"/>
      <c r="E1" s="542"/>
      <c r="F1" s="542"/>
      <c r="G1" s="542"/>
      <c r="H1" s="544"/>
      <c r="I1" s="7"/>
      <c r="AS1" s="545"/>
    </row>
    <row r="2" spans="1:72" ht="15" customHeight="1">
      <c r="A2" s="959">
        <f>+Cover!D6</f>
        <v>91818</v>
      </c>
      <c r="B2" s="960"/>
      <c r="C2" s="960"/>
      <c r="D2" s="547"/>
      <c r="E2" s="547"/>
      <c r="F2" s="218"/>
      <c r="G2" s="218"/>
      <c r="H2" s="223"/>
      <c r="I2" s="7"/>
      <c r="AS2" s="952"/>
      <c r="AT2" s="952"/>
      <c r="AU2" s="952"/>
      <c r="AV2" s="952"/>
      <c r="AW2" s="952"/>
      <c r="AX2" s="952"/>
      <c r="AY2" s="548"/>
      <c r="AZ2" s="548"/>
      <c r="BA2" s="548"/>
      <c r="BB2" s="548"/>
      <c r="BF2" s="915"/>
      <c r="BG2" s="915"/>
      <c r="BH2" s="915"/>
      <c r="BI2" s="915"/>
      <c r="BJ2" s="915"/>
      <c r="BK2" s="915"/>
      <c r="BL2" s="915"/>
      <c r="BM2" s="915"/>
      <c r="BN2" s="915"/>
      <c r="BO2" s="915"/>
    </row>
    <row r="3" spans="1:72" ht="54.75" customHeight="1" thickBot="1">
      <c r="A3" s="546"/>
      <c r="B3" s="218"/>
      <c r="C3" s="549"/>
      <c r="D3" s="549"/>
      <c r="E3" s="550"/>
      <c r="F3" s="218"/>
      <c r="G3" s="218"/>
      <c r="H3" s="223"/>
      <c r="I3" s="7"/>
      <c r="AI3" s="961" t="s">
        <v>1198</v>
      </c>
      <c r="AJ3" s="961"/>
      <c r="AS3" s="545"/>
      <c r="AT3" s="551"/>
      <c r="AU3" s="551"/>
      <c r="AV3" s="551"/>
      <c r="AW3" s="551"/>
      <c r="AX3" s="552"/>
      <c r="AY3" s="551"/>
      <c r="AZ3" s="551"/>
      <c r="BA3" s="551"/>
      <c r="BB3" s="551"/>
      <c r="BF3" s="553"/>
      <c r="BG3" s="553"/>
      <c r="BH3" s="554"/>
      <c r="BI3" s="553"/>
      <c r="BJ3" s="553"/>
      <c r="BK3" s="553"/>
      <c r="BL3" s="553"/>
      <c r="BM3" s="553"/>
      <c r="BN3" s="553"/>
      <c r="BO3" s="553"/>
      <c r="BP3" s="553"/>
      <c r="BQ3" s="553"/>
      <c r="BR3" s="553"/>
      <c r="BS3" s="553"/>
      <c r="BT3" s="553"/>
    </row>
    <row r="4" spans="1:72" ht="17" thickTop="1" thickBot="1">
      <c r="A4" s="546"/>
      <c r="B4" s="173" t="s">
        <v>10</v>
      </c>
      <c r="C4" s="555"/>
      <c r="D4" s="555"/>
      <c r="E4" s="556"/>
      <c r="F4" s="557"/>
      <c r="G4" s="558"/>
      <c r="H4" s="223"/>
      <c r="I4" s="7"/>
      <c r="Q4" s="4" t="s">
        <v>19</v>
      </c>
      <c r="T4" s="4" t="s">
        <v>20</v>
      </c>
      <c r="W4" s="4" t="s">
        <v>21</v>
      </c>
      <c r="Z4" s="4" t="s">
        <v>22</v>
      </c>
      <c r="AF4" s="4" t="s">
        <v>24</v>
      </c>
      <c r="AS4" s="545"/>
      <c r="AT4" s="857"/>
      <c r="AU4" s="857"/>
      <c r="AV4" s="857"/>
      <c r="AW4" s="857"/>
      <c r="AX4" s="857"/>
      <c r="AY4"/>
      <c r="AZ4"/>
      <c r="BA4" s="551"/>
      <c r="BB4" s="551"/>
      <c r="BE4" s="545"/>
      <c r="BF4" s="858"/>
      <c r="BG4" s="858"/>
      <c r="BH4" s="858"/>
      <c r="BI4" s="858"/>
      <c r="BJ4" s="858"/>
      <c r="BK4" s="858"/>
      <c r="BL4" s="858"/>
      <c r="BM4" s="858"/>
      <c r="BN4" s="858"/>
      <c r="BO4" s="858"/>
      <c r="BP4" s="561"/>
      <c r="BQ4" s="560"/>
      <c r="BR4" s="560"/>
      <c r="BS4" s="560"/>
      <c r="BT4" s="560"/>
    </row>
    <row r="5" spans="1:72" ht="16" thickTop="1">
      <c r="A5" s="546"/>
      <c r="B5" s="953" t="s">
        <v>11</v>
      </c>
      <c r="C5" s="954"/>
      <c r="D5" s="955"/>
      <c r="E5" s="956"/>
      <c r="F5" s="957"/>
      <c r="G5" s="958"/>
      <c r="H5" s="223"/>
      <c r="I5" s="7"/>
      <c r="Q5" s="4" t="s">
        <v>26</v>
      </c>
      <c r="T5" s="4" t="s">
        <v>27</v>
      </c>
      <c r="W5" s="4" t="s">
        <v>28</v>
      </c>
      <c r="Z5" s="4" t="s">
        <v>29</v>
      </c>
      <c r="AF5" s="4" t="s">
        <v>30</v>
      </c>
      <c r="AI5" s="545" t="s">
        <v>484</v>
      </c>
      <c r="AJ5" s="770">
        <f>24400*2</f>
        <v>48800</v>
      </c>
      <c r="AS5" s="545"/>
      <c r="AT5" s="857"/>
      <c r="AU5" s="857"/>
      <c r="AV5" s="857"/>
      <c r="AW5" s="857"/>
      <c r="AX5" s="857"/>
      <c r="AY5"/>
      <c r="AZ5"/>
      <c r="BA5" s="551"/>
      <c r="BB5" s="551"/>
      <c r="BE5" s="545"/>
      <c r="BF5" s="858"/>
      <c r="BG5" s="858"/>
      <c r="BH5" s="858"/>
      <c r="BI5" s="858"/>
      <c r="BJ5" s="858"/>
      <c r="BK5" s="858"/>
      <c r="BL5" s="858"/>
      <c r="BM5" s="858"/>
      <c r="BN5" s="858"/>
      <c r="BO5" s="858"/>
      <c r="BP5" s="561"/>
      <c r="BQ5" s="560"/>
      <c r="BR5" s="560"/>
      <c r="BS5" s="560"/>
      <c r="BT5" s="560"/>
    </row>
    <row r="6" spans="1:72" ht="15">
      <c r="A6" s="546"/>
      <c r="B6" s="903" t="s">
        <v>407</v>
      </c>
      <c r="C6" s="904"/>
      <c r="D6" s="905"/>
      <c r="E6" s="906"/>
      <c r="F6" s="907"/>
      <c r="G6" s="908"/>
      <c r="H6" s="223"/>
      <c r="I6" s="7"/>
      <c r="Q6" s="4" t="s">
        <v>32</v>
      </c>
      <c r="T6" s="4" t="s">
        <v>33</v>
      </c>
      <c r="W6" s="4" t="s">
        <v>34</v>
      </c>
      <c r="Z6" s="4" t="s">
        <v>35</v>
      </c>
      <c r="AI6" s="545" t="s">
        <v>485</v>
      </c>
      <c r="AJ6" s="559">
        <f>25150*2</f>
        <v>50300</v>
      </c>
      <c r="AS6" s="545"/>
      <c r="AT6" s="857"/>
      <c r="AU6" s="857"/>
      <c r="AV6" s="857"/>
      <c r="AW6" s="857"/>
      <c r="AX6" s="857"/>
      <c r="AY6"/>
      <c r="AZ6"/>
      <c r="BA6" s="551"/>
      <c r="BB6" s="551"/>
      <c r="BE6" s="545"/>
      <c r="BF6" s="858"/>
      <c r="BG6" s="858"/>
      <c r="BH6" s="858"/>
      <c r="BI6" s="858"/>
      <c r="BJ6" s="858"/>
      <c r="BK6" s="858"/>
      <c r="BL6" s="858"/>
      <c r="BM6" s="858"/>
      <c r="BN6" s="858"/>
      <c r="BO6" s="858"/>
      <c r="BP6" s="561"/>
      <c r="BQ6" s="560"/>
      <c r="BR6" s="560"/>
      <c r="BS6" s="560"/>
      <c r="BT6" s="560"/>
    </row>
    <row r="7" spans="1:72" ht="15">
      <c r="A7" s="546"/>
      <c r="B7" s="903" t="s">
        <v>408</v>
      </c>
      <c r="C7" s="904"/>
      <c r="D7" s="905"/>
      <c r="E7" s="906"/>
      <c r="F7" s="907"/>
      <c r="G7" s="908"/>
      <c r="H7" s="223"/>
      <c r="I7" s="7"/>
      <c r="Q7" s="4" t="s">
        <v>37</v>
      </c>
      <c r="T7" s="4" t="s">
        <v>38</v>
      </c>
      <c r="W7" s="4" t="s">
        <v>39</v>
      </c>
      <c r="AC7" s="4" t="s">
        <v>1205</v>
      </c>
      <c r="AF7" s="4" t="s">
        <v>41</v>
      </c>
      <c r="AI7" s="545" t="s">
        <v>486</v>
      </c>
      <c r="AJ7" s="559">
        <f>32750*2</f>
        <v>65500</v>
      </c>
      <c r="AS7" s="545"/>
      <c r="AT7" s="857"/>
      <c r="AU7" s="857"/>
      <c r="AV7" s="857"/>
      <c r="AW7" s="857"/>
      <c r="AX7" s="857"/>
      <c r="AY7"/>
      <c r="AZ7"/>
      <c r="BA7" s="551"/>
      <c r="BB7" s="551"/>
      <c r="BE7" s="545"/>
      <c r="BF7" s="858"/>
      <c r="BG7" s="858"/>
      <c r="BH7" s="858"/>
      <c r="BI7" s="858"/>
      <c r="BJ7" s="858"/>
      <c r="BK7" s="858"/>
      <c r="BL7" s="858"/>
      <c r="BM7" s="858"/>
      <c r="BN7" s="858"/>
      <c r="BO7" s="858"/>
      <c r="BP7" s="561"/>
      <c r="BQ7" s="560"/>
      <c r="BR7" s="560"/>
      <c r="BS7" s="560"/>
      <c r="BT7" s="560"/>
    </row>
    <row r="8" spans="1:72" ht="15">
      <c r="A8" s="546"/>
      <c r="B8" s="903" t="s">
        <v>12</v>
      </c>
      <c r="C8" s="904"/>
      <c r="D8" s="905"/>
      <c r="E8" s="906"/>
      <c r="F8" s="907"/>
      <c r="G8" s="908"/>
      <c r="H8" s="223"/>
      <c r="I8" s="7"/>
      <c r="Q8" s="4" t="s">
        <v>43</v>
      </c>
      <c r="T8" s="4" t="s">
        <v>44</v>
      </c>
      <c r="AC8" s="4" t="s">
        <v>23</v>
      </c>
      <c r="AF8" s="4" t="s">
        <v>46</v>
      </c>
      <c r="AI8" s="545" t="s">
        <v>487</v>
      </c>
      <c r="AJ8" s="559">
        <f>28500*2</f>
        <v>57000</v>
      </c>
      <c r="AS8" s="545"/>
      <c r="AT8" s="857"/>
      <c r="AU8" s="857"/>
      <c r="AV8" s="857"/>
      <c r="AW8" s="857"/>
      <c r="AX8" s="857"/>
      <c r="AY8"/>
      <c r="AZ8"/>
      <c r="BA8" s="551"/>
      <c r="BB8" s="551"/>
      <c r="BE8" s="545"/>
      <c r="BF8" s="858"/>
      <c r="BG8" s="858"/>
      <c r="BH8" s="858"/>
      <c r="BI8" s="858"/>
      <c r="BJ8" s="858"/>
      <c r="BK8" s="858"/>
      <c r="BL8" s="858"/>
      <c r="BM8" s="858"/>
      <c r="BN8" s="858"/>
      <c r="BO8" s="858"/>
      <c r="BP8" s="561"/>
      <c r="BQ8" s="560"/>
      <c r="BR8" s="560"/>
      <c r="BS8" s="560"/>
      <c r="BT8" s="560"/>
    </row>
    <row r="9" spans="1:72" ht="15">
      <c r="A9" s="546"/>
      <c r="B9" s="903" t="s">
        <v>411</v>
      </c>
      <c r="C9" s="904"/>
      <c r="D9" s="905"/>
      <c r="E9" s="906"/>
      <c r="F9" s="907"/>
      <c r="G9" s="908"/>
      <c r="H9" s="223"/>
      <c r="I9" s="7"/>
      <c r="Q9" s="4" t="s">
        <v>48</v>
      </c>
      <c r="AC9" s="4" t="s">
        <v>36</v>
      </c>
      <c r="AI9" s="545" t="s">
        <v>488</v>
      </c>
      <c r="AJ9" s="559">
        <f>24400*2</f>
        <v>48800</v>
      </c>
      <c r="AS9" s="545"/>
      <c r="AT9" s="857"/>
      <c r="AU9" s="857"/>
      <c r="AV9" s="857"/>
      <c r="AW9" s="857"/>
      <c r="AX9" s="857"/>
      <c r="AY9"/>
      <c r="AZ9"/>
      <c r="BA9" s="551"/>
      <c r="BB9" s="551"/>
      <c r="BF9" s="858"/>
      <c r="BG9" s="858"/>
      <c r="BH9" s="858"/>
      <c r="BI9" s="858"/>
      <c r="BJ9" s="858"/>
      <c r="BK9" s="858"/>
      <c r="BL9" s="858"/>
      <c r="BM9" s="858"/>
      <c r="BN9" s="858"/>
      <c r="BO9" s="858"/>
      <c r="BP9" s="561"/>
      <c r="BQ9" s="560"/>
      <c r="BR9" s="560"/>
      <c r="BS9" s="560"/>
      <c r="BT9" s="560"/>
    </row>
    <row r="10" spans="1:72" ht="15">
      <c r="A10" s="546"/>
      <c r="B10" s="903" t="s">
        <v>412</v>
      </c>
      <c r="C10" s="904"/>
      <c r="D10" s="905"/>
      <c r="E10" s="906"/>
      <c r="F10" s="907"/>
      <c r="G10" s="908"/>
      <c r="H10" s="223"/>
      <c r="I10" s="7"/>
      <c r="Q10" s="4" t="s">
        <v>49</v>
      </c>
      <c r="AC10" s="4" t="s">
        <v>40</v>
      </c>
      <c r="AI10" s="4" t="s">
        <v>489</v>
      </c>
      <c r="AJ10" s="559">
        <f>29150*2</f>
        <v>58300</v>
      </c>
      <c r="AS10" s="545"/>
      <c r="AT10" s="857"/>
      <c r="AU10" s="857"/>
      <c r="AV10" s="857"/>
      <c r="AW10" s="857"/>
      <c r="AX10" s="857"/>
      <c r="AY10"/>
      <c r="AZ10"/>
      <c r="BA10" s="551"/>
      <c r="BB10" s="551"/>
      <c r="BE10" s="545"/>
      <c r="BF10" s="858"/>
      <c r="BG10" s="858"/>
      <c r="BH10" s="858"/>
      <c r="BI10" s="858"/>
      <c r="BJ10" s="858"/>
      <c r="BK10" s="858"/>
      <c r="BL10" s="858"/>
      <c r="BM10" s="858"/>
      <c r="BN10" s="858"/>
      <c r="BO10" s="858"/>
      <c r="BP10" s="561"/>
      <c r="BQ10" s="560"/>
      <c r="BR10" s="560"/>
      <c r="BS10" s="560"/>
      <c r="BT10" s="560"/>
    </row>
    <row r="11" spans="1:72" ht="15">
      <c r="A11" s="546"/>
      <c r="B11" s="903" t="s">
        <v>413</v>
      </c>
      <c r="C11" s="904"/>
      <c r="D11" s="905"/>
      <c r="E11" s="906"/>
      <c r="F11" s="907"/>
      <c r="G11" s="908"/>
      <c r="H11" s="223"/>
      <c r="I11" s="7"/>
      <c r="Q11" s="4" t="s">
        <v>50</v>
      </c>
      <c r="AC11" s="4" t="s">
        <v>45</v>
      </c>
      <c r="AI11" s="545" t="s">
        <v>490</v>
      </c>
      <c r="AJ11" s="559">
        <f>24400*2</f>
        <v>48800</v>
      </c>
      <c r="AS11" s="545"/>
      <c r="AT11" s="857"/>
      <c r="AU11" s="857"/>
      <c r="AV11" s="857"/>
      <c r="AW11" s="857"/>
      <c r="AX11" s="857"/>
      <c r="AY11"/>
      <c r="AZ11"/>
      <c r="BA11" s="551"/>
      <c r="BB11" s="551"/>
      <c r="BE11" s="545"/>
      <c r="BF11" s="858"/>
      <c r="BG11" s="858"/>
      <c r="BH11" s="858"/>
      <c r="BI11" s="858"/>
      <c r="BJ11" s="858"/>
      <c r="BK11" s="858"/>
      <c r="BL11" s="858"/>
      <c r="BM11" s="858"/>
      <c r="BN11" s="858"/>
      <c r="BO11" s="858"/>
      <c r="BP11" s="561"/>
      <c r="BQ11" s="560"/>
      <c r="BR11" s="560"/>
      <c r="BS11" s="560"/>
      <c r="BT11" s="560"/>
    </row>
    <row r="12" spans="1:72" ht="15">
      <c r="A12" s="546"/>
      <c r="B12" s="562" t="s">
        <v>631</v>
      </c>
      <c r="C12" s="563"/>
      <c r="D12" s="564"/>
      <c r="E12" s="934"/>
      <c r="F12" s="907"/>
      <c r="G12" s="908"/>
      <c r="H12" s="223"/>
      <c r="I12" s="7"/>
      <c r="AC12" s="4" t="s">
        <v>39</v>
      </c>
      <c r="AI12" s="545" t="s">
        <v>491</v>
      </c>
      <c r="AJ12" s="559">
        <f>28800*2</f>
        <v>57600</v>
      </c>
      <c r="AS12" s="545"/>
      <c r="AT12" s="857"/>
      <c r="AU12" s="857"/>
      <c r="AV12" s="857"/>
      <c r="AW12" s="857"/>
      <c r="AX12" s="857"/>
      <c r="AY12"/>
      <c r="AZ12"/>
      <c r="BA12" s="551"/>
      <c r="BB12" s="551"/>
      <c r="BE12" s="545"/>
      <c r="BF12" s="858"/>
      <c r="BG12" s="858"/>
      <c r="BH12" s="858"/>
      <c r="BI12" s="858"/>
      <c r="BJ12" s="858"/>
      <c r="BK12" s="858"/>
      <c r="BL12" s="858"/>
      <c r="BM12" s="858"/>
      <c r="BN12" s="858"/>
      <c r="BO12" s="858"/>
      <c r="BP12" s="561"/>
      <c r="BQ12" s="560"/>
      <c r="BR12" s="560"/>
      <c r="BS12" s="560"/>
      <c r="BT12" s="560"/>
    </row>
    <row r="13" spans="1:72" ht="13">
      <c r="A13" s="546"/>
      <c r="B13" s="562" t="s">
        <v>634</v>
      </c>
      <c r="C13" s="563"/>
      <c r="D13" s="564"/>
      <c r="E13" s="935"/>
      <c r="F13" s="936"/>
      <c r="G13" s="937"/>
      <c r="H13" s="223"/>
      <c r="I13" s="7"/>
      <c r="AI13" s="545" t="s">
        <v>492</v>
      </c>
      <c r="AJ13" s="559">
        <f>28300*2</f>
        <v>56600</v>
      </c>
      <c r="AS13" s="545"/>
      <c r="AT13" s="857"/>
      <c r="AU13" s="857"/>
      <c r="AV13" s="857"/>
      <c r="AW13" s="857"/>
      <c r="AX13" s="857"/>
      <c r="AY13"/>
      <c r="AZ13"/>
      <c r="BA13" s="551"/>
      <c r="BB13" s="551"/>
      <c r="BE13" s="545"/>
      <c r="BF13" s="560"/>
      <c r="BG13" s="560"/>
      <c r="BH13" s="561"/>
      <c r="BI13" s="560"/>
      <c r="BJ13" s="561"/>
      <c r="BK13" s="560"/>
      <c r="BL13" s="561"/>
      <c r="BM13" s="560"/>
      <c r="BN13" s="561"/>
      <c r="BO13" s="560"/>
      <c r="BP13" s="561"/>
      <c r="BQ13" s="560"/>
      <c r="BR13" s="560"/>
      <c r="BS13" s="560"/>
      <c r="BT13" s="560"/>
    </row>
    <row r="14" spans="1:72" ht="13">
      <c r="A14" s="546"/>
      <c r="B14" s="562" t="s">
        <v>632</v>
      </c>
      <c r="C14" s="563"/>
      <c r="D14" s="564"/>
      <c r="E14" s="922"/>
      <c r="F14" s="923"/>
      <c r="G14" s="924"/>
      <c r="H14" s="223"/>
      <c r="I14" s="7"/>
      <c r="T14" s="4" t="s">
        <v>659</v>
      </c>
      <c r="AI14" s="545"/>
      <c r="AJ14" s="559"/>
      <c r="AS14" s="545"/>
      <c r="AT14" s="857"/>
      <c r="AU14" s="857"/>
      <c r="AV14" s="857"/>
      <c r="AW14" s="857"/>
      <c r="AX14" s="857"/>
      <c r="AY14"/>
      <c r="AZ14"/>
      <c r="BA14" s="551"/>
      <c r="BB14" s="551"/>
      <c r="BE14" s="545"/>
      <c r="BF14" s="560"/>
      <c r="BG14" s="560"/>
      <c r="BH14" s="561"/>
      <c r="BI14" s="560"/>
      <c r="BJ14" s="561"/>
      <c r="BK14" s="560"/>
      <c r="BL14" s="561"/>
      <c r="BM14" s="560"/>
      <c r="BN14" s="561"/>
      <c r="BO14" s="560"/>
      <c r="BP14" s="561"/>
      <c r="BQ14" s="560"/>
      <c r="BR14" s="560"/>
      <c r="BS14" s="560"/>
      <c r="BT14" s="560"/>
    </row>
    <row r="15" spans="1:72" ht="15">
      <c r="A15" s="546"/>
      <c r="B15" s="903" t="s">
        <v>414</v>
      </c>
      <c r="C15" s="904"/>
      <c r="D15" s="905"/>
      <c r="E15" s="906"/>
      <c r="F15" s="907"/>
      <c r="G15" s="908"/>
      <c r="H15" s="223"/>
      <c r="I15" s="7"/>
      <c r="T15" s="4" t="s">
        <v>68</v>
      </c>
      <c r="Z15" s="4" t="s">
        <v>87</v>
      </c>
      <c r="AI15" s="566"/>
      <c r="AJ15" s="559"/>
      <c r="AS15" s="545"/>
      <c r="AT15" s="857"/>
      <c r="AU15" s="857"/>
      <c r="AV15" s="857"/>
      <c r="AW15" s="857"/>
      <c r="AX15" s="857"/>
      <c r="AY15"/>
      <c r="AZ15"/>
      <c r="BA15" s="551"/>
      <c r="BB15" s="551"/>
      <c r="BE15" s="545"/>
      <c r="BF15" s="858"/>
      <c r="BG15" s="858"/>
      <c r="BH15" s="858"/>
      <c r="BI15" s="858"/>
      <c r="BJ15" s="858"/>
      <c r="BK15" s="858"/>
      <c r="BL15" s="858"/>
      <c r="BM15" s="858"/>
      <c r="BN15" s="858"/>
      <c r="BO15" s="858"/>
      <c r="BP15" s="561"/>
      <c r="BQ15" s="560"/>
      <c r="BR15" s="560"/>
      <c r="BS15" s="560"/>
      <c r="BT15" s="560"/>
    </row>
    <row r="16" spans="1:72" ht="15">
      <c r="A16" s="546"/>
      <c r="B16" s="903" t="s">
        <v>13</v>
      </c>
      <c r="C16" s="904"/>
      <c r="D16" s="905"/>
      <c r="E16" s="906"/>
      <c r="F16" s="907"/>
      <c r="G16" s="908"/>
      <c r="H16" s="223"/>
      <c r="I16" s="7"/>
      <c r="T16" s="4" t="s">
        <v>69</v>
      </c>
      <c r="Z16" s="4" t="s">
        <v>483</v>
      </c>
      <c r="AI16" s="545" t="s">
        <v>493</v>
      </c>
      <c r="AJ16" s="559">
        <f>29600*2</f>
        <v>59200</v>
      </c>
      <c r="AS16" s="545"/>
      <c r="AT16" s="857"/>
      <c r="AU16" s="857"/>
      <c r="AV16" s="857"/>
      <c r="AW16" s="857"/>
      <c r="AX16" s="857"/>
      <c r="AY16"/>
      <c r="AZ16"/>
      <c r="BA16" s="551"/>
      <c r="BB16" s="551"/>
      <c r="BE16" s="545"/>
      <c r="BF16" s="858"/>
      <c r="BG16" s="858"/>
      <c r="BH16" s="858"/>
      <c r="BI16" s="858"/>
      <c r="BJ16" s="858"/>
      <c r="BK16" s="858"/>
      <c r="BL16" s="858"/>
      <c r="BM16" s="858"/>
      <c r="BN16" s="858"/>
      <c r="BO16" s="858"/>
      <c r="BP16" s="561"/>
      <c r="BQ16" s="560"/>
      <c r="BR16" s="560"/>
      <c r="BS16" s="560"/>
      <c r="BT16" s="560"/>
    </row>
    <row r="17" spans="1:72" ht="15">
      <c r="A17" s="546"/>
      <c r="B17" s="903" t="s">
        <v>862</v>
      </c>
      <c r="C17" s="904"/>
      <c r="D17" s="905"/>
      <c r="E17" s="906"/>
      <c r="F17" s="907"/>
      <c r="G17" s="908"/>
      <c r="H17" s="223"/>
      <c r="I17" s="7"/>
      <c r="T17" s="4" t="s">
        <v>70</v>
      </c>
      <c r="AI17" s="545" t="s">
        <v>494</v>
      </c>
      <c r="AJ17" s="559">
        <f>25100*2</f>
        <v>50200</v>
      </c>
      <c r="AS17" s="545"/>
      <c r="AT17" s="857"/>
      <c r="AU17" s="857"/>
      <c r="AV17" s="857"/>
      <c r="AW17" s="857"/>
      <c r="AX17" s="857"/>
      <c r="AY17"/>
      <c r="AZ17"/>
      <c r="BA17" s="551"/>
      <c r="BB17" s="551"/>
      <c r="BE17" s="545"/>
      <c r="BF17" s="858"/>
      <c r="BG17" s="858"/>
      <c r="BH17" s="858"/>
      <c r="BI17" s="858"/>
      <c r="BJ17" s="858"/>
      <c r="BK17" s="858"/>
      <c r="BL17" s="858"/>
      <c r="BM17" s="858"/>
      <c r="BN17" s="858"/>
      <c r="BO17" s="858"/>
      <c r="BP17" s="561"/>
      <c r="BQ17" s="560"/>
      <c r="BR17" s="560"/>
      <c r="BS17" s="560"/>
      <c r="BT17" s="560"/>
    </row>
    <row r="18" spans="1:72" ht="15">
      <c r="A18" s="546"/>
      <c r="B18" s="903" t="s">
        <v>14</v>
      </c>
      <c r="C18" s="904"/>
      <c r="D18" s="905"/>
      <c r="E18" s="925"/>
      <c r="F18" s="926"/>
      <c r="G18" s="927"/>
      <c r="H18" s="223"/>
      <c r="I18" s="7"/>
      <c r="T18" s="4" t="s">
        <v>71</v>
      </c>
      <c r="AI18" s="545" t="s">
        <v>495</v>
      </c>
      <c r="AJ18" s="559">
        <f>29600*2</f>
        <v>59200</v>
      </c>
      <c r="AS18" s="545"/>
      <c r="AT18" s="857"/>
      <c r="AU18" s="857"/>
      <c r="AV18" s="857"/>
      <c r="AW18" s="857"/>
      <c r="AX18" s="857"/>
      <c r="AY18"/>
      <c r="AZ18"/>
      <c r="BA18" s="551"/>
      <c r="BB18" s="551"/>
      <c r="BE18" s="545"/>
      <c r="BF18" s="858"/>
      <c r="BG18" s="858"/>
      <c r="BH18" s="858"/>
      <c r="BI18" s="858"/>
      <c r="BJ18" s="858"/>
      <c r="BK18" s="858"/>
      <c r="BL18" s="858"/>
      <c r="BM18" s="858"/>
      <c r="BN18" s="858"/>
      <c r="BO18" s="858"/>
      <c r="BP18" s="561"/>
      <c r="BQ18" s="560"/>
      <c r="BR18" s="560"/>
      <c r="BS18" s="560"/>
      <c r="BT18" s="560"/>
    </row>
    <row r="19" spans="1:72" ht="15">
      <c r="A19" s="546"/>
      <c r="B19" s="903" t="s">
        <v>15</v>
      </c>
      <c r="C19" s="904"/>
      <c r="D19" s="905"/>
      <c r="E19" s="925"/>
      <c r="F19" s="926"/>
      <c r="G19" s="927"/>
      <c r="H19" s="223"/>
      <c r="I19" s="7"/>
      <c r="T19" s="4" t="s">
        <v>72</v>
      </c>
      <c r="Z19" s="4" t="s">
        <v>1203</v>
      </c>
      <c r="AI19" s="545" t="s">
        <v>496</v>
      </c>
      <c r="AJ19" s="559">
        <f>24400*2</f>
        <v>48800</v>
      </c>
      <c r="AS19" s="545"/>
      <c r="AT19" s="857"/>
      <c r="AU19" s="857"/>
      <c r="AV19" s="857"/>
      <c r="AW19" s="857"/>
      <c r="AX19" s="857"/>
      <c r="AY19"/>
      <c r="AZ19"/>
      <c r="BA19" s="551"/>
      <c r="BB19" s="551"/>
      <c r="BE19" s="545"/>
      <c r="BF19" s="858"/>
      <c r="BG19" s="858"/>
      <c r="BH19" s="858"/>
      <c r="BI19" s="858"/>
      <c r="BJ19" s="858"/>
      <c r="BK19" s="858"/>
      <c r="BL19" s="858"/>
      <c r="BM19" s="858"/>
      <c r="BN19" s="858"/>
      <c r="BO19" s="858"/>
      <c r="BP19" s="561"/>
      <c r="BQ19" s="560"/>
      <c r="BR19" s="560"/>
      <c r="BS19" s="560"/>
      <c r="BT19" s="560"/>
    </row>
    <row r="20" spans="1:72" ht="15">
      <c r="A20" s="546"/>
      <c r="B20" s="903" t="s">
        <v>16</v>
      </c>
      <c r="C20" s="904"/>
      <c r="D20" s="905"/>
      <c r="E20" s="934"/>
      <c r="F20" s="907"/>
      <c r="G20" s="908"/>
      <c r="H20" s="223"/>
      <c r="I20" s="7"/>
      <c r="Z20" s="4" t="s">
        <v>1204</v>
      </c>
      <c r="AI20" s="545" t="s">
        <v>497</v>
      </c>
      <c r="AJ20" s="559">
        <f>24400*2</f>
        <v>48800</v>
      </c>
      <c r="AS20" s="545"/>
      <c r="AT20" s="857"/>
      <c r="AU20" s="857"/>
      <c r="AV20" s="857"/>
      <c r="AW20" s="857"/>
      <c r="AX20" s="857"/>
      <c r="AY20"/>
      <c r="AZ20"/>
      <c r="BA20" s="551"/>
      <c r="BB20" s="551"/>
      <c r="BE20" s="545"/>
      <c r="BF20" s="858"/>
      <c r="BG20" s="858"/>
      <c r="BH20" s="858"/>
      <c r="BI20" s="858"/>
      <c r="BJ20" s="858"/>
      <c r="BK20" s="858"/>
      <c r="BL20" s="858"/>
      <c r="BM20" s="858"/>
      <c r="BN20" s="858"/>
      <c r="BO20" s="858"/>
      <c r="BP20" s="560"/>
      <c r="BQ20" s="560"/>
      <c r="BR20" s="560"/>
      <c r="BS20" s="560"/>
      <c r="BT20" s="560"/>
    </row>
    <row r="21" spans="1:72" ht="15">
      <c r="A21" s="546"/>
      <c r="B21" s="903" t="s">
        <v>17</v>
      </c>
      <c r="C21" s="904"/>
      <c r="D21" s="905"/>
      <c r="E21" s="906"/>
      <c r="F21" s="907"/>
      <c r="G21" s="908"/>
      <c r="H21" s="223"/>
      <c r="I21" s="7"/>
      <c r="AI21" s="545" t="s">
        <v>498</v>
      </c>
      <c r="AJ21" s="559">
        <f>24400*2</f>
        <v>48800</v>
      </c>
      <c r="AS21" s="545"/>
      <c r="AT21" s="857"/>
      <c r="AU21" s="857"/>
      <c r="AV21" s="857"/>
      <c r="AW21" s="857"/>
      <c r="AX21" s="857"/>
      <c r="AY21"/>
      <c r="AZ21"/>
      <c r="BA21" s="551"/>
      <c r="BB21" s="551"/>
      <c r="BE21" s="545"/>
      <c r="BF21" s="858"/>
      <c r="BG21" s="858"/>
      <c r="BH21" s="858"/>
      <c r="BI21" s="858"/>
      <c r="BJ21" s="858"/>
      <c r="BK21" s="858"/>
      <c r="BL21" s="858"/>
      <c r="BM21" s="858"/>
      <c r="BN21" s="858"/>
      <c r="BO21" s="858"/>
      <c r="BP21" s="561"/>
      <c r="BQ21" s="560"/>
      <c r="BR21" s="560"/>
      <c r="BS21" s="560"/>
      <c r="BT21" s="560"/>
    </row>
    <row r="22" spans="1:72" ht="15">
      <c r="A22" s="546"/>
      <c r="B22" s="562" t="s">
        <v>18</v>
      </c>
      <c r="C22" s="563"/>
      <c r="D22" s="564"/>
      <c r="E22" s="946"/>
      <c r="F22" s="947"/>
      <c r="G22" s="948"/>
      <c r="H22" s="223"/>
      <c r="I22" s="7"/>
      <c r="AI22" s="545" t="s">
        <v>499</v>
      </c>
      <c r="AJ22" s="559">
        <f>24400*2</f>
        <v>48800</v>
      </c>
      <c r="AS22" s="545"/>
      <c r="AT22" s="857"/>
      <c r="AU22" s="857"/>
      <c r="AV22" s="857"/>
      <c r="AW22" s="857"/>
      <c r="AX22" s="857"/>
      <c r="AY22"/>
      <c r="AZ22"/>
      <c r="BA22" s="551"/>
      <c r="BB22" s="551"/>
      <c r="BE22" s="545"/>
      <c r="BF22" s="858"/>
      <c r="BG22" s="858"/>
      <c r="BH22" s="858"/>
      <c r="BI22" s="858"/>
      <c r="BJ22" s="858"/>
      <c r="BK22" s="858"/>
      <c r="BL22" s="858"/>
      <c r="BM22" s="858"/>
      <c r="BN22" s="858"/>
      <c r="BO22" s="858"/>
      <c r="BP22" s="561"/>
      <c r="BQ22" s="560"/>
      <c r="BR22" s="560"/>
      <c r="BS22" s="560"/>
      <c r="BT22" s="560"/>
    </row>
    <row r="23" spans="1:72" ht="15">
      <c r="A23" s="546"/>
      <c r="B23" s="903" t="s">
        <v>415</v>
      </c>
      <c r="C23" s="904"/>
      <c r="D23" s="905"/>
      <c r="E23" s="906"/>
      <c r="F23" s="907"/>
      <c r="G23" s="908"/>
      <c r="H23" s="223"/>
      <c r="I23" s="7"/>
      <c r="J23" s="71">
        <f>E51</f>
        <v>0</v>
      </c>
      <c r="AI23" s="545" t="s">
        <v>500</v>
      </c>
      <c r="AJ23" s="559">
        <f>32750*2</f>
        <v>65500</v>
      </c>
      <c r="AS23" s="545"/>
      <c r="AT23" s="857"/>
      <c r="AU23" s="857"/>
      <c r="AV23" s="857"/>
      <c r="AW23" s="857"/>
      <c r="AX23" s="857"/>
      <c r="AY23"/>
      <c r="AZ23"/>
      <c r="BA23" s="551"/>
      <c r="BB23" s="551"/>
      <c r="BE23" s="545"/>
      <c r="BF23" s="858"/>
      <c r="BG23" s="858"/>
      <c r="BH23" s="858"/>
      <c r="BI23" s="858"/>
      <c r="BJ23" s="858"/>
      <c r="BK23" s="858"/>
      <c r="BL23" s="858"/>
      <c r="BM23" s="858"/>
      <c r="BN23" s="858"/>
      <c r="BO23" s="858"/>
      <c r="BP23" s="561"/>
      <c r="BQ23" s="560"/>
      <c r="BR23" s="560"/>
      <c r="BS23" s="560"/>
      <c r="BT23" s="560"/>
    </row>
    <row r="24" spans="1:72" ht="15">
      <c r="A24" s="546"/>
      <c r="B24" s="903" t="s">
        <v>73</v>
      </c>
      <c r="C24" s="904"/>
      <c r="D24" s="905"/>
      <c r="E24" s="906"/>
      <c r="F24" s="907"/>
      <c r="G24" s="908"/>
      <c r="H24" s="223"/>
      <c r="I24" s="7"/>
      <c r="AI24" s="545" t="s">
        <v>501</v>
      </c>
      <c r="AJ24" s="559">
        <f>24400*2</f>
        <v>48800</v>
      </c>
      <c r="AS24" s="545"/>
      <c r="AT24" s="857"/>
      <c r="AU24" s="857"/>
      <c r="AV24" s="857"/>
      <c r="AW24" s="857"/>
      <c r="AX24" s="857"/>
      <c r="AY24"/>
      <c r="AZ24"/>
      <c r="BA24" s="551"/>
      <c r="BB24" s="551"/>
      <c r="BE24" s="545"/>
      <c r="BF24" s="858"/>
      <c r="BG24" s="858"/>
      <c r="BH24" s="858"/>
      <c r="BI24" s="858"/>
      <c r="BJ24" s="858"/>
      <c r="BK24" s="858"/>
      <c r="BL24" s="858"/>
      <c r="BM24" s="858"/>
      <c r="BN24" s="858"/>
      <c r="BO24" s="858"/>
      <c r="BP24" s="561"/>
      <c r="BQ24" s="560"/>
      <c r="BR24" s="560"/>
      <c r="BS24" s="560"/>
      <c r="BT24" s="560"/>
    </row>
    <row r="25" spans="1:72" ht="12.75" customHeight="1">
      <c r="A25" s="546"/>
      <c r="B25" s="903" t="s">
        <v>450</v>
      </c>
      <c r="C25" s="904"/>
      <c r="D25" s="905"/>
      <c r="E25" s="919"/>
      <c r="F25" s="920"/>
      <c r="G25" s="921"/>
      <c r="H25" s="223"/>
      <c r="I25" s="7"/>
      <c r="AI25" s="545" t="s">
        <v>502</v>
      </c>
      <c r="AJ25" s="559">
        <f>32750*2</f>
        <v>65500</v>
      </c>
      <c r="AS25" s="545"/>
      <c r="AT25" s="857"/>
      <c r="AU25" s="857"/>
      <c r="AV25" s="857"/>
      <c r="AW25" s="857"/>
      <c r="AX25" s="857"/>
      <c r="AY25"/>
      <c r="AZ25"/>
      <c r="BA25" s="551"/>
      <c r="BB25" s="551"/>
      <c r="BE25" s="545"/>
      <c r="BF25" s="858"/>
      <c r="BG25" s="858"/>
      <c r="BH25" s="858"/>
      <c r="BI25" s="858"/>
      <c r="BJ25" s="858"/>
      <c r="BK25" s="858"/>
      <c r="BL25" s="858"/>
      <c r="BM25" s="858"/>
      <c r="BN25" s="858"/>
      <c r="BO25" s="858"/>
      <c r="BP25" s="561"/>
      <c r="BQ25" s="560"/>
      <c r="BR25" s="560"/>
      <c r="BS25" s="560"/>
      <c r="BT25" s="560"/>
    </row>
    <row r="26" spans="1:72" ht="23.25" customHeight="1">
      <c r="A26" s="546"/>
      <c r="B26" s="903" t="s">
        <v>637</v>
      </c>
      <c r="C26" s="944"/>
      <c r="D26" s="945"/>
      <c r="E26" s="941"/>
      <c r="F26" s="942"/>
      <c r="G26" s="943"/>
      <c r="H26" s="818"/>
      <c r="I26" s="7"/>
      <c r="AI26" s="545" t="s">
        <v>503</v>
      </c>
      <c r="AJ26" s="559">
        <f>24400*2</f>
        <v>48800</v>
      </c>
      <c r="AS26" s="545"/>
      <c r="AT26" s="857"/>
      <c r="AU26" s="857"/>
      <c r="AV26" s="857"/>
      <c r="AW26" s="857"/>
      <c r="AX26" s="857"/>
      <c r="AY26"/>
      <c r="AZ26"/>
      <c r="BA26" s="551"/>
      <c r="BB26" s="551"/>
      <c r="BE26" s="566"/>
      <c r="BF26" s="858"/>
      <c r="BG26" s="858"/>
      <c r="BH26" s="858"/>
      <c r="BI26" s="858"/>
      <c r="BJ26" s="858"/>
      <c r="BK26" s="858"/>
      <c r="BL26" s="858"/>
      <c r="BM26" s="858"/>
      <c r="BN26" s="858"/>
      <c r="BO26" s="858"/>
      <c r="BP26" s="561"/>
      <c r="BQ26" s="560"/>
      <c r="BR26" s="560"/>
      <c r="BS26" s="560"/>
      <c r="BT26" s="560"/>
    </row>
    <row r="27" spans="1:72" ht="14.25" customHeight="1" thickBot="1">
      <c r="A27" s="546"/>
      <c r="B27" s="949" t="s">
        <v>708</v>
      </c>
      <c r="C27" s="950"/>
      <c r="D27" s="951"/>
      <c r="E27" s="916"/>
      <c r="F27" s="917"/>
      <c r="G27" s="918"/>
      <c r="H27" s="816" t="str">
        <f>IF(E27&gt;E26, "Invalid Input. HOME units must equal to or less than Total units", "Ok")</f>
        <v>Ok</v>
      </c>
      <c r="P27" s="567"/>
      <c r="AI27" s="566" t="s">
        <v>706</v>
      </c>
      <c r="AJ27" s="559">
        <f>24400*2</f>
        <v>48800</v>
      </c>
      <c r="AS27" s="545"/>
      <c r="AT27" s="857"/>
      <c r="AU27" s="857"/>
      <c r="AV27" s="857"/>
      <c r="AW27" s="857"/>
      <c r="AX27" s="857"/>
      <c r="AY27"/>
      <c r="AZ27"/>
      <c r="BA27" s="551"/>
      <c r="BB27" s="551"/>
      <c r="BE27" s="545"/>
      <c r="BF27" s="560"/>
      <c r="BG27" s="560"/>
      <c r="BH27" s="561"/>
      <c r="BI27" s="560"/>
      <c r="BJ27" s="561"/>
      <c r="BK27" s="560"/>
      <c r="BL27" s="561"/>
      <c r="BM27" s="560"/>
      <c r="BN27" s="561"/>
      <c r="BO27" s="560"/>
      <c r="BP27" s="561"/>
      <c r="BQ27" s="560"/>
      <c r="BR27" s="560"/>
      <c r="BS27" s="560"/>
      <c r="BT27" s="560"/>
    </row>
    <row r="28" spans="1:72" ht="14.25" customHeight="1" thickTop="1" thickBot="1">
      <c r="A28" s="546"/>
      <c r="B28" s="568"/>
      <c r="C28" s="568"/>
      <c r="D28" s="568"/>
      <c r="E28" s="568"/>
      <c r="F28" s="568"/>
      <c r="G28" s="568"/>
      <c r="H28" s="565" t="str">
        <f>IF(E27&gt;E26, "Invalid Input. HOME units must be equal to or less than total units","Ok")</f>
        <v>Ok</v>
      </c>
      <c r="I28" s="7"/>
      <c r="AI28" s="545"/>
      <c r="AJ28" s="559"/>
      <c r="AS28" s="545"/>
      <c r="AT28" s="857"/>
      <c r="AU28" s="857"/>
      <c r="AV28" s="857"/>
      <c r="AW28" s="857"/>
      <c r="AX28" s="857"/>
      <c r="AY28"/>
      <c r="AZ28"/>
      <c r="BA28" s="551"/>
      <c r="BB28" s="551"/>
      <c r="BE28" s="545"/>
      <c r="BF28" s="560"/>
      <c r="BG28" s="560"/>
      <c r="BH28" s="561"/>
      <c r="BI28" s="560"/>
      <c r="BJ28" s="561"/>
      <c r="BK28" s="560"/>
      <c r="BL28" s="561"/>
      <c r="BM28" s="560"/>
      <c r="BN28" s="561"/>
      <c r="BO28" s="560"/>
      <c r="BP28" s="561"/>
      <c r="BQ28" s="560"/>
      <c r="BR28" s="560"/>
      <c r="BS28" s="560"/>
      <c r="BT28" s="560"/>
    </row>
    <row r="29" spans="1:72" ht="17" thickTop="1" thickBot="1">
      <c r="A29" s="546"/>
      <c r="B29" s="173" t="s">
        <v>633</v>
      </c>
      <c r="C29" s="555"/>
      <c r="D29" s="555"/>
      <c r="E29" s="569"/>
      <c r="F29" s="570"/>
      <c r="G29" s="571"/>
      <c r="H29" s="565"/>
      <c r="I29" s="7"/>
      <c r="AI29" s="545"/>
      <c r="AJ29" s="559"/>
      <c r="AS29" s="545"/>
      <c r="AT29" s="857"/>
      <c r="AU29" s="857"/>
      <c r="AV29" s="857"/>
      <c r="AW29" s="857"/>
      <c r="AX29" s="857"/>
      <c r="AY29"/>
      <c r="AZ29"/>
      <c r="BA29" s="551"/>
      <c r="BB29" s="551"/>
      <c r="BE29" s="545"/>
      <c r="BF29" s="858"/>
      <c r="BG29" s="858"/>
      <c r="BH29" s="858"/>
      <c r="BI29" s="858"/>
      <c r="BJ29" s="858"/>
      <c r="BK29" s="858"/>
      <c r="BL29" s="858"/>
      <c r="BM29" s="858"/>
      <c r="BN29" s="858"/>
      <c r="BO29" s="858"/>
      <c r="BP29" s="561"/>
      <c r="BQ29" s="560"/>
      <c r="BR29" s="560"/>
      <c r="BS29" s="560"/>
      <c r="BT29" s="560"/>
    </row>
    <row r="30" spans="1:72" ht="16" thickTop="1">
      <c r="A30" s="546"/>
      <c r="B30" s="912" t="s">
        <v>610</v>
      </c>
      <c r="C30" s="913"/>
      <c r="D30" s="914"/>
      <c r="E30" s="938"/>
      <c r="F30" s="939"/>
      <c r="G30" s="940"/>
      <c r="H30" s="816" t="str">
        <f>IF(E30&gt;600000, "Invalid Input. Value must be equalt to or less than $600,000", "OK")</f>
        <v>OK</v>
      </c>
      <c r="I30" s="7"/>
      <c r="AI30" s="545" t="s">
        <v>504</v>
      </c>
      <c r="AJ30" s="559">
        <f>25400*2</f>
        <v>50800</v>
      </c>
      <c r="AS30" s="545"/>
      <c r="AT30" s="857"/>
      <c r="AU30" s="857"/>
      <c r="AV30" s="857"/>
      <c r="AW30" s="857"/>
      <c r="AX30" s="857"/>
      <c r="AY30"/>
      <c r="AZ30"/>
      <c r="BA30" s="551"/>
      <c r="BB30" s="551"/>
      <c r="BE30" s="545"/>
      <c r="BF30" s="858"/>
      <c r="BG30" s="858"/>
      <c r="BH30" s="858"/>
      <c r="BI30" s="858"/>
      <c r="BJ30" s="858"/>
      <c r="BK30" s="858"/>
      <c r="BL30" s="858"/>
      <c r="BM30" s="858"/>
      <c r="BN30" s="858"/>
      <c r="BO30" s="858"/>
      <c r="BP30" s="561"/>
      <c r="BQ30" s="560"/>
      <c r="BR30" s="560"/>
      <c r="BS30" s="560"/>
      <c r="BT30" s="560"/>
    </row>
    <row r="31" spans="1:72" ht="16" thickBot="1">
      <c r="A31" s="546"/>
      <c r="B31" s="218"/>
      <c r="C31" s="549"/>
      <c r="D31" s="549"/>
      <c r="E31" s="572"/>
      <c r="F31" s="573"/>
      <c r="G31" s="573"/>
      <c r="H31" s="565"/>
      <c r="I31" s="7"/>
      <c r="AI31" s="545" t="s">
        <v>505</v>
      </c>
      <c r="AJ31" s="559">
        <f>25950*2</f>
        <v>51900</v>
      </c>
      <c r="AS31" s="545"/>
      <c r="AT31" s="857"/>
      <c r="AU31" s="857"/>
      <c r="AV31" s="857"/>
      <c r="AW31" s="857"/>
      <c r="AX31" s="857"/>
      <c r="AY31"/>
      <c r="AZ31"/>
      <c r="BA31" s="551"/>
      <c r="BB31" s="551"/>
      <c r="BE31" s="545"/>
      <c r="BF31" s="858"/>
      <c r="BG31" s="858"/>
      <c r="BH31" s="858"/>
      <c r="BI31" s="858"/>
      <c r="BJ31" s="858"/>
      <c r="BK31" s="858"/>
      <c r="BL31" s="858"/>
      <c r="BM31" s="858"/>
      <c r="BN31" s="858"/>
      <c r="BO31" s="858"/>
      <c r="BP31" s="561"/>
      <c r="BQ31" s="560"/>
      <c r="BR31" s="560"/>
      <c r="BS31" s="560"/>
      <c r="BT31" s="560"/>
    </row>
    <row r="32" spans="1:72" ht="17" thickTop="1" thickBot="1">
      <c r="A32" s="546"/>
      <c r="B32" s="173" t="s">
        <v>51</v>
      </c>
      <c r="C32" s="555"/>
      <c r="D32" s="555"/>
      <c r="E32" s="569"/>
      <c r="F32" s="570"/>
      <c r="G32" s="571"/>
      <c r="H32" s="223"/>
      <c r="I32" s="7"/>
      <c r="AI32" s="545" t="s">
        <v>506</v>
      </c>
      <c r="AJ32" s="559">
        <f>32750*2</f>
        <v>65500</v>
      </c>
      <c r="AS32" s="545"/>
      <c r="AT32" s="857"/>
      <c r="AU32" s="857"/>
      <c r="AV32" s="857"/>
      <c r="AW32" s="857"/>
      <c r="AX32" s="857"/>
      <c r="AY32"/>
      <c r="AZ32"/>
      <c r="BA32" s="551"/>
      <c r="BB32" s="551"/>
      <c r="BE32" s="545"/>
      <c r="BF32" s="858"/>
      <c r="BG32" s="858"/>
      <c r="BH32" s="858"/>
      <c r="BI32" s="858"/>
      <c r="BJ32" s="858"/>
      <c r="BK32" s="858"/>
      <c r="BL32" s="858"/>
      <c r="BM32" s="858"/>
      <c r="BN32" s="858"/>
      <c r="BO32" s="858"/>
      <c r="BP32" s="561"/>
      <c r="BQ32" s="560"/>
      <c r="BR32" s="560"/>
      <c r="BS32" s="560"/>
      <c r="BT32" s="560"/>
    </row>
    <row r="33" spans="1:72" ht="16" thickTop="1">
      <c r="A33" s="546"/>
      <c r="B33" s="155" t="s">
        <v>52</v>
      </c>
      <c r="C33" s="574"/>
      <c r="D33" s="575"/>
      <c r="E33" s="928"/>
      <c r="F33" s="929"/>
      <c r="G33" s="930"/>
      <c r="H33" s="223"/>
      <c r="I33" s="7"/>
      <c r="AI33" s="545" t="s">
        <v>507</v>
      </c>
      <c r="AJ33" s="559">
        <f>24750*2</f>
        <v>49500</v>
      </c>
      <c r="AS33" s="545"/>
      <c r="AT33" s="857"/>
      <c r="AU33" s="857"/>
      <c r="AV33" s="857"/>
      <c r="AW33" s="857"/>
      <c r="AX33" s="857"/>
      <c r="AY33"/>
      <c r="AZ33"/>
      <c r="BA33" s="551"/>
      <c r="BB33" s="551"/>
      <c r="BE33" s="545"/>
      <c r="BF33" s="858"/>
      <c r="BG33" s="858"/>
      <c r="BH33" s="858"/>
      <c r="BI33" s="858"/>
      <c r="BJ33" s="858"/>
      <c r="BK33" s="858"/>
      <c r="BL33" s="858"/>
      <c r="BM33" s="858"/>
      <c r="BN33" s="858"/>
      <c r="BO33" s="858"/>
      <c r="BP33" s="561"/>
      <c r="BQ33" s="560"/>
      <c r="BR33" s="560"/>
      <c r="BS33" s="560"/>
      <c r="BT33" s="560"/>
    </row>
    <row r="34" spans="1:72" ht="15">
      <c r="A34" s="546"/>
      <c r="B34" s="156" t="s">
        <v>53</v>
      </c>
      <c r="C34" s="576"/>
      <c r="D34" s="577"/>
      <c r="E34" s="906"/>
      <c r="F34" s="907"/>
      <c r="G34" s="908"/>
      <c r="H34" s="223"/>
      <c r="I34" s="7"/>
      <c r="AI34" s="545" t="s">
        <v>508</v>
      </c>
      <c r="AJ34" s="559">
        <f>30000*2</f>
        <v>60000</v>
      </c>
      <c r="AS34" s="545"/>
      <c r="AT34" s="857"/>
      <c r="AU34" s="857"/>
      <c r="AV34" s="857"/>
      <c r="AW34" s="857"/>
      <c r="AX34" s="857"/>
      <c r="AY34"/>
      <c r="AZ34"/>
      <c r="BA34" s="551"/>
      <c r="BB34" s="551"/>
      <c r="BE34" s="545"/>
      <c r="BF34" s="858"/>
      <c r="BG34" s="858"/>
      <c r="BH34" s="858"/>
      <c r="BI34" s="858"/>
      <c r="BJ34" s="858"/>
      <c r="BK34" s="858"/>
      <c r="BL34" s="858"/>
      <c r="BM34" s="858"/>
      <c r="BN34" s="858"/>
      <c r="BO34" s="858"/>
      <c r="BP34" s="561"/>
      <c r="BQ34" s="560"/>
      <c r="BR34" s="560"/>
      <c r="BS34" s="560"/>
      <c r="BT34" s="560"/>
    </row>
    <row r="35" spans="1:72" ht="15">
      <c r="A35" s="546"/>
      <c r="B35" s="156" t="s">
        <v>479</v>
      </c>
      <c r="C35" s="576"/>
      <c r="D35" s="577"/>
      <c r="E35" s="906"/>
      <c r="F35" s="907"/>
      <c r="G35" s="908"/>
      <c r="H35" s="223"/>
      <c r="I35" s="7"/>
      <c r="AI35" s="545" t="s">
        <v>509</v>
      </c>
      <c r="AJ35" s="559">
        <f>28100*2</f>
        <v>56200</v>
      </c>
      <c r="AS35" s="545"/>
      <c r="AT35" s="857"/>
      <c r="AU35" s="857"/>
      <c r="AV35" s="857"/>
      <c r="AW35" s="857"/>
      <c r="AX35" s="857"/>
      <c r="AY35"/>
      <c r="AZ35"/>
      <c r="BA35" s="551"/>
      <c r="BB35" s="551"/>
      <c r="BE35" s="545"/>
      <c r="BF35" s="858"/>
      <c r="BG35" s="858"/>
      <c r="BH35" s="858"/>
      <c r="BI35" s="858"/>
      <c r="BJ35" s="858"/>
      <c r="BK35" s="858"/>
      <c r="BL35" s="858"/>
      <c r="BM35" s="858"/>
      <c r="BN35" s="858"/>
      <c r="BO35" s="858"/>
      <c r="BP35" s="561"/>
      <c r="BQ35" s="560"/>
      <c r="BR35" s="560"/>
      <c r="BS35" s="560"/>
      <c r="BT35" s="560"/>
    </row>
    <row r="36" spans="1:72" ht="15">
      <c r="A36" s="546"/>
      <c r="B36" s="156" t="s">
        <v>55</v>
      </c>
      <c r="C36" s="576"/>
      <c r="D36" s="577"/>
      <c r="E36" s="906"/>
      <c r="F36" s="907"/>
      <c r="G36" s="908"/>
      <c r="H36" s="223"/>
      <c r="I36" s="7"/>
      <c r="AI36" s="545" t="s">
        <v>510</v>
      </c>
      <c r="AJ36" s="559">
        <f>31650*2</f>
        <v>63300</v>
      </c>
      <c r="AS36" s="545"/>
      <c r="AT36" s="857"/>
      <c r="AU36" s="857"/>
      <c r="AV36" s="857"/>
      <c r="AW36" s="857"/>
      <c r="AX36" s="857"/>
      <c r="AY36"/>
      <c r="AZ36"/>
      <c r="BA36" s="551"/>
      <c r="BB36" s="551"/>
      <c r="BE36" s="545"/>
      <c r="BF36" s="858"/>
      <c r="BG36" s="858"/>
      <c r="BH36" s="858"/>
      <c r="BI36" s="858"/>
      <c r="BJ36" s="858"/>
      <c r="BK36" s="858"/>
      <c r="BL36" s="858"/>
      <c r="BM36" s="858"/>
      <c r="BN36" s="858"/>
      <c r="BO36" s="858"/>
      <c r="BP36" s="561"/>
      <c r="BQ36" s="560"/>
      <c r="BR36" s="560"/>
      <c r="BS36" s="560"/>
      <c r="BT36" s="560"/>
    </row>
    <row r="37" spans="1:72" ht="15">
      <c r="A37" s="546"/>
      <c r="B37" s="156" t="s">
        <v>54</v>
      </c>
      <c r="C37" s="576"/>
      <c r="D37" s="577"/>
      <c r="E37" s="931"/>
      <c r="F37" s="932"/>
      <c r="G37" s="933"/>
      <c r="H37" s="223"/>
      <c r="I37" s="7"/>
      <c r="AI37" s="545" t="s">
        <v>511</v>
      </c>
      <c r="AJ37" s="559">
        <f>29350*2</f>
        <v>58700</v>
      </c>
      <c r="AS37" s="545"/>
      <c r="AT37" s="857"/>
      <c r="AU37" s="857"/>
      <c r="AV37" s="857"/>
      <c r="AW37" s="857"/>
      <c r="AX37" s="857"/>
      <c r="AY37"/>
      <c r="AZ37"/>
      <c r="BA37" s="551"/>
      <c r="BB37" s="551"/>
      <c r="BE37" s="545"/>
      <c r="BF37" s="858"/>
      <c r="BG37" s="858"/>
      <c r="BH37" s="858"/>
      <c r="BI37" s="858"/>
      <c r="BJ37" s="858"/>
      <c r="BK37" s="858"/>
      <c r="BL37" s="858"/>
      <c r="BM37" s="858"/>
      <c r="BN37" s="858"/>
      <c r="BO37" s="858"/>
      <c r="BP37" s="561"/>
      <c r="BQ37" s="560"/>
      <c r="BR37" s="560"/>
      <c r="BS37" s="560"/>
      <c r="BT37" s="560"/>
    </row>
    <row r="38" spans="1:72" ht="15">
      <c r="A38" s="546"/>
      <c r="B38" s="903" t="s">
        <v>1164</v>
      </c>
      <c r="C38" s="904"/>
      <c r="D38" s="905"/>
      <c r="E38" s="906"/>
      <c r="F38" s="907"/>
      <c r="G38" s="908"/>
      <c r="H38" s="223" t="s">
        <v>1167</v>
      </c>
      <c r="I38" s="7"/>
      <c r="AI38" s="545"/>
      <c r="AJ38" s="559"/>
      <c r="AS38" s="545"/>
      <c r="AT38" s="857"/>
      <c r="AU38" s="857"/>
      <c r="AV38" s="857"/>
      <c r="AW38" s="857"/>
      <c r="AX38" s="857"/>
      <c r="AY38"/>
      <c r="AZ38"/>
      <c r="BA38" s="551"/>
      <c r="BB38" s="551"/>
      <c r="BE38" s="545"/>
      <c r="BF38" s="858"/>
      <c r="BG38" s="858"/>
      <c r="BH38" s="858"/>
      <c r="BI38" s="858"/>
      <c r="BJ38" s="858"/>
      <c r="BK38" s="858"/>
      <c r="BL38" s="858"/>
      <c r="BM38" s="858"/>
      <c r="BN38" s="858"/>
      <c r="BO38" s="858"/>
      <c r="BP38" s="561"/>
      <c r="BQ38" s="560"/>
      <c r="BR38" s="560"/>
      <c r="BS38" s="560"/>
      <c r="BT38" s="560"/>
    </row>
    <row r="39" spans="1:72" ht="15">
      <c r="A39" s="546"/>
      <c r="B39" s="903" t="s">
        <v>1163</v>
      </c>
      <c r="C39" s="904"/>
      <c r="D39" s="905"/>
      <c r="E39" s="906"/>
      <c r="F39" s="907"/>
      <c r="G39" s="908"/>
      <c r="H39" s="223" t="s">
        <v>1167</v>
      </c>
      <c r="I39" s="7"/>
      <c r="AI39" s="545"/>
      <c r="AJ39" s="559"/>
      <c r="AS39" s="545"/>
      <c r="AT39" s="857"/>
      <c r="AU39" s="857"/>
      <c r="AV39" s="857"/>
      <c r="AW39" s="857"/>
      <c r="AX39" s="857"/>
      <c r="AY39"/>
      <c r="AZ39"/>
      <c r="BA39" s="551"/>
      <c r="BB39" s="551"/>
      <c r="BE39" s="545"/>
      <c r="BF39" s="858"/>
      <c r="BG39" s="858"/>
      <c r="BH39" s="858"/>
      <c r="BI39" s="858"/>
      <c r="BJ39" s="858"/>
      <c r="BK39" s="858"/>
      <c r="BL39" s="858"/>
      <c r="BM39" s="858"/>
      <c r="BN39" s="858"/>
      <c r="BO39" s="858"/>
      <c r="BP39" s="561"/>
      <c r="BQ39" s="560"/>
      <c r="BR39" s="560"/>
      <c r="BS39" s="560"/>
      <c r="BT39" s="560"/>
    </row>
    <row r="40" spans="1:72" ht="15">
      <c r="A40" s="546"/>
      <c r="B40" s="903" t="s">
        <v>1165</v>
      </c>
      <c r="C40" s="904"/>
      <c r="D40" s="905"/>
      <c r="E40" s="906"/>
      <c r="F40" s="907"/>
      <c r="G40" s="908"/>
      <c r="H40" s="223" t="s">
        <v>1167</v>
      </c>
      <c r="I40" s="7"/>
      <c r="AI40" s="545"/>
      <c r="AJ40" s="559"/>
      <c r="AS40" s="545"/>
      <c r="AT40" s="857"/>
      <c r="AU40" s="857"/>
      <c r="AV40" s="857"/>
      <c r="AW40" s="857"/>
      <c r="AX40" s="857"/>
      <c r="AY40"/>
      <c r="AZ40"/>
      <c r="BA40" s="551"/>
      <c r="BB40" s="551"/>
      <c r="BE40" s="545"/>
      <c r="BF40" s="858"/>
      <c r="BG40" s="858"/>
      <c r="BH40" s="858"/>
      <c r="BI40" s="858"/>
      <c r="BJ40" s="858"/>
      <c r="BK40" s="858"/>
      <c r="BL40" s="858"/>
      <c r="BM40" s="858"/>
      <c r="BN40" s="858"/>
      <c r="BO40" s="858"/>
      <c r="BP40" s="561"/>
      <c r="BQ40" s="560"/>
      <c r="BR40" s="560"/>
      <c r="BS40" s="560"/>
      <c r="BT40" s="560"/>
    </row>
    <row r="41" spans="1:72" ht="15">
      <c r="A41" s="546"/>
      <c r="B41" s="903" t="s">
        <v>1166</v>
      </c>
      <c r="C41" s="904"/>
      <c r="D41" s="905"/>
      <c r="E41" s="906"/>
      <c r="F41" s="907"/>
      <c r="G41" s="908"/>
      <c r="H41" s="223" t="s">
        <v>1167</v>
      </c>
      <c r="I41" s="7"/>
      <c r="AI41" s="545"/>
      <c r="AJ41" s="559"/>
      <c r="AS41" s="545"/>
      <c r="AT41" s="857"/>
      <c r="AU41" s="857"/>
      <c r="AV41" s="857"/>
      <c r="AW41" s="857"/>
      <c r="AX41" s="857"/>
      <c r="AY41"/>
      <c r="AZ41"/>
      <c r="BA41" s="551"/>
      <c r="BB41" s="551"/>
      <c r="BE41" s="545"/>
      <c r="BF41" s="858"/>
      <c r="BG41" s="858"/>
      <c r="BH41" s="858"/>
      <c r="BI41" s="858"/>
      <c r="BJ41" s="858"/>
      <c r="BK41" s="858"/>
      <c r="BL41" s="858"/>
      <c r="BM41" s="858"/>
      <c r="BN41" s="858"/>
      <c r="BO41" s="858"/>
      <c r="BP41" s="561"/>
      <c r="BQ41" s="560"/>
      <c r="BR41" s="560"/>
      <c r="BS41" s="560"/>
      <c r="BT41" s="560"/>
    </row>
    <row r="42" spans="1:72" ht="16" thickBot="1">
      <c r="A42" s="546"/>
      <c r="B42" s="218"/>
      <c r="C42" s="549"/>
      <c r="D42" s="549"/>
      <c r="E42" s="578"/>
      <c r="F42" s="579"/>
      <c r="G42" s="579"/>
      <c r="H42" s="223"/>
      <c r="I42" s="7"/>
      <c r="AI42" s="545" t="s">
        <v>512</v>
      </c>
      <c r="AJ42" s="559">
        <f>27650*2</f>
        <v>55300</v>
      </c>
      <c r="AS42" s="545"/>
      <c r="AT42" s="857"/>
      <c r="AU42" s="857"/>
      <c r="AV42" s="857"/>
      <c r="AW42" s="857"/>
      <c r="AX42" s="857"/>
      <c r="AY42"/>
      <c r="AZ42"/>
      <c r="BA42" s="551"/>
      <c r="BB42" s="551"/>
      <c r="BE42" s="545"/>
      <c r="BF42" s="858"/>
      <c r="BG42" s="858"/>
      <c r="BH42" s="858"/>
      <c r="BI42" s="858"/>
      <c r="BJ42" s="858"/>
      <c r="BK42" s="858"/>
      <c r="BL42" s="858"/>
      <c r="BM42" s="858"/>
      <c r="BN42" s="858"/>
      <c r="BO42" s="858"/>
      <c r="BP42" s="561"/>
      <c r="BQ42" s="560"/>
      <c r="BR42" s="560"/>
      <c r="BS42" s="560"/>
      <c r="BT42" s="560"/>
    </row>
    <row r="43" spans="1:72" ht="17" thickTop="1" thickBot="1">
      <c r="A43" s="546"/>
      <c r="B43" s="173" t="s">
        <v>56</v>
      </c>
      <c r="C43" s="555"/>
      <c r="D43" s="555"/>
      <c r="E43" s="569"/>
      <c r="F43" s="570"/>
      <c r="G43" s="571"/>
      <c r="H43" s="223"/>
      <c r="I43" s="7"/>
      <c r="AI43" s="545" t="s">
        <v>513</v>
      </c>
      <c r="AJ43" s="559">
        <f>26700*2</f>
        <v>53400</v>
      </c>
      <c r="AS43" s="545"/>
      <c r="AT43" s="857"/>
      <c r="AU43" s="857"/>
      <c r="AV43" s="857"/>
      <c r="AW43" s="857"/>
      <c r="AX43" s="857"/>
      <c r="AY43"/>
      <c r="AZ43"/>
      <c r="BA43" s="551"/>
      <c r="BB43" s="551"/>
      <c r="BE43" s="545"/>
      <c r="BF43" s="858"/>
      <c r="BG43" s="858"/>
      <c r="BH43" s="858"/>
      <c r="BI43" s="858"/>
      <c r="BJ43" s="858"/>
      <c r="BK43" s="858"/>
      <c r="BL43" s="858"/>
      <c r="BM43" s="858"/>
      <c r="BN43" s="858"/>
      <c r="BO43" s="858"/>
      <c r="BP43" s="561"/>
      <c r="BQ43" s="560"/>
      <c r="BR43" s="560"/>
      <c r="BS43" s="560"/>
      <c r="BT43" s="560"/>
    </row>
    <row r="44" spans="1:72" ht="16" thickTop="1">
      <c r="A44" s="546"/>
      <c r="B44" s="155" t="s">
        <v>58</v>
      </c>
      <c r="C44" s="574"/>
      <c r="D44" s="575"/>
      <c r="E44" s="928"/>
      <c r="F44" s="929"/>
      <c r="G44" s="930"/>
      <c r="H44" s="223"/>
      <c r="I44" s="7"/>
      <c r="AI44" s="545" t="s">
        <v>514</v>
      </c>
      <c r="AJ44" s="559">
        <f>32750*2</f>
        <v>65500</v>
      </c>
      <c r="AS44" s="545"/>
      <c r="AT44" s="857"/>
      <c r="AU44" s="857"/>
      <c r="AV44" s="857"/>
      <c r="AW44" s="857"/>
      <c r="AX44" s="857"/>
      <c r="AY44"/>
      <c r="AZ44"/>
      <c r="BA44" s="551"/>
      <c r="BB44" s="551"/>
      <c r="BE44" s="545"/>
      <c r="BF44" s="858"/>
      <c r="BG44" s="858"/>
      <c r="BH44" s="858"/>
      <c r="BI44" s="858"/>
      <c r="BJ44" s="858"/>
      <c r="BK44" s="858"/>
      <c r="BL44" s="858"/>
      <c r="BM44" s="858"/>
      <c r="BN44" s="858"/>
      <c r="BO44" s="858"/>
      <c r="BP44" s="561"/>
      <c r="BQ44" s="560"/>
      <c r="BR44" s="560"/>
      <c r="BS44" s="560"/>
      <c r="BT44" s="560"/>
    </row>
    <row r="45" spans="1:72" ht="15">
      <c r="A45" s="546"/>
      <c r="B45" s="156" t="s">
        <v>57</v>
      </c>
      <c r="C45" s="576"/>
      <c r="D45" s="577"/>
      <c r="E45" s="906"/>
      <c r="F45" s="907"/>
      <c r="G45" s="908"/>
      <c r="H45" s="223"/>
      <c r="I45" s="7"/>
      <c r="AI45" s="545" t="s">
        <v>515</v>
      </c>
      <c r="AJ45" s="559">
        <f>24400*2</f>
        <v>48800</v>
      </c>
      <c r="AS45" s="545"/>
      <c r="AT45" s="857"/>
      <c r="AU45" s="857"/>
      <c r="AV45" s="857"/>
      <c r="AW45" s="857"/>
      <c r="AX45" s="857"/>
      <c r="AY45"/>
      <c r="AZ45"/>
      <c r="BA45" s="551"/>
      <c r="BB45" s="551"/>
      <c r="BE45" s="545"/>
      <c r="BF45" s="858"/>
      <c r="BG45" s="858"/>
      <c r="BH45" s="858"/>
      <c r="BI45" s="858"/>
      <c r="BJ45" s="858"/>
      <c r="BK45" s="858"/>
      <c r="BL45" s="858"/>
      <c r="BM45" s="858"/>
      <c r="BN45" s="858"/>
      <c r="BO45" s="858"/>
      <c r="BP45" s="561"/>
      <c r="BQ45" s="560"/>
      <c r="BR45" s="560"/>
      <c r="BS45" s="560"/>
      <c r="BT45" s="560"/>
    </row>
    <row r="46" spans="1:72" ht="12.75" customHeight="1">
      <c r="A46" s="546"/>
      <c r="B46" s="156" t="s">
        <v>59</v>
      </c>
      <c r="C46" s="576"/>
      <c r="D46" s="577"/>
      <c r="E46" s="906"/>
      <c r="F46" s="907"/>
      <c r="G46" s="908"/>
      <c r="H46" s="223"/>
      <c r="I46" s="7"/>
      <c r="AI46" s="545" t="s">
        <v>516</v>
      </c>
      <c r="AJ46" s="559">
        <f>24400*2</f>
        <v>48800</v>
      </c>
      <c r="AS46" s="545"/>
      <c r="AT46" s="857"/>
      <c r="AU46" s="857"/>
      <c r="AV46" s="857"/>
      <c r="AW46" s="857"/>
      <c r="AX46" s="857"/>
      <c r="AY46"/>
      <c r="AZ46"/>
      <c r="BA46" s="551"/>
      <c r="BB46" s="551"/>
      <c r="BE46" s="545"/>
      <c r="BF46" s="858"/>
      <c r="BG46" s="858"/>
      <c r="BH46" s="858"/>
      <c r="BI46" s="858"/>
      <c r="BJ46" s="858"/>
      <c r="BK46" s="858"/>
      <c r="BL46" s="858"/>
      <c r="BM46" s="858"/>
      <c r="BN46" s="858"/>
      <c r="BO46" s="858"/>
      <c r="BP46" s="561"/>
      <c r="BQ46" s="560"/>
      <c r="BR46" s="560"/>
      <c r="BS46" s="560"/>
      <c r="BT46" s="560"/>
    </row>
    <row r="47" spans="1:72" ht="15">
      <c r="A47" s="546"/>
      <c r="B47" s="156" t="s">
        <v>60</v>
      </c>
      <c r="C47" s="576"/>
      <c r="D47" s="577"/>
      <c r="E47" s="906"/>
      <c r="F47" s="907"/>
      <c r="G47" s="908"/>
      <c r="H47" s="223"/>
      <c r="I47" s="7"/>
      <c r="AI47" s="545" t="s">
        <v>517</v>
      </c>
      <c r="AJ47" s="559">
        <f>24400*2</f>
        <v>48800</v>
      </c>
      <c r="AS47" s="545"/>
      <c r="AT47" s="857"/>
      <c r="AU47" s="857"/>
      <c r="AV47" s="857"/>
      <c r="AW47" s="857"/>
      <c r="AX47" s="857"/>
      <c r="AY47"/>
      <c r="AZ47"/>
      <c r="BA47" s="551"/>
      <c r="BB47" s="551"/>
      <c r="BE47" s="545"/>
      <c r="BF47" s="858"/>
      <c r="BG47" s="858"/>
      <c r="BH47" s="858"/>
      <c r="BI47" s="858"/>
      <c r="BJ47" s="858"/>
      <c r="BK47" s="858"/>
      <c r="BL47" s="858"/>
      <c r="BM47" s="858"/>
      <c r="BN47" s="858"/>
      <c r="BO47" s="858"/>
      <c r="BP47" s="561"/>
      <c r="BQ47" s="560"/>
      <c r="BR47" s="560"/>
      <c r="BS47" s="560"/>
      <c r="BT47" s="560"/>
    </row>
    <row r="48" spans="1:72" ht="15">
      <c r="A48" s="546"/>
      <c r="B48" s="156" t="s">
        <v>61</v>
      </c>
      <c r="C48" s="576"/>
      <c r="D48" s="577"/>
      <c r="E48" s="906"/>
      <c r="F48" s="907"/>
      <c r="G48" s="908"/>
      <c r="H48" s="223"/>
      <c r="I48" s="7"/>
      <c r="AI48" s="545" t="s">
        <v>518</v>
      </c>
      <c r="AJ48" s="559">
        <f>30000*2</f>
        <v>60000</v>
      </c>
      <c r="AS48" s="545"/>
      <c r="AT48" s="857"/>
      <c r="AU48" s="857"/>
      <c r="AV48" s="857"/>
      <c r="AW48" s="857"/>
      <c r="AX48" s="857"/>
      <c r="AY48"/>
      <c r="AZ48"/>
      <c r="BA48" s="551"/>
      <c r="BB48" s="551"/>
      <c r="BE48" s="545"/>
      <c r="BF48" s="858"/>
      <c r="BG48" s="858"/>
      <c r="BH48" s="858"/>
      <c r="BI48" s="858"/>
      <c r="BJ48" s="858"/>
      <c r="BK48" s="858"/>
      <c r="BL48" s="858"/>
      <c r="BM48" s="858"/>
      <c r="BN48" s="858"/>
      <c r="BO48" s="858"/>
      <c r="BP48" s="561"/>
      <c r="BQ48" s="560"/>
      <c r="BR48" s="560"/>
      <c r="BS48" s="560"/>
      <c r="BT48" s="560"/>
    </row>
    <row r="49" spans="1:72" ht="15">
      <c r="A49" s="546"/>
      <c r="B49" s="156" t="s">
        <v>62</v>
      </c>
      <c r="C49" s="576"/>
      <c r="D49" s="577"/>
      <c r="E49" s="906"/>
      <c r="F49" s="907"/>
      <c r="G49" s="908"/>
      <c r="H49" s="223"/>
      <c r="AI49" s="545" t="s">
        <v>519</v>
      </c>
      <c r="AJ49" s="559">
        <f>25000*2</f>
        <v>50000</v>
      </c>
      <c r="AS49" s="545"/>
      <c r="AT49" s="857"/>
      <c r="AU49" s="857"/>
      <c r="AV49" s="857"/>
      <c r="AW49" s="857"/>
      <c r="AX49" s="857"/>
      <c r="AY49"/>
      <c r="AZ49"/>
      <c r="BA49" s="551"/>
      <c r="BB49" s="551"/>
      <c r="BE49" s="545"/>
      <c r="BF49" s="858"/>
      <c r="BG49" s="858"/>
      <c r="BH49" s="858"/>
      <c r="BI49" s="858"/>
      <c r="BJ49" s="858"/>
      <c r="BK49" s="858"/>
      <c r="BL49" s="858"/>
      <c r="BM49" s="858"/>
      <c r="BN49" s="858"/>
      <c r="BO49" s="858"/>
      <c r="BP49" s="561"/>
      <c r="BQ49" s="560"/>
      <c r="BR49" s="560"/>
      <c r="BS49" s="560"/>
      <c r="BT49" s="560"/>
    </row>
    <row r="50" spans="1:72" ht="15">
      <c r="A50" s="546"/>
      <c r="B50" s="156" t="s">
        <v>63</v>
      </c>
      <c r="C50" s="576"/>
      <c r="D50" s="577"/>
      <c r="E50" s="906"/>
      <c r="F50" s="907"/>
      <c r="G50" s="908"/>
      <c r="H50" s="223"/>
      <c r="AI50" s="545" t="s">
        <v>520</v>
      </c>
      <c r="AJ50" s="559">
        <f>30000*2</f>
        <v>60000</v>
      </c>
      <c r="AS50" s="545"/>
      <c r="AT50" s="857"/>
      <c r="AU50" s="857"/>
      <c r="AV50" s="857"/>
      <c r="AW50" s="857"/>
      <c r="AX50" s="857"/>
      <c r="AY50"/>
      <c r="AZ50"/>
      <c r="BA50" s="551"/>
      <c r="BB50" s="551"/>
      <c r="BE50" s="545"/>
      <c r="BF50" s="858"/>
      <c r="BG50" s="858"/>
      <c r="BH50" s="858"/>
      <c r="BI50" s="858"/>
      <c r="BJ50" s="858"/>
      <c r="BK50" s="858"/>
      <c r="BL50" s="858"/>
      <c r="BM50" s="858"/>
      <c r="BN50" s="858"/>
      <c r="BO50" s="858"/>
      <c r="BP50" s="561"/>
      <c r="BQ50" s="560"/>
      <c r="BR50" s="560"/>
      <c r="BS50" s="560"/>
      <c r="BT50" s="560"/>
    </row>
    <row r="51" spans="1:72" ht="30.75" customHeight="1">
      <c r="A51" s="546"/>
      <c r="B51" s="157" t="s">
        <v>64</v>
      </c>
      <c r="C51" s="576"/>
      <c r="D51" s="577"/>
      <c r="E51" s="909">
        <f>SUM(E44:G50)</f>
        <v>0</v>
      </c>
      <c r="F51" s="910"/>
      <c r="G51" s="911"/>
      <c r="H51" s="817" t="str">
        <f>IF(E51&lt;&gt;E26, "Invalid Input. You must adjust either the Total Units or the Unit Mix", "OK")</f>
        <v>OK</v>
      </c>
      <c r="AI51" s="545" t="s">
        <v>521</v>
      </c>
      <c r="AJ51" s="559">
        <f>32750*2</f>
        <v>65500</v>
      </c>
      <c r="AS51" s="545"/>
      <c r="AT51" s="857"/>
      <c r="AU51" s="857"/>
      <c r="AV51" s="857"/>
      <c r="AW51" s="857"/>
      <c r="AX51" s="857"/>
      <c r="AY51"/>
      <c r="AZ51"/>
      <c r="BA51" s="551"/>
      <c r="BB51" s="551"/>
      <c r="BE51" s="545"/>
      <c r="BF51" s="858"/>
      <c r="BG51" s="858"/>
      <c r="BH51" s="858"/>
      <c r="BI51" s="858"/>
      <c r="BJ51" s="858"/>
      <c r="BK51" s="858"/>
      <c r="BL51" s="858"/>
      <c r="BM51" s="858"/>
      <c r="BN51" s="858"/>
      <c r="BO51" s="858"/>
      <c r="BP51" s="561"/>
      <c r="BQ51" s="560"/>
      <c r="BR51" s="560"/>
      <c r="BS51" s="560"/>
      <c r="BT51" s="560"/>
    </row>
    <row r="52" spans="1:72" ht="15">
      <c r="A52" s="546"/>
      <c r="B52" s="218"/>
      <c r="C52" s="218"/>
      <c r="D52" s="218"/>
      <c r="E52" s="218"/>
      <c r="F52" s="218"/>
      <c r="G52" s="218"/>
      <c r="H52" s="223"/>
      <c r="AI52" s="545" t="s">
        <v>522</v>
      </c>
      <c r="AJ52" s="559">
        <f>25400*2</f>
        <v>50800</v>
      </c>
      <c r="AS52" s="545"/>
      <c r="AT52" s="857"/>
      <c r="AU52" s="857"/>
      <c r="AV52" s="857"/>
      <c r="AW52" s="857"/>
      <c r="AX52" s="857"/>
      <c r="AY52"/>
      <c r="AZ52"/>
      <c r="BA52" s="551"/>
      <c r="BB52" s="551"/>
      <c r="BE52" s="545"/>
      <c r="BF52" s="858"/>
      <c r="BG52" s="858"/>
      <c r="BH52" s="858"/>
      <c r="BI52" s="858"/>
      <c r="BJ52" s="858"/>
      <c r="BK52" s="858"/>
      <c r="BL52" s="858"/>
      <c r="BM52" s="858"/>
      <c r="BN52" s="858"/>
      <c r="BO52" s="858"/>
      <c r="BP52" s="561"/>
      <c r="BQ52" s="560"/>
      <c r="BR52" s="560"/>
      <c r="BS52" s="560"/>
      <c r="BT52" s="560"/>
    </row>
    <row r="53" spans="1:72" ht="16" thickBot="1">
      <c r="A53" s="546"/>
      <c r="B53" s="789" t="s">
        <v>1161</v>
      </c>
      <c r="C53" s="789"/>
      <c r="D53" s="789"/>
      <c r="E53" s="789"/>
      <c r="F53" s="789"/>
      <c r="G53" s="789"/>
      <c r="H53" s="223"/>
      <c r="AI53" s="545" t="s">
        <v>523</v>
      </c>
      <c r="AJ53" s="559">
        <f>24400*2</f>
        <v>48800</v>
      </c>
      <c r="AS53" s="545"/>
      <c r="AT53" s="857"/>
      <c r="AU53" s="857"/>
      <c r="AV53" s="857"/>
      <c r="AW53" s="857"/>
      <c r="AX53" s="857"/>
      <c r="AY53"/>
      <c r="AZ53"/>
      <c r="BA53" s="551"/>
      <c r="BB53" s="551"/>
      <c r="BE53" s="545"/>
      <c r="BF53" s="858"/>
      <c r="BG53" s="858"/>
      <c r="BH53" s="858"/>
      <c r="BI53" s="858"/>
      <c r="BJ53" s="858"/>
      <c r="BK53" s="858"/>
      <c r="BL53" s="858"/>
      <c r="BM53" s="858"/>
      <c r="BN53" s="858"/>
      <c r="BO53" s="858"/>
      <c r="BP53" s="561"/>
      <c r="BQ53" s="560"/>
      <c r="BR53" s="560"/>
      <c r="BS53" s="560"/>
      <c r="BT53" s="560"/>
    </row>
    <row r="54" spans="1:72" ht="16" thickTop="1">
      <c r="A54" s="546"/>
      <c r="B54" s="155" t="s">
        <v>58</v>
      </c>
      <c r="C54" s="791"/>
      <c r="D54" s="575"/>
      <c r="E54" s="964">
        <f>+Lists!Q76</f>
        <v>0</v>
      </c>
      <c r="F54" s="965"/>
      <c r="G54" s="965"/>
      <c r="H54" s="223"/>
      <c r="AI54" s="545" t="s">
        <v>524</v>
      </c>
      <c r="AJ54" s="559">
        <f>24400*2</f>
        <v>48800</v>
      </c>
      <c r="AS54" s="545"/>
      <c r="AT54" s="857"/>
      <c r="AU54" s="857"/>
      <c r="AV54" s="857"/>
      <c r="AW54" s="857"/>
      <c r="AX54" s="857"/>
      <c r="AY54"/>
      <c r="AZ54"/>
      <c r="BA54" s="551"/>
      <c r="BB54" s="551"/>
      <c r="BE54" s="545"/>
      <c r="BF54" s="858"/>
      <c r="BG54" s="858"/>
      <c r="BH54" s="858"/>
      <c r="BI54" s="858"/>
      <c r="BJ54" s="858"/>
      <c r="BK54" s="858"/>
      <c r="BL54" s="858"/>
      <c r="BM54" s="858"/>
      <c r="BN54" s="858"/>
      <c r="BO54" s="858"/>
      <c r="BP54" s="561"/>
      <c r="BQ54" s="560"/>
      <c r="BR54" s="560"/>
      <c r="BS54" s="560"/>
      <c r="BT54" s="560"/>
    </row>
    <row r="55" spans="1:72" ht="15">
      <c r="A55" s="546"/>
      <c r="B55" s="156" t="s">
        <v>57</v>
      </c>
      <c r="C55" s="576"/>
      <c r="D55" s="577"/>
      <c r="E55" s="966">
        <f>+Lists!R76</f>
        <v>0</v>
      </c>
      <c r="F55" s="967"/>
      <c r="G55" s="967"/>
      <c r="H55" s="223"/>
      <c r="AI55" s="545" t="s">
        <v>525</v>
      </c>
      <c r="AJ55" s="559">
        <f>24850*2</f>
        <v>49700</v>
      </c>
      <c r="AS55" s="545"/>
      <c r="AT55" s="857"/>
      <c r="AU55" s="857"/>
      <c r="AV55" s="857"/>
      <c r="AW55" s="857"/>
      <c r="AX55" s="857"/>
      <c r="AY55"/>
      <c r="AZ55"/>
      <c r="BA55" s="551"/>
      <c r="BB55" s="551"/>
      <c r="BE55" s="545"/>
      <c r="BF55" s="858"/>
      <c r="BG55" s="858"/>
      <c r="BH55" s="858"/>
      <c r="BI55" s="858"/>
      <c r="BJ55" s="858"/>
      <c r="BK55" s="858"/>
      <c r="BL55" s="858"/>
      <c r="BM55" s="858"/>
      <c r="BN55" s="858"/>
      <c r="BO55" s="858"/>
      <c r="BP55" s="561"/>
      <c r="BQ55" s="560"/>
      <c r="BR55" s="560"/>
      <c r="BS55" s="560"/>
      <c r="BT55" s="560"/>
    </row>
    <row r="56" spans="1:72" ht="15">
      <c r="A56" s="546"/>
      <c r="B56" s="156" t="s">
        <v>59</v>
      </c>
      <c r="C56" s="576"/>
      <c r="D56" s="790"/>
      <c r="E56" s="966">
        <f>+Lists!S76</f>
        <v>0</v>
      </c>
      <c r="F56" s="967"/>
      <c r="G56" s="967"/>
      <c r="H56" s="223"/>
      <c r="AI56" s="545" t="s">
        <v>526</v>
      </c>
      <c r="AJ56" s="559">
        <f>33450*2</f>
        <v>66900</v>
      </c>
      <c r="AS56" s="545"/>
      <c r="AT56" s="857"/>
      <c r="AU56" s="857"/>
      <c r="AV56" s="857"/>
      <c r="AW56" s="857"/>
      <c r="AX56" s="857"/>
      <c r="AY56"/>
      <c r="AZ56"/>
      <c r="BA56" s="551"/>
      <c r="BB56" s="551"/>
      <c r="BE56" s="545"/>
      <c r="BF56" s="858"/>
      <c r="BG56" s="858"/>
      <c r="BH56" s="858"/>
      <c r="BI56" s="858"/>
      <c r="BJ56" s="858"/>
      <c r="BK56" s="858"/>
      <c r="BL56" s="858"/>
      <c r="BM56" s="858"/>
      <c r="BN56" s="858"/>
      <c r="BO56" s="858"/>
      <c r="BP56" s="561"/>
      <c r="BQ56" s="560"/>
      <c r="BR56" s="560"/>
      <c r="BS56" s="560"/>
      <c r="BT56" s="560"/>
    </row>
    <row r="57" spans="1:72" ht="15">
      <c r="A57" s="546"/>
      <c r="B57" s="156" t="s">
        <v>60</v>
      </c>
      <c r="C57" s="576"/>
      <c r="D57" s="577"/>
      <c r="E57" s="966">
        <f>+Lists!T76</f>
        <v>0</v>
      </c>
      <c r="F57" s="967"/>
      <c r="G57" s="967"/>
      <c r="H57" s="565"/>
      <c r="AI57" s="545" t="s">
        <v>527</v>
      </c>
      <c r="AJ57" s="559">
        <f>30000*2</f>
        <v>60000</v>
      </c>
      <c r="AS57" s="545"/>
      <c r="AT57" s="857"/>
      <c r="AU57" s="857"/>
      <c r="AV57" s="857"/>
      <c r="AW57" s="857"/>
      <c r="AX57" s="857"/>
      <c r="AY57"/>
      <c r="AZ57"/>
      <c r="BA57" s="551"/>
      <c r="BB57" s="551"/>
      <c r="BE57" s="545"/>
      <c r="BF57" s="858"/>
      <c r="BG57" s="858"/>
      <c r="BH57" s="858"/>
      <c r="BI57" s="858"/>
      <c r="BJ57" s="858"/>
      <c r="BK57" s="858"/>
      <c r="BL57" s="858"/>
      <c r="BM57" s="858"/>
      <c r="BN57" s="858"/>
      <c r="BO57" s="858"/>
      <c r="BP57" s="561"/>
      <c r="BQ57" s="560"/>
      <c r="BR57" s="560"/>
      <c r="BS57" s="560"/>
      <c r="BT57" s="560"/>
    </row>
    <row r="58" spans="1:72" ht="15">
      <c r="A58" s="546"/>
      <c r="B58" s="156" t="s">
        <v>61</v>
      </c>
      <c r="C58" s="576"/>
      <c r="D58" s="577"/>
      <c r="E58" s="966">
        <f>+Lists!U76</f>
        <v>0</v>
      </c>
      <c r="F58" s="967"/>
      <c r="G58" s="967"/>
      <c r="H58" s="223"/>
      <c r="AI58" s="545" t="s">
        <v>528</v>
      </c>
      <c r="AJ58" s="559">
        <f>32750*2</f>
        <v>65500</v>
      </c>
      <c r="AS58" s="545"/>
      <c r="AT58" s="857"/>
      <c r="AU58" s="857"/>
      <c r="AV58" s="857"/>
      <c r="AW58" s="857"/>
      <c r="AX58" s="857"/>
      <c r="AY58"/>
      <c r="AZ58"/>
      <c r="BA58" s="551"/>
      <c r="BB58" s="551"/>
      <c r="BE58" s="545"/>
      <c r="BF58" s="858"/>
      <c r="BG58" s="858"/>
      <c r="BH58" s="858"/>
      <c r="BI58" s="858"/>
      <c r="BJ58" s="858"/>
      <c r="BK58" s="858"/>
      <c r="BL58" s="858"/>
      <c r="BM58" s="858"/>
      <c r="BN58" s="858"/>
      <c r="BO58" s="858"/>
      <c r="BP58" s="561"/>
      <c r="BQ58" s="560"/>
      <c r="BR58" s="560"/>
      <c r="BS58" s="560"/>
      <c r="BT58" s="560"/>
    </row>
    <row r="59" spans="1:72" ht="15">
      <c r="A59" s="546"/>
      <c r="B59" s="156" t="s">
        <v>62</v>
      </c>
      <c r="C59" s="576"/>
      <c r="D59" s="790"/>
      <c r="E59" s="966">
        <f>+E58</f>
        <v>0</v>
      </c>
      <c r="F59" s="967"/>
      <c r="G59" s="967"/>
      <c r="H59" s="223"/>
      <c r="AI59" s="545" t="s">
        <v>529</v>
      </c>
      <c r="AJ59" s="770">
        <f>33450*2</f>
        <v>66900</v>
      </c>
      <c r="AS59" s="545"/>
      <c r="AT59" s="857"/>
      <c r="AU59" s="857"/>
      <c r="AV59" s="857"/>
      <c r="AW59" s="857"/>
      <c r="AX59" s="857"/>
      <c r="AY59"/>
      <c r="AZ59"/>
      <c r="BA59" s="551"/>
      <c r="BB59" s="551"/>
      <c r="BE59" s="545"/>
      <c r="BF59" s="858"/>
      <c r="BG59" s="858"/>
      <c r="BH59" s="858"/>
      <c r="BI59" s="858"/>
      <c r="BJ59" s="858"/>
      <c r="BK59" s="858"/>
      <c r="BL59" s="858"/>
      <c r="BM59" s="858"/>
      <c r="BN59" s="858"/>
      <c r="BO59" s="858"/>
      <c r="BP59" s="561"/>
      <c r="BQ59" s="560"/>
      <c r="BR59" s="560"/>
      <c r="BS59" s="560"/>
      <c r="BT59" s="560"/>
    </row>
    <row r="60" spans="1:72" ht="15">
      <c r="A60" s="546"/>
      <c r="B60" s="971"/>
      <c r="C60" s="972"/>
      <c r="D60" s="972"/>
      <c r="E60" s="972"/>
      <c r="F60" s="972"/>
      <c r="G60" s="972"/>
      <c r="H60" s="223"/>
      <c r="Q60" s="7"/>
      <c r="R60" s="7"/>
      <c r="AI60" s="545" t="s">
        <v>530</v>
      </c>
      <c r="AJ60" s="770">
        <f>30000*2</f>
        <v>60000</v>
      </c>
      <c r="AS60" s="545"/>
      <c r="AT60" s="857"/>
      <c r="AU60" s="857"/>
      <c r="AV60" s="857"/>
      <c r="AW60" s="857"/>
      <c r="AX60" s="857"/>
      <c r="AY60"/>
      <c r="AZ60"/>
      <c r="BA60" s="551"/>
      <c r="BB60" s="551"/>
      <c r="BE60" s="545"/>
      <c r="BF60" s="858"/>
      <c r="BG60" s="858"/>
      <c r="BH60" s="858"/>
      <c r="BI60" s="858"/>
      <c r="BJ60" s="858"/>
      <c r="BK60" s="858"/>
      <c r="BL60" s="858"/>
      <c r="BM60" s="858"/>
      <c r="BN60" s="858"/>
      <c r="BO60" s="858"/>
      <c r="BP60" s="561"/>
      <c r="BQ60" s="560"/>
      <c r="BR60" s="560"/>
      <c r="BS60" s="560"/>
      <c r="BT60" s="560"/>
    </row>
    <row r="61" spans="1:72" ht="16" thickBot="1">
      <c r="A61" s="546"/>
      <c r="B61" s="973"/>
      <c r="C61" s="974"/>
      <c r="D61" s="974"/>
      <c r="E61" s="974"/>
      <c r="F61" s="974"/>
      <c r="G61" s="974"/>
      <c r="H61" s="223"/>
      <c r="Q61" s="7"/>
      <c r="R61" s="7"/>
      <c r="AI61" s="545" t="s">
        <v>531</v>
      </c>
      <c r="AJ61" s="559">
        <f>24400*2</f>
        <v>48800</v>
      </c>
      <c r="AS61" s="545"/>
      <c r="AT61" s="857"/>
      <c r="AU61" s="857"/>
      <c r="AV61" s="857"/>
      <c r="AW61" s="857"/>
      <c r="AX61" s="857"/>
      <c r="AY61"/>
      <c r="AZ61"/>
      <c r="BA61" s="551"/>
      <c r="BB61" s="551"/>
      <c r="BE61" s="545"/>
      <c r="BF61" s="858"/>
      <c r="BG61" s="858"/>
      <c r="BH61" s="858"/>
      <c r="BI61" s="858"/>
      <c r="BJ61" s="858"/>
      <c r="BK61" s="858"/>
      <c r="BL61" s="858"/>
      <c r="BM61" s="858"/>
      <c r="BN61" s="858"/>
      <c r="BO61" s="858"/>
      <c r="BP61" s="561"/>
      <c r="BQ61" s="560"/>
      <c r="BR61" s="560"/>
      <c r="BS61" s="560"/>
      <c r="BT61" s="560"/>
    </row>
    <row r="62" spans="1:72" ht="17" thickTop="1" thickBot="1">
      <c r="A62" s="546"/>
      <c r="B62" s="968" t="s">
        <v>1162</v>
      </c>
      <c r="C62" s="969"/>
      <c r="D62" s="969"/>
      <c r="E62" s="969"/>
      <c r="F62" s="969"/>
      <c r="G62" s="970"/>
      <c r="H62" s="223"/>
      <c r="Q62" s="7"/>
      <c r="R62" s="7"/>
      <c r="AI62" s="545" t="s">
        <v>532</v>
      </c>
      <c r="AJ62" s="559">
        <f>31650*2</f>
        <v>63300</v>
      </c>
      <c r="AS62" s="545"/>
      <c r="AT62" s="857"/>
      <c r="AU62" s="857"/>
      <c r="AV62" s="857"/>
      <c r="AW62" s="857"/>
      <c r="AX62" s="857"/>
      <c r="AY62"/>
      <c r="AZ62"/>
      <c r="BA62" s="551"/>
      <c r="BB62" s="551"/>
      <c r="BE62" s="545"/>
      <c r="BF62" s="858"/>
      <c r="BG62" s="858"/>
      <c r="BH62" s="858"/>
      <c r="BI62" s="858"/>
      <c r="BJ62" s="858"/>
      <c r="BK62" s="858"/>
      <c r="BL62" s="858"/>
      <c r="BM62" s="858"/>
      <c r="BN62" s="858"/>
      <c r="BO62" s="858"/>
      <c r="BP62" s="561"/>
      <c r="BQ62" s="560"/>
      <c r="BR62" s="560"/>
      <c r="BS62" s="560"/>
      <c r="BT62" s="560"/>
    </row>
    <row r="63" spans="1:72" ht="16" thickTop="1">
      <c r="A63" s="792"/>
      <c r="B63" s="155" t="s">
        <v>65</v>
      </c>
      <c r="C63" s="580"/>
      <c r="D63" s="575"/>
      <c r="E63" s="975"/>
      <c r="F63" s="976"/>
      <c r="G63" s="977"/>
      <c r="H63" s="795"/>
      <c r="Q63" s="7"/>
      <c r="R63" s="7"/>
      <c r="AI63" s="545" t="s">
        <v>533</v>
      </c>
      <c r="AJ63" s="559">
        <f>25300*2</f>
        <v>50600</v>
      </c>
      <c r="AS63" s="545"/>
      <c r="AT63" s="857"/>
      <c r="AU63" s="857"/>
      <c r="AV63" s="857"/>
      <c r="AW63" s="857"/>
      <c r="AX63" s="857"/>
      <c r="AY63"/>
      <c r="AZ63"/>
      <c r="BA63" s="551"/>
      <c r="BB63" s="551"/>
      <c r="BE63" s="545"/>
      <c r="BF63" s="858"/>
      <c r="BG63" s="858"/>
      <c r="BH63" s="858"/>
      <c r="BI63" s="858"/>
      <c r="BJ63" s="858"/>
      <c r="BK63" s="858"/>
      <c r="BL63" s="858"/>
      <c r="BM63" s="858"/>
      <c r="BN63" s="858"/>
      <c r="BO63" s="858"/>
      <c r="BP63" s="561"/>
      <c r="BQ63" s="560"/>
      <c r="BR63" s="560"/>
      <c r="BS63" s="560"/>
      <c r="BT63" s="560"/>
    </row>
    <row r="64" spans="1:72" ht="15">
      <c r="A64" s="546"/>
      <c r="B64" s="158" t="s">
        <v>553</v>
      </c>
      <c r="C64" s="581"/>
      <c r="D64" s="582"/>
      <c r="E64" s="978"/>
      <c r="F64" s="979"/>
      <c r="G64" s="980"/>
      <c r="H64" s="223"/>
      <c r="AI64" s="545" t="s">
        <v>534</v>
      </c>
      <c r="AJ64" s="559">
        <f>30000*2</f>
        <v>60000</v>
      </c>
      <c r="AS64" s="545"/>
      <c r="AT64" s="857"/>
      <c r="AU64" s="857"/>
      <c r="AV64" s="857"/>
      <c r="AW64" s="857"/>
      <c r="AX64" s="857"/>
      <c r="AY64"/>
      <c r="AZ64"/>
      <c r="BA64" s="551"/>
      <c r="BB64" s="551"/>
      <c r="BE64" s="545"/>
      <c r="BF64" s="858"/>
      <c r="BG64" s="858"/>
      <c r="BH64" s="858"/>
      <c r="BI64" s="858"/>
      <c r="BJ64" s="858"/>
      <c r="BK64" s="858"/>
      <c r="BL64" s="858"/>
      <c r="BM64" s="858"/>
      <c r="BN64" s="858"/>
      <c r="BO64" s="858"/>
      <c r="BP64" s="561"/>
      <c r="BQ64" s="560"/>
      <c r="BR64" s="560"/>
      <c r="BS64" s="560"/>
      <c r="BT64" s="560"/>
    </row>
    <row r="65" spans="1:72" ht="15">
      <c r="A65" s="793"/>
      <c r="B65" s="156" t="s">
        <v>66</v>
      </c>
      <c r="C65" s="156"/>
      <c r="D65" s="156"/>
      <c r="E65" s="981"/>
      <c r="F65" s="982"/>
      <c r="G65" s="983"/>
      <c r="H65" s="796"/>
      <c r="AI65" s="545" t="s">
        <v>535</v>
      </c>
      <c r="AJ65" s="559">
        <f>24500*2</f>
        <v>49000</v>
      </c>
      <c r="AS65" s="545"/>
      <c r="AT65" s="857"/>
      <c r="AU65" s="857"/>
      <c r="AV65" s="857"/>
      <c r="AW65" s="857"/>
      <c r="AX65" s="857"/>
      <c r="AY65"/>
      <c r="AZ65"/>
      <c r="BA65" s="551"/>
      <c r="BB65" s="551"/>
      <c r="BE65" s="545"/>
      <c r="BF65" s="858"/>
      <c r="BG65" s="858"/>
      <c r="BH65" s="858"/>
      <c r="BI65" s="858"/>
      <c r="BJ65" s="858"/>
      <c r="BK65" s="858"/>
      <c r="BL65" s="858"/>
      <c r="BM65" s="858"/>
      <c r="BN65" s="858"/>
      <c r="BO65" s="858"/>
      <c r="BP65" s="561"/>
      <c r="BQ65" s="560"/>
      <c r="BR65" s="560"/>
      <c r="BS65" s="560"/>
      <c r="BT65" s="560"/>
    </row>
    <row r="66" spans="1:72" ht="15">
      <c r="A66" s="792"/>
      <c r="B66" s="156" t="s">
        <v>67</v>
      </c>
      <c r="C66" s="156"/>
      <c r="D66" s="156"/>
      <c r="E66" s="981"/>
      <c r="F66" s="982"/>
      <c r="G66" s="983"/>
      <c r="H66" s="795"/>
      <c r="AI66" s="545" t="s">
        <v>536</v>
      </c>
      <c r="AJ66" s="770">
        <f>24400*2</f>
        <v>48800</v>
      </c>
      <c r="AS66"/>
      <c r="AT66" s="781"/>
      <c r="AU66" s="781"/>
      <c r="AV66" s="781"/>
      <c r="AW66" s="781"/>
      <c r="AX66" s="781"/>
      <c r="AY66"/>
      <c r="AZ66"/>
      <c r="BA66" s="551"/>
      <c r="BB66" s="551"/>
      <c r="BE66" s="545"/>
      <c r="BF66" s="858"/>
      <c r="BG66" s="858"/>
      <c r="BH66" s="858"/>
      <c r="BI66" s="858"/>
      <c r="BJ66" s="858"/>
      <c r="BK66" s="858"/>
      <c r="BL66" s="858"/>
      <c r="BM66" s="858"/>
      <c r="BN66" s="858"/>
      <c r="BO66" s="858"/>
      <c r="BP66" s="561"/>
      <c r="BQ66" s="560"/>
      <c r="BR66" s="560"/>
      <c r="BS66" s="560"/>
      <c r="BT66" s="560"/>
    </row>
    <row r="67" spans="1:72" ht="15">
      <c r="A67" s="792"/>
      <c r="B67" s="218"/>
      <c r="C67" s="218"/>
      <c r="D67" s="218"/>
      <c r="E67" s="218"/>
      <c r="F67" s="218"/>
      <c r="G67" s="218"/>
      <c r="H67" s="795"/>
      <c r="AI67" s="545" t="s">
        <v>537</v>
      </c>
      <c r="AJ67" s="559">
        <f>29350*2</f>
        <v>58700</v>
      </c>
      <c r="AS67"/>
      <c r="AT67" s="781"/>
      <c r="AU67" s="781"/>
      <c r="AV67" s="781"/>
      <c r="AW67" s="781"/>
      <c r="AX67" s="781"/>
      <c r="AY67"/>
      <c r="AZ67"/>
      <c r="BA67" s="551"/>
      <c r="BB67" s="551"/>
      <c r="BE67" s="545"/>
      <c r="BF67" s="858"/>
      <c r="BG67" s="858"/>
      <c r="BH67" s="858"/>
      <c r="BI67" s="858"/>
      <c r="BJ67" s="858"/>
      <c r="BK67" s="858"/>
      <c r="BL67" s="858"/>
      <c r="BM67" s="858"/>
      <c r="BN67" s="858"/>
      <c r="BO67" s="858"/>
      <c r="BP67" s="561"/>
      <c r="BQ67" s="560"/>
      <c r="BR67" s="560"/>
      <c r="BS67" s="560"/>
      <c r="BT67" s="560"/>
    </row>
    <row r="68" spans="1:72" ht="15">
      <c r="A68" s="792"/>
      <c r="B68" s="218"/>
      <c r="C68" s="218"/>
      <c r="D68" s="218"/>
      <c r="E68" s="218"/>
      <c r="F68" s="218"/>
      <c r="G68" s="218"/>
      <c r="H68" s="795"/>
      <c r="AI68" s="545" t="s">
        <v>538</v>
      </c>
      <c r="AJ68" s="559">
        <f>25000*2</f>
        <v>50000</v>
      </c>
      <c r="AS68"/>
      <c r="AT68" s="781"/>
      <c r="AU68" s="781"/>
      <c r="AV68" s="781"/>
      <c r="AW68" s="781"/>
      <c r="AX68" s="781"/>
      <c r="AY68"/>
      <c r="AZ68"/>
      <c r="BA68" s="551"/>
      <c r="BB68" s="551"/>
      <c r="BE68" s="545"/>
      <c r="BF68" s="858"/>
      <c r="BG68" s="858"/>
      <c r="BH68" s="858"/>
      <c r="BI68" s="858"/>
      <c r="BJ68" s="858"/>
      <c r="BK68" s="858"/>
      <c r="BL68" s="858"/>
      <c r="BM68" s="858"/>
      <c r="BN68" s="858"/>
      <c r="BO68" s="858"/>
      <c r="BP68" s="561"/>
      <c r="BQ68" s="560"/>
      <c r="BR68" s="560"/>
      <c r="BS68" s="560"/>
      <c r="BT68" s="560"/>
    </row>
    <row r="69" spans="1:72" ht="15">
      <c r="A69" s="792"/>
      <c r="B69" s="218"/>
      <c r="C69" s="218"/>
      <c r="D69" s="218"/>
      <c r="E69" s="218"/>
      <c r="F69" s="218"/>
      <c r="G69" s="218"/>
      <c r="H69" s="795"/>
      <c r="AI69" s="545" t="s">
        <v>539</v>
      </c>
      <c r="AJ69" s="559">
        <f>29500*2</f>
        <v>59000</v>
      </c>
      <c r="AS69"/>
      <c r="AT69" s="781"/>
      <c r="AU69" s="781"/>
      <c r="AV69" s="781"/>
      <c r="AW69" s="781"/>
      <c r="AX69" s="781"/>
      <c r="AY69"/>
      <c r="AZ69"/>
      <c r="BA69" s="551"/>
      <c r="BB69" s="551"/>
      <c r="BE69" s="545"/>
      <c r="BF69" s="858"/>
      <c r="BG69" s="858"/>
      <c r="BH69" s="858"/>
      <c r="BI69" s="858"/>
      <c r="BJ69" s="858"/>
      <c r="BK69" s="858"/>
      <c r="BL69" s="858"/>
      <c r="BM69" s="858"/>
      <c r="BN69" s="858"/>
      <c r="BO69" s="858"/>
      <c r="BP69" s="561"/>
      <c r="BQ69" s="560"/>
      <c r="BR69" s="560"/>
      <c r="BS69" s="560"/>
      <c r="BT69" s="560"/>
    </row>
    <row r="70" spans="1:72" ht="15">
      <c r="A70" s="792"/>
      <c r="B70" s="218"/>
      <c r="C70" s="218"/>
      <c r="D70" s="218"/>
      <c r="E70" s="218"/>
      <c r="F70" s="218"/>
      <c r="G70" s="218"/>
      <c r="H70" s="795"/>
      <c r="AI70" s="545" t="s">
        <v>540</v>
      </c>
      <c r="AJ70" s="559">
        <v>27400</v>
      </c>
      <c r="AS70"/>
      <c r="AT70" s="781"/>
      <c r="AU70" s="781"/>
      <c r="AV70" s="781"/>
      <c r="AW70" s="781"/>
      <c r="AX70" s="781"/>
      <c r="AY70"/>
      <c r="AZ70"/>
      <c r="BA70" s="551"/>
      <c r="BB70" s="551"/>
      <c r="BE70" s="545"/>
      <c r="BF70" s="858"/>
      <c r="BG70" s="858"/>
      <c r="BH70" s="858"/>
      <c r="BI70" s="858"/>
      <c r="BJ70" s="858"/>
      <c r="BK70" s="858"/>
      <c r="BL70" s="858"/>
      <c r="BM70" s="858"/>
      <c r="BN70" s="858"/>
      <c r="BO70" s="858"/>
      <c r="BP70" s="561"/>
      <c r="BQ70" s="560"/>
      <c r="BR70" s="560"/>
      <c r="BS70" s="560"/>
      <c r="BT70" s="560"/>
    </row>
    <row r="71" spans="1:72" ht="15">
      <c r="A71" s="792"/>
      <c r="B71" s="218"/>
      <c r="C71" s="218"/>
      <c r="D71" s="218"/>
      <c r="E71" s="218"/>
      <c r="F71" s="218"/>
      <c r="G71" s="218"/>
      <c r="H71" s="795"/>
      <c r="AI71" s="545" t="s">
        <v>541</v>
      </c>
      <c r="AJ71" s="559">
        <f>24400*2</f>
        <v>48800</v>
      </c>
      <c r="AS71"/>
      <c r="AT71" s="781"/>
      <c r="AU71" s="781"/>
      <c r="AV71" s="781"/>
      <c r="AW71" s="781"/>
      <c r="AX71" s="781"/>
      <c r="AY71"/>
      <c r="AZ71"/>
      <c r="BA71" s="551"/>
      <c r="BB71" s="551"/>
      <c r="BE71" s="545"/>
      <c r="BF71" s="858"/>
      <c r="BG71" s="858"/>
      <c r="BH71" s="858"/>
      <c r="BI71" s="858"/>
      <c r="BJ71" s="858"/>
      <c r="BK71" s="858"/>
      <c r="BL71" s="858"/>
      <c r="BM71" s="858"/>
      <c r="BN71" s="858"/>
      <c r="BO71" s="858"/>
      <c r="BP71" s="561"/>
      <c r="BQ71" s="560"/>
      <c r="BR71" s="560"/>
      <c r="BS71" s="560"/>
      <c r="BT71" s="560"/>
    </row>
    <row r="72" spans="1:72" ht="15">
      <c r="A72" s="792"/>
      <c r="B72" s="218"/>
      <c r="C72" s="218"/>
      <c r="D72" s="218"/>
      <c r="E72" s="218"/>
      <c r="F72" s="218"/>
      <c r="G72" s="218"/>
      <c r="H72" s="795"/>
      <c r="AI72" s="545" t="s">
        <v>542</v>
      </c>
      <c r="AJ72" s="559">
        <f>24400*2</f>
        <v>48800</v>
      </c>
      <c r="AY72" s="551"/>
      <c r="AZ72" s="551"/>
      <c r="BA72" s="551"/>
      <c r="BB72" s="551"/>
      <c r="BE72" s="545"/>
      <c r="BF72" s="858"/>
      <c r="BG72" s="858"/>
      <c r="BH72" s="858"/>
      <c r="BI72" s="858"/>
      <c r="BJ72" s="858"/>
      <c r="BK72" s="858"/>
      <c r="BL72" s="858"/>
      <c r="BM72" s="858"/>
      <c r="BN72" s="858"/>
      <c r="BO72" s="858"/>
      <c r="BP72" s="561"/>
      <c r="BQ72" s="560"/>
      <c r="BR72" s="560"/>
      <c r="BS72" s="560"/>
      <c r="BT72" s="560"/>
    </row>
    <row r="73" spans="1:72" ht="15">
      <c r="A73" s="792"/>
      <c r="B73" s="218"/>
      <c r="C73" s="218"/>
      <c r="D73" s="218"/>
      <c r="E73" s="218"/>
      <c r="F73" s="218"/>
      <c r="G73" s="218"/>
      <c r="H73" s="795"/>
      <c r="AI73" s="545" t="s">
        <v>543</v>
      </c>
      <c r="AJ73" s="559">
        <f>32750*2</f>
        <v>65500</v>
      </c>
      <c r="AY73" s="551"/>
      <c r="AZ73" s="551"/>
      <c r="BA73" s="551"/>
      <c r="BB73" s="551"/>
      <c r="BE73" s="545"/>
      <c r="BF73" s="858"/>
      <c r="BG73" s="858"/>
      <c r="BH73" s="858"/>
      <c r="BI73" s="858"/>
      <c r="BJ73" s="858"/>
      <c r="BK73" s="858"/>
      <c r="BL73" s="858"/>
      <c r="BM73" s="858"/>
      <c r="BN73" s="858"/>
      <c r="BO73" s="858"/>
      <c r="BP73" s="561"/>
      <c r="BQ73" s="560"/>
      <c r="BR73" s="560"/>
      <c r="BS73" s="560"/>
      <c r="BT73" s="560"/>
    </row>
    <row r="74" spans="1:72" ht="16" thickBot="1">
      <c r="A74" s="794"/>
      <c r="B74" s="798"/>
      <c r="C74" s="583"/>
      <c r="D74" s="583"/>
      <c r="E74" s="583"/>
      <c r="F74" s="583"/>
      <c r="G74" s="583"/>
      <c r="H74" s="797"/>
      <c r="AI74" s="545" t="s">
        <v>544</v>
      </c>
      <c r="AJ74" s="559">
        <f>24400*2</f>
        <v>48800</v>
      </c>
      <c r="AY74" s="551"/>
      <c r="AZ74" s="551"/>
      <c r="BA74" s="551"/>
      <c r="BB74" s="551"/>
      <c r="BE74" s="545"/>
      <c r="BF74" s="858"/>
      <c r="BG74" s="858"/>
      <c r="BH74" s="858"/>
      <c r="BI74" s="858"/>
      <c r="BJ74" s="858"/>
      <c r="BK74" s="858"/>
      <c r="BL74" s="858"/>
      <c r="BM74" s="858"/>
      <c r="BN74" s="858"/>
      <c r="BO74" s="858"/>
      <c r="BP74" s="561"/>
      <c r="BQ74" s="560"/>
      <c r="BR74" s="560"/>
      <c r="BS74" s="560"/>
      <c r="BT74" s="560"/>
    </row>
    <row r="75" spans="1:72" ht="16" thickTop="1">
      <c r="AI75" s="545" t="s">
        <v>545</v>
      </c>
      <c r="AJ75" s="559">
        <f>32750*2</f>
        <v>65500</v>
      </c>
      <c r="AS75" s="783"/>
      <c r="AT75" s="962"/>
      <c r="AU75" s="962"/>
      <c r="AV75" s="962"/>
      <c r="AW75" s="962"/>
      <c r="AX75" s="963"/>
      <c r="AY75" s="551"/>
      <c r="AZ75" s="551"/>
      <c r="BA75" s="551"/>
      <c r="BB75" s="551"/>
      <c r="BE75" s="545"/>
      <c r="BF75" s="858"/>
      <c r="BG75" s="858"/>
      <c r="BH75" s="858"/>
      <c r="BI75" s="858"/>
      <c r="BJ75" s="858"/>
      <c r="BK75" s="858"/>
      <c r="BL75" s="858"/>
      <c r="BM75" s="858"/>
      <c r="BN75" s="858"/>
      <c r="BO75" s="858"/>
      <c r="BP75" s="561"/>
      <c r="BQ75" s="560"/>
      <c r="BR75" s="560"/>
      <c r="BS75" s="560"/>
      <c r="BT75" s="560"/>
    </row>
    <row r="76" spans="1:72" ht="15">
      <c r="AI76" s="545" t="s">
        <v>546</v>
      </c>
      <c r="AJ76" s="559">
        <f>24400*2</f>
        <v>48800</v>
      </c>
      <c r="AS76" s="786"/>
      <c r="AT76" s="784"/>
      <c r="AU76" s="784"/>
      <c r="AV76" s="784"/>
      <c r="AW76" s="784"/>
      <c r="AX76" s="785"/>
      <c r="AY76" s="551"/>
      <c r="AZ76" s="551"/>
      <c r="BA76" s="551"/>
      <c r="BB76" s="551"/>
      <c r="BE76" s="545"/>
      <c r="BF76" s="858"/>
      <c r="BG76" s="858"/>
      <c r="BH76" s="858"/>
      <c r="BI76" s="858"/>
      <c r="BJ76" s="858"/>
      <c r="BK76" s="858"/>
      <c r="BL76" s="858"/>
      <c r="BM76" s="858"/>
      <c r="BN76" s="858"/>
      <c r="BO76" s="858"/>
    </row>
    <row r="77" spans="1:72" ht="15">
      <c r="AS77" s="787"/>
      <c r="AT77" s="788"/>
      <c r="AU77" s="788"/>
      <c r="AV77" s="788"/>
      <c r="AW77" s="788"/>
      <c r="AX77" s="788"/>
      <c r="BE77" s="545"/>
      <c r="BF77" s="858"/>
      <c r="BG77" s="858"/>
      <c r="BH77" s="858"/>
      <c r="BI77" s="858"/>
      <c r="BJ77" s="858"/>
      <c r="BK77" s="858"/>
      <c r="BL77" s="858"/>
      <c r="BM77" s="858"/>
      <c r="BN77" s="858"/>
      <c r="BO77" s="858"/>
    </row>
    <row r="78" spans="1:72" ht="15">
      <c r="AS78"/>
      <c r="AT78"/>
      <c r="AU78"/>
      <c r="AV78"/>
      <c r="AW78"/>
      <c r="AX78"/>
      <c r="BE78" s="545"/>
      <c r="BF78" s="858"/>
      <c r="BG78" s="858"/>
      <c r="BH78" s="858"/>
      <c r="BI78" s="858"/>
      <c r="BJ78" s="858"/>
      <c r="BK78" s="858"/>
      <c r="BL78" s="858"/>
      <c r="BM78" s="858"/>
      <c r="BN78" s="858"/>
      <c r="BO78" s="858"/>
    </row>
    <row r="79" spans="1:72" ht="15">
      <c r="AS79" s="782"/>
      <c r="AT79" s="962"/>
      <c r="AU79" s="962"/>
      <c r="AV79" s="962"/>
      <c r="AW79" s="962"/>
      <c r="AX79" s="963"/>
      <c r="BE79" s="545"/>
      <c r="BF79" s="858"/>
      <c r="BG79" s="858"/>
      <c r="BH79" s="858"/>
      <c r="BI79" s="858"/>
      <c r="BJ79" s="858"/>
      <c r="BK79" s="858"/>
      <c r="BL79" s="858"/>
      <c r="BM79" s="858"/>
      <c r="BN79" s="858"/>
      <c r="BO79" s="858"/>
    </row>
    <row r="80" spans="1:72" ht="15">
      <c r="AS80" s="783"/>
      <c r="AT80" s="784"/>
      <c r="AU80" s="784"/>
      <c r="AV80" s="784"/>
      <c r="AW80" s="784"/>
      <c r="AX80" s="785"/>
      <c r="BE80" s="545"/>
      <c r="BF80" s="858"/>
      <c r="BG80" s="858"/>
      <c r="BH80" s="858"/>
      <c r="BI80" s="858"/>
      <c r="BJ80" s="858"/>
      <c r="BK80" s="858"/>
      <c r="BL80" s="858"/>
      <c r="BM80" s="858"/>
      <c r="BN80" s="858"/>
      <c r="BO80" s="858"/>
    </row>
    <row r="81" spans="35:67" ht="15">
      <c r="AS81" s="787"/>
      <c r="AT81" s="783"/>
      <c r="AU81" s="783"/>
      <c r="AV81" s="783"/>
      <c r="AW81" s="783"/>
      <c r="AX81" s="783"/>
      <c r="BE81" s="545"/>
      <c r="BF81" s="858"/>
      <c r="BG81" s="858"/>
      <c r="BH81" s="858"/>
      <c r="BI81" s="858"/>
      <c r="BJ81" s="858"/>
      <c r="BK81" s="858"/>
      <c r="BL81" s="858"/>
      <c r="BM81" s="858"/>
      <c r="BN81" s="858"/>
      <c r="BO81" s="858"/>
    </row>
    <row r="82" spans="35:67">
      <c r="AI82" s="4">
        <v>2016</v>
      </c>
      <c r="AJ82" s="4" t="s">
        <v>1158</v>
      </c>
    </row>
    <row r="83" spans="35:67" ht="13">
      <c r="AI83" t="s">
        <v>939</v>
      </c>
      <c r="AJ83">
        <v>23600</v>
      </c>
      <c r="AK83" s="4">
        <v>2</v>
      </c>
      <c r="AL83" s="4">
        <f>+AJ83*AK83</f>
        <v>47200</v>
      </c>
    </row>
    <row r="84" spans="35:67" ht="13">
      <c r="AI84" t="s">
        <v>943</v>
      </c>
      <c r="AJ84">
        <v>25400</v>
      </c>
      <c r="AK84" s="4">
        <v>2</v>
      </c>
      <c r="AL84" s="4">
        <f t="shared" ref="AL84:AL146" si="0">+AJ84*AK84</f>
        <v>50800</v>
      </c>
    </row>
    <row r="85" spans="35:67" ht="13">
      <c r="AI85" t="s">
        <v>947</v>
      </c>
      <c r="AJ85">
        <v>33950</v>
      </c>
      <c r="AK85" s="4">
        <v>2</v>
      </c>
      <c r="AL85" s="4">
        <f t="shared" si="0"/>
        <v>67900</v>
      </c>
    </row>
    <row r="86" spans="35:67" ht="13">
      <c r="AI86" t="s">
        <v>951</v>
      </c>
      <c r="AJ86">
        <v>28300</v>
      </c>
      <c r="AK86" s="4">
        <v>2</v>
      </c>
      <c r="AL86" s="4">
        <f t="shared" si="0"/>
        <v>56600</v>
      </c>
    </row>
    <row r="87" spans="35:67" ht="13">
      <c r="AI87" t="s">
        <v>955</v>
      </c>
      <c r="AJ87">
        <v>23600</v>
      </c>
      <c r="AK87" s="4">
        <v>2</v>
      </c>
      <c r="AL87" s="4">
        <f t="shared" si="0"/>
        <v>47200</v>
      </c>
    </row>
    <row r="88" spans="35:67" ht="13">
      <c r="AI88" t="s">
        <v>959</v>
      </c>
      <c r="AJ88">
        <v>31200</v>
      </c>
      <c r="AK88" s="4">
        <v>2</v>
      </c>
      <c r="AL88" s="4">
        <f t="shared" si="0"/>
        <v>62400</v>
      </c>
    </row>
    <row r="89" spans="35:67" ht="13">
      <c r="AI89" t="s">
        <v>963</v>
      </c>
      <c r="AJ89">
        <v>23600</v>
      </c>
      <c r="AK89" s="4">
        <v>2</v>
      </c>
      <c r="AL89" s="4">
        <f t="shared" si="0"/>
        <v>47200</v>
      </c>
    </row>
    <row r="90" spans="35:67" ht="13">
      <c r="AI90" t="s">
        <v>967</v>
      </c>
      <c r="AJ90">
        <v>28300</v>
      </c>
      <c r="AK90" s="4">
        <v>2</v>
      </c>
      <c r="AL90" s="4">
        <f t="shared" si="0"/>
        <v>56600</v>
      </c>
    </row>
    <row r="91" spans="35:67" ht="13">
      <c r="AI91" t="s">
        <v>969</v>
      </c>
      <c r="AJ91">
        <v>28300</v>
      </c>
      <c r="AK91" s="4">
        <v>2</v>
      </c>
      <c r="AL91" s="4">
        <f t="shared" si="0"/>
        <v>56600</v>
      </c>
    </row>
    <row r="92" spans="35:67" ht="13">
      <c r="AI92" t="s">
        <v>973</v>
      </c>
      <c r="AJ92">
        <v>29250</v>
      </c>
      <c r="AK92" s="4">
        <v>2</v>
      </c>
      <c r="AL92" s="4">
        <f t="shared" si="0"/>
        <v>58500</v>
      </c>
    </row>
    <row r="93" spans="35:67" ht="13">
      <c r="AI93" t="s">
        <v>977</v>
      </c>
      <c r="AJ93">
        <v>24150</v>
      </c>
      <c r="AK93" s="4">
        <v>2</v>
      </c>
      <c r="AL93" s="4">
        <f t="shared" si="0"/>
        <v>48300</v>
      </c>
    </row>
    <row r="94" spans="35:67" ht="13">
      <c r="AI94" t="s">
        <v>979</v>
      </c>
      <c r="AJ94">
        <v>29250</v>
      </c>
      <c r="AK94" s="4">
        <v>2</v>
      </c>
      <c r="AL94" s="4">
        <f t="shared" si="0"/>
        <v>58500</v>
      </c>
    </row>
    <row r="95" spans="35:67" ht="13">
      <c r="AI95" t="s">
        <v>983</v>
      </c>
      <c r="AJ95">
        <v>24550</v>
      </c>
      <c r="AK95" s="4">
        <v>2</v>
      </c>
      <c r="AL95" s="4">
        <f t="shared" si="0"/>
        <v>49100</v>
      </c>
    </row>
    <row r="96" spans="35:67" ht="13">
      <c r="AI96" t="s">
        <v>987</v>
      </c>
      <c r="AJ96">
        <v>23600</v>
      </c>
      <c r="AK96" s="4">
        <v>2</v>
      </c>
      <c r="AL96" s="4">
        <f t="shared" si="0"/>
        <v>47200</v>
      </c>
    </row>
    <row r="97" spans="35:38" ht="13">
      <c r="AI97" t="s">
        <v>991</v>
      </c>
      <c r="AJ97">
        <v>23600</v>
      </c>
      <c r="AK97" s="4">
        <v>2</v>
      </c>
      <c r="AL97" s="4">
        <f t="shared" si="0"/>
        <v>47200</v>
      </c>
    </row>
    <row r="98" spans="35:38" ht="13">
      <c r="AI98" t="s">
        <v>993</v>
      </c>
      <c r="AJ98">
        <v>28300</v>
      </c>
      <c r="AK98" s="4">
        <v>2</v>
      </c>
      <c r="AL98" s="4">
        <f t="shared" si="0"/>
        <v>56600</v>
      </c>
    </row>
    <row r="99" spans="35:38" ht="13">
      <c r="AI99" t="s">
        <v>995</v>
      </c>
      <c r="AJ99">
        <v>33950</v>
      </c>
      <c r="AK99" s="4">
        <v>2</v>
      </c>
      <c r="AL99" s="4">
        <f t="shared" si="0"/>
        <v>67900</v>
      </c>
    </row>
    <row r="100" spans="35:38" ht="13">
      <c r="AI100" t="s">
        <v>999</v>
      </c>
      <c r="AJ100">
        <v>23600</v>
      </c>
      <c r="AK100" s="4">
        <v>2</v>
      </c>
      <c r="AL100" s="4">
        <f t="shared" si="0"/>
        <v>47200</v>
      </c>
    </row>
    <row r="101" spans="35:38" ht="13">
      <c r="AI101" t="s">
        <v>1001</v>
      </c>
      <c r="AJ101">
        <v>33950</v>
      </c>
      <c r="AK101" s="4">
        <v>2</v>
      </c>
      <c r="AL101" s="4">
        <f t="shared" si="0"/>
        <v>67900</v>
      </c>
    </row>
    <row r="102" spans="35:38" ht="13">
      <c r="AI102" t="s">
        <v>1005</v>
      </c>
      <c r="AJ102">
        <v>23600</v>
      </c>
      <c r="AK102" s="4">
        <v>2</v>
      </c>
      <c r="AL102" s="4">
        <f t="shared" si="0"/>
        <v>47200</v>
      </c>
    </row>
    <row r="103" spans="35:38" ht="13">
      <c r="AI103" t="s">
        <v>1009</v>
      </c>
      <c r="AJ103">
        <v>23600</v>
      </c>
      <c r="AK103" s="4">
        <v>2</v>
      </c>
      <c r="AL103" s="4">
        <f t="shared" si="0"/>
        <v>47200</v>
      </c>
    </row>
    <row r="104" spans="35:38" ht="13">
      <c r="AI104" t="s">
        <v>1013</v>
      </c>
      <c r="AJ104">
        <v>27150</v>
      </c>
      <c r="AK104" s="4">
        <v>2</v>
      </c>
      <c r="AL104" s="4">
        <f t="shared" si="0"/>
        <v>54300</v>
      </c>
    </row>
    <row r="105" spans="35:38" ht="13">
      <c r="AI105" t="s">
        <v>1017</v>
      </c>
      <c r="AJ105">
        <v>26400</v>
      </c>
      <c r="AK105" s="4">
        <v>2</v>
      </c>
      <c r="AL105" s="4">
        <f t="shared" si="0"/>
        <v>52800</v>
      </c>
    </row>
    <row r="106" spans="35:38" ht="13">
      <c r="AI106" t="s">
        <v>1021</v>
      </c>
      <c r="AJ106">
        <v>27800</v>
      </c>
      <c r="AK106" s="4">
        <v>2</v>
      </c>
      <c r="AL106" s="4">
        <f t="shared" si="0"/>
        <v>55600</v>
      </c>
    </row>
    <row r="107" spans="35:38" ht="13">
      <c r="AI107" t="s">
        <v>1025</v>
      </c>
      <c r="AJ107">
        <v>23750</v>
      </c>
      <c r="AK107" s="4">
        <v>2</v>
      </c>
      <c r="AL107" s="4">
        <f t="shared" si="0"/>
        <v>47500</v>
      </c>
    </row>
    <row r="108" spans="35:38" ht="13">
      <c r="AI108" t="s">
        <v>1029</v>
      </c>
      <c r="AJ108">
        <v>31650</v>
      </c>
      <c r="AK108" s="4">
        <v>2</v>
      </c>
      <c r="AL108" s="4">
        <f t="shared" si="0"/>
        <v>63300</v>
      </c>
    </row>
    <row r="109" spans="35:38" ht="13">
      <c r="AI109" t="s">
        <v>1033</v>
      </c>
      <c r="AJ109">
        <v>26200</v>
      </c>
      <c r="AK109" s="4">
        <v>2</v>
      </c>
      <c r="AL109" s="4">
        <f t="shared" si="0"/>
        <v>52400</v>
      </c>
    </row>
    <row r="110" spans="35:38" ht="13">
      <c r="AI110" t="s">
        <v>1037</v>
      </c>
      <c r="AJ110">
        <v>32750</v>
      </c>
      <c r="AK110" s="4">
        <v>2</v>
      </c>
      <c r="AL110" s="4">
        <f t="shared" si="0"/>
        <v>65500</v>
      </c>
    </row>
    <row r="111" spans="35:38" ht="13">
      <c r="AI111" t="s">
        <v>1041</v>
      </c>
      <c r="AJ111">
        <v>29300</v>
      </c>
      <c r="AK111" s="4">
        <v>2</v>
      </c>
      <c r="AL111" s="4">
        <f t="shared" si="0"/>
        <v>58600</v>
      </c>
    </row>
    <row r="112" spans="35:38" ht="13">
      <c r="AI112" t="s">
        <v>1045</v>
      </c>
      <c r="AJ112">
        <v>28450</v>
      </c>
      <c r="AK112" s="4">
        <v>2</v>
      </c>
      <c r="AL112" s="4">
        <f t="shared" si="0"/>
        <v>56900</v>
      </c>
    </row>
    <row r="113" spans="35:38" ht="13">
      <c r="AI113" t="s">
        <v>1049</v>
      </c>
      <c r="AJ113">
        <v>27050</v>
      </c>
      <c r="AK113" s="4">
        <v>2</v>
      </c>
      <c r="AL113" s="4">
        <f t="shared" si="0"/>
        <v>54100</v>
      </c>
    </row>
    <row r="114" spans="35:38" ht="13">
      <c r="AI114" t="s">
        <v>1051</v>
      </c>
      <c r="AJ114">
        <v>33950</v>
      </c>
      <c r="AK114" s="4">
        <v>2</v>
      </c>
      <c r="AL114" s="4">
        <f t="shared" si="0"/>
        <v>67900</v>
      </c>
    </row>
    <row r="115" spans="35:38" ht="13">
      <c r="AI115" t="s">
        <v>1055</v>
      </c>
      <c r="AJ115">
        <v>23600</v>
      </c>
      <c r="AK115" s="4">
        <v>2</v>
      </c>
      <c r="AL115" s="4">
        <f t="shared" si="0"/>
        <v>47200</v>
      </c>
    </row>
    <row r="116" spans="35:38" ht="13">
      <c r="AI116" t="s">
        <v>1059</v>
      </c>
      <c r="AJ116">
        <v>23600</v>
      </c>
      <c r="AK116" s="4">
        <v>2</v>
      </c>
      <c r="AL116" s="4">
        <f t="shared" si="0"/>
        <v>47200</v>
      </c>
    </row>
    <row r="117" spans="35:38" ht="13">
      <c r="AI117" t="s">
        <v>1063</v>
      </c>
      <c r="AJ117">
        <v>23600</v>
      </c>
      <c r="AK117" s="4">
        <v>2</v>
      </c>
      <c r="AL117" s="4">
        <f t="shared" si="0"/>
        <v>47200</v>
      </c>
    </row>
    <row r="118" spans="35:38" ht="13">
      <c r="AI118" t="s">
        <v>1065</v>
      </c>
      <c r="AJ118">
        <v>31650</v>
      </c>
      <c r="AK118" s="4">
        <v>2</v>
      </c>
      <c r="AL118" s="4">
        <f t="shared" si="0"/>
        <v>63300</v>
      </c>
    </row>
    <row r="119" spans="35:38" ht="13">
      <c r="AI119" t="s">
        <v>1069</v>
      </c>
      <c r="AJ119">
        <v>26300</v>
      </c>
      <c r="AK119" s="4">
        <v>2</v>
      </c>
      <c r="AL119" s="4">
        <f t="shared" si="0"/>
        <v>52600</v>
      </c>
    </row>
    <row r="120" spans="35:38" ht="13">
      <c r="AI120" t="s">
        <v>1071</v>
      </c>
      <c r="AJ120">
        <v>31650</v>
      </c>
      <c r="AK120" s="4">
        <v>2</v>
      </c>
      <c r="AL120" s="4">
        <f t="shared" si="0"/>
        <v>63300</v>
      </c>
    </row>
    <row r="121" spans="35:38" ht="13">
      <c r="AI121" t="s">
        <v>1073</v>
      </c>
      <c r="AJ121">
        <v>33950</v>
      </c>
      <c r="AK121" s="4">
        <v>2</v>
      </c>
      <c r="AL121" s="4">
        <f t="shared" si="0"/>
        <v>67900</v>
      </c>
    </row>
    <row r="122" spans="35:38" ht="13">
      <c r="AI122" t="s">
        <v>1075</v>
      </c>
      <c r="AJ122">
        <v>27150</v>
      </c>
      <c r="AK122" s="4">
        <v>2</v>
      </c>
      <c r="AL122" s="4">
        <f t="shared" si="0"/>
        <v>54300</v>
      </c>
    </row>
    <row r="123" spans="35:38" ht="13">
      <c r="AI123" t="s">
        <v>1079</v>
      </c>
      <c r="AJ123">
        <v>24550</v>
      </c>
      <c r="AK123" s="4">
        <v>2</v>
      </c>
      <c r="AL123" s="4">
        <f t="shared" si="0"/>
        <v>49100</v>
      </c>
    </row>
    <row r="124" spans="35:38" ht="13">
      <c r="AI124" t="s">
        <v>1083</v>
      </c>
      <c r="AJ124">
        <v>23600</v>
      </c>
      <c r="AK124" s="4">
        <v>2</v>
      </c>
      <c r="AL124" s="4">
        <f t="shared" si="0"/>
        <v>47200</v>
      </c>
    </row>
    <row r="125" spans="35:38" ht="13">
      <c r="AI125" t="s">
        <v>1087</v>
      </c>
      <c r="AJ125">
        <v>24950</v>
      </c>
      <c r="AK125" s="4">
        <v>2</v>
      </c>
      <c r="AL125" s="4">
        <f t="shared" si="0"/>
        <v>49900</v>
      </c>
    </row>
    <row r="126" spans="35:38" ht="13">
      <c r="AI126" t="s">
        <v>1089</v>
      </c>
      <c r="AJ126">
        <v>31650</v>
      </c>
      <c r="AK126" s="4">
        <v>2</v>
      </c>
      <c r="AL126" s="4">
        <f t="shared" si="0"/>
        <v>63300</v>
      </c>
    </row>
    <row r="127" spans="35:38" ht="13">
      <c r="AI127" t="s">
        <v>1091</v>
      </c>
      <c r="AJ127">
        <v>31650</v>
      </c>
      <c r="AK127" s="4">
        <v>2</v>
      </c>
      <c r="AL127" s="4">
        <f t="shared" si="0"/>
        <v>63300</v>
      </c>
    </row>
    <row r="128" spans="35:38" ht="13">
      <c r="AI128" t="s">
        <v>1093</v>
      </c>
      <c r="AJ128">
        <v>33950</v>
      </c>
      <c r="AK128" s="4">
        <v>2</v>
      </c>
      <c r="AL128" s="4">
        <f t="shared" si="0"/>
        <v>67900</v>
      </c>
    </row>
    <row r="129" spans="35:38" ht="13">
      <c r="AI129" t="s">
        <v>1097</v>
      </c>
      <c r="AJ129">
        <v>32050</v>
      </c>
      <c r="AK129" s="4">
        <v>2</v>
      </c>
      <c r="AL129" s="4">
        <f t="shared" si="0"/>
        <v>64100</v>
      </c>
    </row>
    <row r="130" spans="35:38" ht="13">
      <c r="AI130" t="s">
        <v>1099</v>
      </c>
      <c r="AJ130">
        <v>31650</v>
      </c>
      <c r="AK130" s="4">
        <v>2</v>
      </c>
      <c r="AL130" s="4">
        <f t="shared" si="0"/>
        <v>63300</v>
      </c>
    </row>
    <row r="131" spans="35:38" ht="13">
      <c r="AI131" t="s">
        <v>1103</v>
      </c>
      <c r="AJ131">
        <v>23600</v>
      </c>
      <c r="AK131" s="4">
        <v>2</v>
      </c>
      <c r="AL131" s="4">
        <f t="shared" si="0"/>
        <v>47200</v>
      </c>
    </row>
    <row r="132" spans="35:38" ht="13">
      <c r="AI132" t="s">
        <v>1105</v>
      </c>
      <c r="AJ132">
        <v>32750</v>
      </c>
      <c r="AK132" s="4">
        <v>2</v>
      </c>
      <c r="AL132" s="4">
        <f t="shared" si="0"/>
        <v>65500</v>
      </c>
    </row>
    <row r="133" spans="35:38" ht="13">
      <c r="AI133" t="s">
        <v>1109</v>
      </c>
      <c r="AJ133">
        <v>25650</v>
      </c>
      <c r="AK133" s="4">
        <v>2</v>
      </c>
      <c r="AL133" s="4">
        <f t="shared" si="0"/>
        <v>51300</v>
      </c>
    </row>
    <row r="134" spans="35:38" ht="13">
      <c r="AI134" t="s">
        <v>1111</v>
      </c>
      <c r="AJ134">
        <v>31650</v>
      </c>
      <c r="AK134" s="4">
        <v>2</v>
      </c>
      <c r="AL134" s="4">
        <f t="shared" si="0"/>
        <v>63300</v>
      </c>
    </row>
    <row r="135" spans="35:38" ht="13">
      <c r="AI135" t="s">
        <v>1115</v>
      </c>
      <c r="AJ135">
        <v>27500</v>
      </c>
      <c r="AK135" s="4">
        <v>2</v>
      </c>
      <c r="AL135" s="4">
        <f t="shared" si="0"/>
        <v>55000</v>
      </c>
    </row>
    <row r="136" spans="35:38" ht="13">
      <c r="AI136" t="s">
        <v>1119</v>
      </c>
      <c r="AJ136">
        <v>23600</v>
      </c>
      <c r="AK136" s="4">
        <v>2</v>
      </c>
      <c r="AL136" s="4">
        <f t="shared" si="0"/>
        <v>47200</v>
      </c>
    </row>
    <row r="137" spans="35:38" ht="13">
      <c r="AI137" t="s">
        <v>1121</v>
      </c>
      <c r="AJ137">
        <v>29300</v>
      </c>
      <c r="AK137" s="4">
        <v>2</v>
      </c>
      <c r="AL137" s="4">
        <f t="shared" si="0"/>
        <v>58600</v>
      </c>
    </row>
    <row r="138" spans="35:38" ht="13">
      <c r="AI138" t="s">
        <v>1123</v>
      </c>
      <c r="AJ138">
        <v>26300</v>
      </c>
      <c r="AK138" s="4">
        <v>2</v>
      </c>
      <c r="AL138" s="4">
        <f t="shared" si="0"/>
        <v>52600</v>
      </c>
    </row>
    <row r="139" spans="35:38" ht="13">
      <c r="AI139" t="s">
        <v>1127</v>
      </c>
      <c r="AJ139">
        <v>29550</v>
      </c>
      <c r="AK139" s="4">
        <v>2</v>
      </c>
      <c r="AL139" s="4">
        <f t="shared" si="0"/>
        <v>59100</v>
      </c>
    </row>
    <row r="140" spans="35:38" ht="13">
      <c r="AI140" t="s">
        <v>1131</v>
      </c>
      <c r="AJ140">
        <v>26850</v>
      </c>
      <c r="AK140" s="4">
        <v>2</v>
      </c>
      <c r="AL140" s="4">
        <f t="shared" si="0"/>
        <v>53700</v>
      </c>
    </row>
    <row r="141" spans="35:38" ht="13">
      <c r="AI141" t="s">
        <v>1135</v>
      </c>
      <c r="AJ141">
        <v>23600</v>
      </c>
      <c r="AK141" s="4">
        <v>2</v>
      </c>
      <c r="AL141" s="4">
        <f t="shared" si="0"/>
        <v>47200</v>
      </c>
    </row>
    <row r="142" spans="35:38" ht="13">
      <c r="AI142" t="s">
        <v>1139</v>
      </c>
      <c r="AJ142">
        <v>23600</v>
      </c>
      <c r="AK142" s="4">
        <v>2</v>
      </c>
      <c r="AL142" s="4">
        <f t="shared" si="0"/>
        <v>47200</v>
      </c>
    </row>
    <row r="143" spans="35:38" ht="13">
      <c r="AI143" t="s">
        <v>1141</v>
      </c>
      <c r="AJ143">
        <v>33950</v>
      </c>
      <c r="AK143" s="4">
        <v>2</v>
      </c>
      <c r="AL143" s="4">
        <f t="shared" si="0"/>
        <v>67900</v>
      </c>
    </row>
    <row r="144" spans="35:38" ht="13">
      <c r="AI144" t="s">
        <v>1145</v>
      </c>
      <c r="AJ144">
        <v>23600</v>
      </c>
      <c r="AK144" s="4">
        <v>2</v>
      </c>
      <c r="AL144" s="4">
        <f t="shared" si="0"/>
        <v>47200</v>
      </c>
    </row>
    <row r="145" spans="35:38" ht="13">
      <c r="AI145" t="s">
        <v>1147</v>
      </c>
      <c r="AJ145">
        <v>33950</v>
      </c>
      <c r="AK145" s="4">
        <v>2</v>
      </c>
      <c r="AL145" s="4">
        <f t="shared" si="0"/>
        <v>67900</v>
      </c>
    </row>
    <row r="146" spans="35:38" ht="13">
      <c r="AI146" t="s">
        <v>1151</v>
      </c>
      <c r="AJ146">
        <v>23600</v>
      </c>
      <c r="AK146" s="4">
        <v>2</v>
      </c>
      <c r="AL146" s="4">
        <f t="shared" si="0"/>
        <v>47200</v>
      </c>
    </row>
  </sheetData>
  <sheetProtection algorithmName="SHA-512" hashValue="4hjINfCOTgvI4klWCBIQ4MI0Oh3EkRoGIU6Nmin5yV+ZllGTKzVI8LxABt09GEDqpSATL5Xc1jiOlWl43SZrug==" saltValue="IZdA4/QyyCki4K81c1K/qQ==" spinCount="100000" sheet="1" objects="1" scenarios="1"/>
  <mergeCells count="84">
    <mergeCell ref="AT75:AX75"/>
    <mergeCell ref="AT79:AX79"/>
    <mergeCell ref="E54:G54"/>
    <mergeCell ref="E55:G55"/>
    <mergeCell ref="E56:G56"/>
    <mergeCell ref="E57:G57"/>
    <mergeCell ref="E58:G58"/>
    <mergeCell ref="E59:G59"/>
    <mergeCell ref="B62:G62"/>
    <mergeCell ref="B60:G60"/>
    <mergeCell ref="B61:G61"/>
    <mergeCell ref="E63:G63"/>
    <mergeCell ref="E64:G64"/>
    <mergeCell ref="E65:G65"/>
    <mergeCell ref="E66:G66"/>
    <mergeCell ref="AS2:AX2"/>
    <mergeCell ref="B8:D8"/>
    <mergeCell ref="E8:G8"/>
    <mergeCell ref="B9:D9"/>
    <mergeCell ref="E9:G9"/>
    <mergeCell ref="B5:D5"/>
    <mergeCell ref="E5:G5"/>
    <mergeCell ref="B6:D6"/>
    <mergeCell ref="E6:G6"/>
    <mergeCell ref="B7:D7"/>
    <mergeCell ref="E7:G7"/>
    <mergeCell ref="A2:C2"/>
    <mergeCell ref="AI3:AJ3"/>
    <mergeCell ref="B19:D19"/>
    <mergeCell ref="E19:G19"/>
    <mergeCell ref="E30:G30"/>
    <mergeCell ref="B20:D20"/>
    <mergeCell ref="E20:G20"/>
    <mergeCell ref="B21:D21"/>
    <mergeCell ref="E21:G21"/>
    <mergeCell ref="B23:D23"/>
    <mergeCell ref="E23:G23"/>
    <mergeCell ref="E26:G26"/>
    <mergeCell ref="B26:D26"/>
    <mergeCell ref="B25:D25"/>
    <mergeCell ref="E22:G22"/>
    <mergeCell ref="B24:D24"/>
    <mergeCell ref="E24:G24"/>
    <mergeCell ref="B27:D27"/>
    <mergeCell ref="B17:D17"/>
    <mergeCell ref="B11:D11"/>
    <mergeCell ref="E11:G11"/>
    <mergeCell ref="E12:G12"/>
    <mergeCell ref="E13:G13"/>
    <mergeCell ref="E45:G45"/>
    <mergeCell ref="E33:G33"/>
    <mergeCell ref="E44:G44"/>
    <mergeCell ref="E34:G34"/>
    <mergeCell ref="E41:G41"/>
    <mergeCell ref="E37:G37"/>
    <mergeCell ref="B30:D30"/>
    <mergeCell ref="BF2:BO2"/>
    <mergeCell ref="E27:G27"/>
    <mergeCell ref="E36:G36"/>
    <mergeCell ref="E35:G35"/>
    <mergeCell ref="E25:G25"/>
    <mergeCell ref="B10:D10"/>
    <mergeCell ref="E10:G10"/>
    <mergeCell ref="B16:D16"/>
    <mergeCell ref="E17:G17"/>
    <mergeCell ref="B18:D18"/>
    <mergeCell ref="E14:G14"/>
    <mergeCell ref="B15:D15"/>
    <mergeCell ref="E15:G15"/>
    <mergeCell ref="E18:G18"/>
    <mergeCell ref="E16:G16"/>
    <mergeCell ref="E50:G50"/>
    <mergeCell ref="E51:G51"/>
    <mergeCell ref="E48:G48"/>
    <mergeCell ref="E46:G46"/>
    <mergeCell ref="E47:G47"/>
    <mergeCell ref="E49:G49"/>
    <mergeCell ref="B38:D38"/>
    <mergeCell ref="B39:D39"/>
    <mergeCell ref="B40:D40"/>
    <mergeCell ref="B41:D41"/>
    <mergeCell ref="E38:G38"/>
    <mergeCell ref="E39:G39"/>
    <mergeCell ref="E40:G40"/>
  </mergeCells>
  <phoneticPr fontId="0" type="noConversion"/>
  <dataValidations count="1">
    <dataValidation type="whole" allowBlank="1" showInputMessage="1" showErrorMessage="1" errorTitle="Inproper Input" error="The number must be a phone number.  Be sure to include the area code." promptTitle="Input Information:" prompt="Please input the phone number.  Use all numbers (the computer will insert parenthesis and hyphens as appropriate)." sqref="E18:E19" xr:uid="{00000000-0002-0000-0100-000000000000}">
      <formula1>1000000000</formula1>
      <formula2>9999999999</formula2>
    </dataValidation>
  </dataValidations>
  <printOptions horizontalCentered="1" verticalCentered="1"/>
  <pageMargins left="0.75" right="0.75" top="1" bottom="1" header="0.5" footer="0.5"/>
  <pageSetup scale="68" orientation="portrait" r:id="rId1"/>
  <headerFooter alignWithMargins="0">
    <oddFooter>&amp;C&amp;P</oddFooter>
  </headerFooter>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1000000}">
          <x14:formula1>
            <xm:f>Lists!$F$2:$F$7</xm:f>
          </x14:formula1>
          <xm:sqref>E15:G15</xm:sqref>
        </x14:dataValidation>
        <x14:dataValidation type="list" allowBlank="1" showInputMessage="1" showErrorMessage="1" xr:uid="{00000000-0002-0000-0100-000002000000}">
          <x14:formula1>
            <xm:f>Lists!$H$2:$H$4</xm:f>
          </x14:formula1>
          <xm:sqref>E23:G23</xm:sqref>
        </x14:dataValidation>
        <x14:dataValidation type="list" allowBlank="1" showInputMessage="1" showErrorMessage="1" xr:uid="{00000000-0002-0000-0100-000003000000}">
          <x14:formula1>
            <xm:f>Lists!$J$2:$J$8</xm:f>
          </x14:formula1>
          <xm:sqref>E24:G24</xm:sqref>
        </x14:dataValidation>
        <x14:dataValidation type="list" allowBlank="1" showInputMessage="1" showErrorMessage="1" xr:uid="{00000000-0002-0000-0100-000004000000}">
          <x14:formula1>
            <xm:f>Lists!$L$2:$L$4</xm:f>
          </x14:formula1>
          <xm:sqref>E25:G25</xm:sqref>
        </x14:dataValidation>
        <x14:dataValidation type="list" allowBlank="1" showInputMessage="1" showErrorMessage="1" xr:uid="{00000000-0002-0000-0100-000005000000}">
          <x14:formula1>
            <xm:f>Lists!$D$2:$D$4</xm:f>
          </x14:formula1>
          <xm:sqref>E13:G13</xm:sqref>
        </x14:dataValidation>
        <x14:dataValidation type="list" allowBlank="1" showInputMessage="1" showErrorMessage="1" xr:uid="{00000000-0002-0000-0100-000006000000}">
          <x14:formula1>
            <xm:f>Lists!$A$2:$A$66</xm:f>
          </x14:formula1>
          <xm:sqref>E8:G8</xm:sqref>
        </x14:dataValidation>
        <x14:dataValidation type="list" allowBlank="1" showInputMessage="1" showErrorMessage="1" xr:uid="{00000000-0002-0000-0100-000007000000}">
          <x14:formula1>
            <xm:f>Lists!$F$12:$F$14</xm:f>
          </x14:formula1>
          <xm:sqref>E37:G37</xm:sqref>
        </x14:dataValidation>
        <x14:dataValidation type="list" allowBlank="1" showInputMessage="1" showErrorMessage="1" xr:uid="{00000000-0002-0000-0100-000008000000}">
          <x14:formula1>
            <xm:f>Lists!$D$12:$D$18</xm:f>
          </x14:formula1>
          <xm:sqref>E36:G36</xm:sqref>
        </x14:dataValidation>
        <x14:dataValidation type="list" allowBlank="1" showInputMessage="1" showErrorMessage="1" xr:uid="{00000000-0002-0000-0100-000009000000}">
          <x14:formula1>
            <xm:f>Lists!$N$2:$N$7</xm:f>
          </x14:formula1>
          <xm:sqref>E35:G35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8"/>
  <sheetViews>
    <sheetView workbookViewId="0">
      <selection activeCell="B8" sqref="B8:K8"/>
    </sheetView>
  </sheetViews>
  <sheetFormatPr baseColWidth="10" defaultColWidth="9.1640625" defaultRowHeight="13"/>
  <cols>
    <col min="1" max="1" width="1.6640625" style="21" customWidth="1"/>
    <col min="2" max="6" width="9.1640625" style="21"/>
    <col min="7" max="7" width="15.5" style="21" customWidth="1"/>
    <col min="8" max="9" width="9.1640625" style="21"/>
    <col min="10" max="10" width="0.5" style="21" customWidth="1"/>
    <col min="11" max="11" width="7.6640625" style="21" customWidth="1"/>
    <col min="12" max="12" width="0.1640625" style="21" customWidth="1"/>
    <col min="13" max="13" width="1.5" style="21" customWidth="1"/>
    <col min="14" max="16384" width="9.1640625" style="21"/>
  </cols>
  <sheetData>
    <row r="1" spans="1:13">
      <c r="A1" s="1" t="s">
        <v>253</v>
      </c>
      <c r="C1" s="825">
        <f>+Cover!D6</f>
        <v>91818</v>
      </c>
    </row>
    <row r="2" spans="1:13" ht="16">
      <c r="B2" s="96" t="s">
        <v>400</v>
      </c>
      <c r="C2" s="97"/>
      <c r="D2" s="98"/>
      <c r="E2" s="98"/>
      <c r="F2" s="98"/>
      <c r="G2" s="98"/>
      <c r="H2" s="98"/>
      <c r="I2" s="98"/>
      <c r="J2" s="98"/>
      <c r="K2" s="99"/>
      <c r="M2" s="94"/>
    </row>
    <row r="3" spans="1:13" ht="26.25" customHeight="1">
      <c r="B3" s="95" t="s">
        <v>108</v>
      </c>
      <c r="C3" s="95"/>
      <c r="D3" s="95"/>
      <c r="E3" s="95"/>
      <c r="F3" s="95"/>
      <c r="G3" s="95"/>
      <c r="H3" s="95"/>
      <c r="I3" s="95"/>
      <c r="J3" s="95"/>
      <c r="K3" s="95"/>
      <c r="L3" s="95"/>
      <c r="M3" s="95"/>
    </row>
    <row r="4" spans="1:13" ht="118.5" customHeight="1">
      <c r="B4" s="1407" t="s">
        <v>625</v>
      </c>
      <c r="C4" s="1407"/>
      <c r="D4" s="1407"/>
      <c r="E4" s="1407"/>
      <c r="F4" s="1407"/>
      <c r="G4" s="1407"/>
      <c r="H4" s="1407"/>
      <c r="I4" s="1407"/>
      <c r="J4" s="1407"/>
      <c r="K4" s="1407"/>
      <c r="L4" s="1407"/>
      <c r="M4" s="1407"/>
    </row>
    <row r="5" spans="1:13" ht="33.75" customHeight="1">
      <c r="B5" s="1407" t="s">
        <v>401</v>
      </c>
      <c r="C5" s="1407"/>
      <c r="D5" s="1407"/>
      <c r="E5" s="1407"/>
      <c r="F5" s="1407"/>
      <c r="G5" s="1407"/>
      <c r="H5" s="1407"/>
      <c r="I5" s="1407"/>
      <c r="J5" s="1407"/>
      <c r="K5" s="1407"/>
      <c r="L5" s="1407"/>
      <c r="M5" s="1407"/>
    </row>
    <row r="6" spans="1:13" ht="129" customHeight="1">
      <c r="B6" s="1407" t="s">
        <v>626</v>
      </c>
      <c r="C6" s="1407"/>
      <c r="D6" s="1407"/>
      <c r="E6" s="1407"/>
      <c r="F6" s="1407"/>
      <c r="G6" s="1407"/>
      <c r="H6" s="1407"/>
      <c r="I6" s="1407"/>
      <c r="J6" s="1407"/>
      <c r="K6" s="1407"/>
      <c r="L6" s="1407"/>
      <c r="M6" s="1407"/>
    </row>
    <row r="7" spans="1:13" ht="124.5" customHeight="1">
      <c r="B7" s="1408" t="s">
        <v>627</v>
      </c>
      <c r="C7" s="1407"/>
      <c r="D7" s="1407"/>
      <c r="E7" s="1407"/>
      <c r="F7" s="1407"/>
      <c r="G7" s="1407"/>
      <c r="H7" s="1407"/>
      <c r="I7" s="1407"/>
      <c r="J7" s="1407"/>
      <c r="K7" s="1407"/>
      <c r="L7" s="1407"/>
      <c r="M7" s="1407"/>
    </row>
    <row r="8" spans="1:13" ht="172.5" customHeight="1">
      <c r="B8" s="1409" t="s">
        <v>1202</v>
      </c>
      <c r="C8" s="1410"/>
      <c r="D8" s="1410"/>
      <c r="E8" s="1410"/>
      <c r="F8" s="1410"/>
      <c r="G8" s="1410"/>
      <c r="H8" s="1410"/>
      <c r="I8" s="1410"/>
      <c r="J8" s="1410"/>
      <c r="K8" s="1410"/>
      <c r="L8" s="95"/>
      <c r="M8" s="95"/>
    </row>
  </sheetData>
  <sheetProtection algorithmName="SHA-512" hashValue="d1fbSGIJQEA4U6qLxS3084Y+DxA35cNKWnYRT2cs2y3I1oIvmUDCsinqEqTVzFE999MYVBtUOJbeJBIpkRNkIg==" saltValue="IRqqaf30tdsd6SKOOiQqhQ==" spinCount="100000" sheet="1" objects="1" scenarios="1"/>
  <mergeCells count="5">
    <mergeCell ref="B4:M4"/>
    <mergeCell ref="B5:M5"/>
    <mergeCell ref="B6:M6"/>
    <mergeCell ref="B7:M7"/>
    <mergeCell ref="B8:K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indexed="29"/>
    <pageSetUpPr fitToPage="1"/>
  </sheetPr>
  <dimension ref="A1:N93"/>
  <sheetViews>
    <sheetView topLeftCell="A28" zoomScaleNormal="100" workbookViewId="0">
      <selection activeCell="S7" sqref="S7"/>
    </sheetView>
  </sheetViews>
  <sheetFormatPr baseColWidth="10" defaultColWidth="8.83203125" defaultRowHeight="13"/>
  <cols>
    <col min="1" max="2" width="3.6640625" customWidth="1"/>
    <col min="3" max="6" width="1.6640625" customWidth="1"/>
    <col min="7" max="7" width="8.6640625" customWidth="1"/>
    <col min="8" max="8" width="3.6640625" customWidth="1"/>
    <col min="9" max="9" width="85.5" customWidth="1"/>
    <col min="10" max="10" width="1.6640625" customWidth="1"/>
    <col min="11" max="13" width="5.6640625" customWidth="1"/>
    <col min="14" max="14" width="3.6640625" customWidth="1"/>
  </cols>
  <sheetData>
    <row r="1" spans="1:14" ht="15" thickTop="1" thickBot="1">
      <c r="A1" s="302" t="s">
        <v>393</v>
      </c>
      <c r="B1" s="438"/>
      <c r="C1" s="438"/>
      <c r="D1" s="438"/>
      <c r="E1" s="438"/>
      <c r="F1" s="438"/>
      <c r="G1" s="438"/>
      <c r="H1" s="438"/>
      <c r="I1" s="438"/>
      <c r="J1" s="438"/>
      <c r="K1" s="438"/>
      <c r="L1" s="438"/>
      <c r="M1" s="438"/>
      <c r="N1" s="439"/>
    </row>
    <row r="2" spans="1:14" ht="58.5" customHeight="1" thickTop="1" thickBot="1">
      <c r="A2" s="303"/>
      <c r="B2" s="440"/>
      <c r="C2" s="441"/>
      <c r="D2" s="442"/>
      <c r="E2" s="441"/>
      <c r="F2" s="442"/>
      <c r="G2" s="441"/>
      <c r="H2" s="441"/>
      <c r="I2" s="443" t="s">
        <v>392</v>
      </c>
      <c r="J2" s="444"/>
      <c r="K2" s="445" t="s">
        <v>566</v>
      </c>
      <c r="L2" s="445" t="s">
        <v>567</v>
      </c>
      <c r="M2" s="446" t="s">
        <v>568</v>
      </c>
      <c r="N2" s="304"/>
    </row>
    <row r="3" spans="1:14" ht="23.25" customHeight="1" thickTop="1">
      <c r="A3" s="303"/>
      <c r="B3" s="1411" t="s">
        <v>876</v>
      </c>
      <c r="C3" s="1411"/>
      <c r="D3" s="1411"/>
      <c r="E3" s="1411"/>
      <c r="F3" s="1411"/>
      <c r="G3" s="1411"/>
      <c r="H3" s="1411"/>
      <c r="I3" s="1411"/>
      <c r="J3" s="1411"/>
      <c r="K3" s="1411"/>
      <c r="L3" s="1411"/>
      <c r="M3" s="1411"/>
      <c r="N3" s="1412"/>
    </row>
    <row r="4" spans="1:14" ht="14">
      <c r="A4" s="303"/>
      <c r="B4" s="447">
        <v>1</v>
      </c>
      <c r="C4" s="447"/>
      <c r="D4" s="448"/>
      <c r="E4" s="447"/>
      <c r="F4" s="449"/>
      <c r="G4" s="447"/>
      <c r="H4" s="450" t="s">
        <v>569</v>
      </c>
      <c r="I4" s="451" t="s">
        <v>5</v>
      </c>
      <c r="J4" s="202"/>
      <c r="K4" s="513" t="s">
        <v>163</v>
      </c>
      <c r="L4" s="148"/>
      <c r="M4" s="202"/>
      <c r="N4" s="304"/>
    </row>
    <row r="5" spans="1:14" ht="12" customHeight="1">
      <c r="A5" s="303"/>
      <c r="B5" s="452">
        <v>3</v>
      </c>
      <c r="C5" s="452"/>
      <c r="D5" s="453"/>
      <c r="E5" s="452"/>
      <c r="F5" s="454"/>
      <c r="G5" s="452"/>
      <c r="H5" s="455" t="s">
        <v>569</v>
      </c>
      <c r="I5" s="456" t="s">
        <v>9</v>
      </c>
      <c r="J5" s="202"/>
      <c r="K5" s="513" t="s">
        <v>163</v>
      </c>
      <c r="L5" s="148"/>
      <c r="M5" s="202"/>
      <c r="N5" s="304"/>
    </row>
    <row r="6" spans="1:14" ht="12" customHeight="1">
      <c r="A6" s="303"/>
      <c r="B6" s="452">
        <v>4</v>
      </c>
      <c r="C6" s="452"/>
      <c r="D6" s="453"/>
      <c r="E6" s="452"/>
      <c r="F6" s="454"/>
      <c r="G6" s="452"/>
      <c r="H6" s="455" t="s">
        <v>569</v>
      </c>
      <c r="I6" s="456" t="s">
        <v>550</v>
      </c>
      <c r="J6" s="202"/>
      <c r="K6" s="513" t="s">
        <v>163</v>
      </c>
      <c r="L6" s="148"/>
      <c r="M6" s="202"/>
      <c r="N6" s="304"/>
    </row>
    <row r="7" spans="1:14" ht="12" customHeight="1">
      <c r="A7" s="303"/>
      <c r="B7" s="452">
        <v>5</v>
      </c>
      <c r="C7" s="452"/>
      <c r="D7" s="453"/>
      <c r="E7" s="452"/>
      <c r="F7" s="454"/>
      <c r="G7" s="452"/>
      <c r="H7" s="455" t="s">
        <v>569</v>
      </c>
      <c r="I7" s="456" t="s">
        <v>109</v>
      </c>
      <c r="J7" s="202"/>
      <c r="K7" s="513" t="s">
        <v>163</v>
      </c>
      <c r="L7" s="148"/>
      <c r="M7" s="202"/>
      <c r="N7" s="304"/>
    </row>
    <row r="8" spans="1:14" ht="12" customHeight="1">
      <c r="A8" s="303"/>
      <c r="B8" s="452">
        <v>6</v>
      </c>
      <c r="C8" s="452"/>
      <c r="D8" s="453"/>
      <c r="E8" s="452"/>
      <c r="F8" s="454"/>
      <c r="G8" s="452"/>
      <c r="H8" s="455" t="s">
        <v>569</v>
      </c>
      <c r="I8" s="456" t="s">
        <v>769</v>
      </c>
      <c r="J8" s="202"/>
      <c r="K8" s="513" t="s">
        <v>163</v>
      </c>
      <c r="L8" s="148"/>
      <c r="M8" s="202"/>
      <c r="N8" s="304"/>
    </row>
    <row r="9" spans="1:14" ht="12" customHeight="1">
      <c r="A9" s="303"/>
      <c r="B9" s="452">
        <v>7</v>
      </c>
      <c r="C9" s="452"/>
      <c r="D9" s="453"/>
      <c r="E9" s="452"/>
      <c r="F9" s="454"/>
      <c r="G9" s="452"/>
      <c r="H9" s="455" t="s">
        <v>569</v>
      </c>
      <c r="I9" s="456" t="s">
        <v>128</v>
      </c>
      <c r="J9" s="202"/>
      <c r="K9" s="513" t="s">
        <v>163</v>
      </c>
      <c r="L9" s="148"/>
      <c r="M9" s="202"/>
      <c r="N9" s="304"/>
    </row>
    <row r="10" spans="1:14" ht="12" customHeight="1">
      <c r="A10" s="303"/>
      <c r="B10" s="452">
        <v>8</v>
      </c>
      <c r="C10" s="452"/>
      <c r="D10" s="453"/>
      <c r="E10" s="452"/>
      <c r="F10" s="454"/>
      <c r="G10" s="452"/>
      <c r="H10" s="455" t="s">
        <v>569</v>
      </c>
      <c r="I10" s="456" t="s">
        <v>176</v>
      </c>
      <c r="J10" s="202"/>
      <c r="K10" s="513" t="s">
        <v>163</v>
      </c>
      <c r="L10" s="148"/>
      <c r="M10" s="202"/>
      <c r="N10" s="304"/>
    </row>
    <row r="11" spans="1:14" ht="12" customHeight="1">
      <c r="A11" s="303"/>
      <c r="B11" s="452"/>
      <c r="C11" s="452"/>
      <c r="D11" s="457"/>
      <c r="E11" s="454" t="s">
        <v>0</v>
      </c>
      <c r="F11" s="457"/>
      <c r="G11" s="454"/>
      <c r="H11" s="458"/>
      <c r="I11" s="459"/>
      <c r="J11" s="202"/>
      <c r="K11" s="513"/>
      <c r="L11" s="148"/>
      <c r="M11" s="202"/>
      <c r="N11" s="304"/>
    </row>
    <row r="12" spans="1:14" ht="12" customHeight="1">
      <c r="A12" s="303"/>
      <c r="B12" s="452">
        <v>9</v>
      </c>
      <c r="C12" s="452"/>
      <c r="D12" s="457"/>
      <c r="E12" s="454"/>
      <c r="F12" s="457"/>
      <c r="G12" s="454"/>
      <c r="H12" s="455" t="s">
        <v>569</v>
      </c>
      <c r="I12" s="456" t="s">
        <v>770</v>
      </c>
      <c r="J12" s="202"/>
      <c r="K12" s="513" t="s">
        <v>163</v>
      </c>
      <c r="L12" s="148"/>
      <c r="M12" s="202"/>
      <c r="N12" s="304"/>
    </row>
    <row r="13" spans="1:14" ht="12" customHeight="1">
      <c r="A13" s="303"/>
      <c r="B13" s="452"/>
      <c r="C13" s="452"/>
      <c r="D13" s="457"/>
      <c r="E13" s="454" t="s">
        <v>1</v>
      </c>
      <c r="F13" s="457"/>
      <c r="G13" s="454"/>
      <c r="H13" s="455"/>
      <c r="I13" s="456"/>
      <c r="J13" s="202"/>
      <c r="K13" s="513"/>
      <c r="L13" s="148"/>
      <c r="M13" s="202"/>
      <c r="N13" s="304"/>
    </row>
    <row r="14" spans="1:14" ht="12" customHeight="1">
      <c r="A14" s="303"/>
      <c r="B14" s="452">
        <v>10</v>
      </c>
      <c r="C14" s="452"/>
      <c r="D14" s="453"/>
      <c r="E14" s="452"/>
      <c r="F14" s="454"/>
      <c r="G14" s="452"/>
      <c r="H14" s="455" t="s">
        <v>569</v>
      </c>
      <c r="I14" s="456" t="s">
        <v>877</v>
      </c>
      <c r="J14" s="202"/>
      <c r="K14" s="513" t="s">
        <v>163</v>
      </c>
      <c r="L14" s="148"/>
      <c r="M14" s="202"/>
      <c r="N14" s="304"/>
    </row>
    <row r="15" spans="1:14" ht="12" customHeight="1">
      <c r="A15" s="303"/>
      <c r="B15" s="452">
        <v>11</v>
      </c>
      <c r="C15" s="452"/>
      <c r="D15" s="453"/>
      <c r="E15" s="452"/>
      <c r="F15" s="454"/>
      <c r="G15" s="452"/>
      <c r="H15" s="455" t="s">
        <v>569</v>
      </c>
      <c r="I15" s="456" t="s">
        <v>179</v>
      </c>
      <c r="J15" s="202"/>
      <c r="K15" s="513" t="s">
        <v>163</v>
      </c>
      <c r="L15" s="148"/>
      <c r="M15" s="202"/>
      <c r="N15" s="304"/>
    </row>
    <row r="16" spans="1:14" ht="12" customHeight="1">
      <c r="A16" s="303"/>
      <c r="B16" s="452">
        <v>12</v>
      </c>
      <c r="C16" s="452"/>
      <c r="D16" s="453"/>
      <c r="E16" s="452"/>
      <c r="F16" s="454"/>
      <c r="G16" s="452"/>
      <c r="H16" s="455" t="s">
        <v>569</v>
      </c>
      <c r="I16" s="456" t="s">
        <v>201</v>
      </c>
      <c r="J16" s="202"/>
      <c r="K16" s="513" t="s">
        <v>163</v>
      </c>
      <c r="L16" s="148"/>
      <c r="M16" s="202"/>
      <c r="N16" s="304"/>
    </row>
    <row r="17" spans="1:14" ht="12" customHeight="1">
      <c r="A17" s="303"/>
      <c r="B17" s="452">
        <v>13</v>
      </c>
      <c r="C17" s="452"/>
      <c r="D17" s="453"/>
      <c r="E17" s="452"/>
      <c r="F17" s="454"/>
      <c r="G17" s="452"/>
      <c r="H17" s="455" t="s">
        <v>569</v>
      </c>
      <c r="I17" s="456" t="s">
        <v>573</v>
      </c>
      <c r="J17" s="202"/>
      <c r="K17" s="513" t="s">
        <v>163</v>
      </c>
      <c r="L17" s="148"/>
      <c r="M17" s="202"/>
      <c r="N17" s="304"/>
    </row>
    <row r="18" spans="1:14" ht="12" customHeight="1">
      <c r="A18" s="303"/>
      <c r="B18" s="452">
        <v>14</v>
      </c>
      <c r="C18" s="452"/>
      <c r="D18" s="453"/>
      <c r="E18" s="452"/>
      <c r="F18" s="454"/>
      <c r="G18" s="452"/>
      <c r="H18" s="455" t="s">
        <v>569</v>
      </c>
      <c r="I18" s="456" t="s">
        <v>254</v>
      </c>
      <c r="J18" s="202"/>
      <c r="K18" s="513" t="s">
        <v>163</v>
      </c>
      <c r="L18" s="148"/>
      <c r="M18" s="202"/>
      <c r="N18" s="304"/>
    </row>
    <row r="19" spans="1:14" ht="12" customHeight="1">
      <c r="A19" s="303"/>
      <c r="B19" s="452">
        <v>15</v>
      </c>
      <c r="C19" s="452"/>
      <c r="D19" s="453"/>
      <c r="E19" s="452"/>
      <c r="F19" s="454"/>
      <c r="G19" s="452"/>
      <c r="H19" s="460" t="s">
        <v>569</v>
      </c>
      <c r="I19" s="456" t="s">
        <v>668</v>
      </c>
      <c r="J19" s="202"/>
      <c r="K19" s="513"/>
      <c r="L19" s="148"/>
      <c r="M19" s="202"/>
      <c r="N19" s="304"/>
    </row>
    <row r="20" spans="1:14" ht="12" customHeight="1">
      <c r="A20" s="303"/>
      <c r="B20" s="452">
        <v>16</v>
      </c>
      <c r="C20" s="452"/>
      <c r="D20" s="453"/>
      <c r="E20" s="452"/>
      <c r="F20" s="454"/>
      <c r="G20" s="452"/>
      <c r="H20" s="455" t="s">
        <v>569</v>
      </c>
      <c r="I20" s="456" t="s">
        <v>2</v>
      </c>
      <c r="J20" s="202"/>
      <c r="K20" s="513" t="s">
        <v>163</v>
      </c>
      <c r="L20" s="148"/>
      <c r="M20" s="202"/>
      <c r="N20" s="304"/>
    </row>
    <row r="21" spans="1:14" ht="12" customHeight="1">
      <c r="A21" s="303"/>
      <c r="B21" s="452">
        <v>17</v>
      </c>
      <c r="C21" s="452"/>
      <c r="D21" s="453"/>
      <c r="E21" s="452"/>
      <c r="F21" s="454"/>
      <c r="G21" s="452"/>
      <c r="H21" s="455" t="s">
        <v>569</v>
      </c>
      <c r="I21" s="456" t="s">
        <v>565</v>
      </c>
      <c r="J21" s="202"/>
      <c r="K21" s="513" t="s">
        <v>163</v>
      </c>
      <c r="L21" s="148"/>
      <c r="M21" s="202"/>
      <c r="N21" s="304"/>
    </row>
    <row r="22" spans="1:14" ht="12" customHeight="1">
      <c r="A22" s="303"/>
      <c r="B22" s="452">
        <v>18</v>
      </c>
      <c r="C22" s="452"/>
      <c r="D22" s="453"/>
      <c r="E22" s="452"/>
      <c r="F22" s="454"/>
      <c r="G22" s="452"/>
      <c r="H22" s="455" t="s">
        <v>569</v>
      </c>
      <c r="I22" s="456" t="s">
        <v>771</v>
      </c>
      <c r="J22" s="202"/>
      <c r="K22" s="513" t="s">
        <v>163</v>
      </c>
      <c r="L22" s="148"/>
      <c r="M22" s="149" t="s">
        <v>163</v>
      </c>
      <c r="N22" s="304"/>
    </row>
    <row r="23" spans="1:14" ht="12" customHeight="1">
      <c r="A23" s="303"/>
      <c r="B23" s="452"/>
      <c r="C23" s="454"/>
      <c r="D23" s="457"/>
      <c r="E23" s="454"/>
      <c r="F23" s="457"/>
      <c r="G23" s="454"/>
      <c r="H23" s="458"/>
      <c r="I23" s="461"/>
      <c r="J23" s="202"/>
      <c r="K23" s="150"/>
      <c r="L23" s="150"/>
      <c r="M23" s="202"/>
      <c r="N23" s="304"/>
    </row>
    <row r="24" spans="1:14" ht="12" customHeight="1">
      <c r="A24" s="303"/>
      <c r="B24" s="452"/>
      <c r="C24" s="452" t="s">
        <v>574</v>
      </c>
      <c r="D24" s="453"/>
      <c r="E24" s="452"/>
      <c r="F24" s="453"/>
      <c r="G24" s="452"/>
      <c r="H24" s="455"/>
      <c r="I24" s="456"/>
      <c r="J24" s="202"/>
      <c r="K24" s="150"/>
      <c r="L24" s="150"/>
      <c r="M24" s="202"/>
      <c r="N24" s="304"/>
    </row>
    <row r="25" spans="1:14" ht="12" customHeight="1">
      <c r="A25" s="303"/>
      <c r="B25" s="452"/>
      <c r="C25" s="454"/>
      <c r="D25" s="457" t="s">
        <v>570</v>
      </c>
      <c r="E25" s="454" t="s">
        <v>575</v>
      </c>
      <c r="F25" s="457"/>
      <c r="G25" s="454"/>
      <c r="H25" s="458" t="s">
        <v>569</v>
      </c>
      <c r="I25" s="461" t="s">
        <v>394</v>
      </c>
      <c r="J25" s="202"/>
      <c r="K25" s="513" t="s">
        <v>163</v>
      </c>
      <c r="L25" s="148"/>
      <c r="M25" s="202"/>
      <c r="N25" s="304"/>
    </row>
    <row r="26" spans="1:14" ht="12" customHeight="1">
      <c r="A26" s="303"/>
      <c r="B26" s="452"/>
      <c r="C26" s="452" t="s">
        <v>576</v>
      </c>
      <c r="D26" s="457"/>
      <c r="E26" s="454"/>
      <c r="F26" s="457"/>
      <c r="G26" s="454"/>
      <c r="H26" s="458"/>
      <c r="I26" s="461"/>
      <c r="J26" s="202"/>
      <c r="K26" s="150"/>
      <c r="L26" s="150"/>
      <c r="M26" s="202"/>
      <c r="N26" s="304"/>
    </row>
    <row r="27" spans="1:14" ht="12" customHeight="1">
      <c r="A27" s="303"/>
      <c r="B27" s="452"/>
      <c r="C27" s="454"/>
      <c r="D27" s="457" t="s">
        <v>570</v>
      </c>
      <c r="E27" s="454" t="s">
        <v>577</v>
      </c>
      <c r="F27" s="457"/>
      <c r="G27" s="454"/>
      <c r="H27" s="458" t="s">
        <v>569</v>
      </c>
      <c r="I27" s="461" t="s">
        <v>3</v>
      </c>
      <c r="J27" s="202"/>
      <c r="K27" s="513" t="s">
        <v>163</v>
      </c>
      <c r="L27" s="763"/>
      <c r="M27" s="202"/>
      <c r="N27" s="304"/>
    </row>
    <row r="28" spans="1:14" ht="12" customHeight="1">
      <c r="A28" s="303"/>
      <c r="B28" s="452"/>
      <c r="C28" s="454"/>
      <c r="D28" s="457"/>
      <c r="E28" s="454"/>
      <c r="F28" s="457" t="s">
        <v>578</v>
      </c>
      <c r="G28" s="454" t="s">
        <v>581</v>
      </c>
      <c r="H28" s="458"/>
      <c r="I28" s="461"/>
      <c r="J28" s="202"/>
      <c r="K28" s="150"/>
      <c r="L28" s="148"/>
      <c r="M28" s="202"/>
      <c r="N28" s="304"/>
    </row>
    <row r="29" spans="1:14" ht="12" customHeight="1">
      <c r="A29" s="303"/>
      <c r="B29" s="452"/>
      <c r="C29" s="454"/>
      <c r="D29" s="457"/>
      <c r="E29" s="454"/>
      <c r="F29" s="457" t="s">
        <v>579</v>
      </c>
      <c r="G29" s="454" t="s">
        <v>582</v>
      </c>
      <c r="H29" s="458"/>
      <c r="I29" s="461"/>
      <c r="J29" s="202"/>
      <c r="K29" s="150"/>
      <c r="L29" s="148"/>
      <c r="M29" s="202"/>
      <c r="N29" s="304"/>
    </row>
    <row r="30" spans="1:14" ht="12" customHeight="1">
      <c r="A30" s="303"/>
      <c r="B30" s="452"/>
      <c r="C30" s="454"/>
      <c r="D30" s="457"/>
      <c r="E30" s="454"/>
      <c r="F30" s="457" t="s">
        <v>579</v>
      </c>
      <c r="G30" s="454" t="s">
        <v>395</v>
      </c>
      <c r="H30" s="458"/>
      <c r="I30" s="461"/>
      <c r="J30" s="202"/>
      <c r="K30" s="150"/>
      <c r="L30" s="148"/>
      <c r="M30" s="202"/>
      <c r="N30" s="304"/>
    </row>
    <row r="31" spans="1:14" ht="12" customHeight="1">
      <c r="A31" s="303"/>
      <c r="B31" s="452"/>
      <c r="C31" s="454"/>
      <c r="D31" s="457" t="s">
        <v>571</v>
      </c>
      <c r="E31" s="454" t="s">
        <v>583</v>
      </c>
      <c r="F31" s="457"/>
      <c r="G31" s="454"/>
      <c r="H31" s="458" t="s">
        <v>569</v>
      </c>
      <c r="I31" s="461" t="s">
        <v>4</v>
      </c>
      <c r="J31" s="202"/>
      <c r="K31" s="513" t="s">
        <v>107</v>
      </c>
      <c r="L31" s="148"/>
      <c r="M31" s="202"/>
      <c r="N31" s="304"/>
    </row>
    <row r="32" spans="1:14" ht="12" customHeight="1">
      <c r="A32" s="303"/>
      <c r="B32" s="452"/>
      <c r="C32" s="454"/>
      <c r="D32" s="457"/>
      <c r="E32" s="454"/>
      <c r="F32" s="457" t="s">
        <v>578</v>
      </c>
      <c r="G32" s="454" t="s">
        <v>628</v>
      </c>
      <c r="H32" s="458"/>
      <c r="I32" s="461"/>
      <c r="J32" s="202"/>
      <c r="K32" s="513"/>
      <c r="L32" s="148"/>
      <c r="M32" s="202"/>
      <c r="N32" s="304"/>
    </row>
    <row r="33" spans="1:14" ht="12" customHeight="1">
      <c r="A33" s="303"/>
      <c r="B33" s="452"/>
      <c r="C33" s="454"/>
      <c r="D33" s="457"/>
      <c r="E33" s="454"/>
      <c r="F33" s="457" t="s">
        <v>579</v>
      </c>
      <c r="G33" s="454" t="s">
        <v>396</v>
      </c>
      <c r="H33" s="458"/>
      <c r="I33" s="461"/>
      <c r="J33" s="202"/>
      <c r="K33" s="513"/>
      <c r="L33" s="148"/>
      <c r="M33" s="202"/>
      <c r="N33" s="304"/>
    </row>
    <row r="34" spans="1:14" ht="12" customHeight="1">
      <c r="A34" s="303"/>
      <c r="B34" s="452"/>
      <c r="C34" s="454"/>
      <c r="D34" s="457"/>
      <c r="E34" s="454"/>
      <c r="F34" s="457" t="s">
        <v>580</v>
      </c>
      <c r="G34" s="462" t="s">
        <v>878</v>
      </c>
      <c r="H34" s="458"/>
      <c r="I34" s="461"/>
      <c r="J34" s="202"/>
      <c r="K34" s="513"/>
      <c r="L34" s="148"/>
      <c r="M34" s="202"/>
      <c r="N34" s="304"/>
    </row>
    <row r="35" spans="1:14" ht="12" customHeight="1">
      <c r="A35" s="303"/>
      <c r="B35" s="452"/>
      <c r="C35" s="454"/>
      <c r="D35" s="457" t="s">
        <v>572</v>
      </c>
      <c r="E35" s="454" t="s">
        <v>584</v>
      </c>
      <c r="F35" s="457"/>
      <c r="G35" s="454"/>
      <c r="H35" s="458" t="s">
        <v>569</v>
      </c>
      <c r="I35" s="461" t="s">
        <v>585</v>
      </c>
      <c r="J35" s="202"/>
      <c r="K35" s="513" t="s">
        <v>163</v>
      </c>
      <c r="L35" s="148"/>
      <c r="M35" s="202"/>
      <c r="N35" s="304"/>
    </row>
    <row r="36" spans="1:14" ht="12" customHeight="1">
      <c r="A36" s="303"/>
      <c r="B36" s="452"/>
      <c r="C36" s="454"/>
      <c r="D36" s="457"/>
      <c r="E36" s="454"/>
      <c r="F36" s="457" t="s">
        <v>578</v>
      </c>
      <c r="G36" s="462" t="s">
        <v>669</v>
      </c>
      <c r="H36" s="458"/>
      <c r="I36" s="461"/>
      <c r="J36" s="202"/>
      <c r="K36" s="514" t="s">
        <v>163</v>
      </c>
      <c r="L36" s="148"/>
      <c r="M36" s="202"/>
      <c r="N36" s="304"/>
    </row>
    <row r="37" spans="1:14" ht="12" customHeight="1">
      <c r="A37" s="303"/>
      <c r="B37" s="452"/>
      <c r="C37" s="454"/>
      <c r="D37" s="457"/>
      <c r="E37" s="454"/>
      <c r="F37" s="457" t="s">
        <v>579</v>
      </c>
      <c r="G37" s="454" t="s">
        <v>586</v>
      </c>
      <c r="H37" s="458"/>
      <c r="I37" s="461"/>
      <c r="J37" s="202"/>
      <c r="K37" s="150"/>
      <c r="L37" s="150"/>
      <c r="M37" s="202"/>
      <c r="N37" s="304"/>
    </row>
    <row r="38" spans="1:14" ht="12" customHeight="1">
      <c r="A38" s="303"/>
      <c r="B38" s="452"/>
      <c r="C38" s="454"/>
      <c r="D38" s="457" t="s">
        <v>587</v>
      </c>
      <c r="E38" s="454" t="s">
        <v>588</v>
      </c>
      <c r="F38" s="457"/>
      <c r="G38" s="454"/>
      <c r="H38" s="458" t="s">
        <v>569</v>
      </c>
      <c r="I38" s="461" t="s">
        <v>589</v>
      </c>
      <c r="J38" s="202"/>
      <c r="K38" s="513" t="s">
        <v>107</v>
      </c>
      <c r="L38" s="148"/>
      <c r="M38" s="202"/>
      <c r="N38" s="304"/>
    </row>
    <row r="39" spans="1:14" ht="12" customHeight="1">
      <c r="A39" s="303"/>
      <c r="B39" s="452"/>
      <c r="C39" s="454"/>
      <c r="D39" s="457" t="s">
        <v>590</v>
      </c>
      <c r="E39" s="454" t="s">
        <v>591</v>
      </c>
      <c r="F39" s="457"/>
      <c r="G39" s="454"/>
      <c r="H39" s="458" t="s">
        <v>569</v>
      </c>
      <c r="I39" s="461" t="s">
        <v>397</v>
      </c>
      <c r="J39" s="202"/>
      <c r="K39" s="513" t="s">
        <v>163</v>
      </c>
      <c r="L39" s="148"/>
      <c r="M39" s="202"/>
      <c r="N39" s="304"/>
    </row>
    <row r="40" spans="1:14" ht="12" customHeight="1">
      <c r="A40" s="303"/>
      <c r="B40" s="452"/>
      <c r="C40" s="454"/>
      <c r="D40" s="457" t="s">
        <v>601</v>
      </c>
      <c r="E40" s="454" t="s">
        <v>399</v>
      </c>
      <c r="F40" s="457"/>
      <c r="G40" s="454"/>
      <c r="H40" s="458" t="s">
        <v>569</v>
      </c>
      <c r="I40" s="461" t="s">
        <v>398</v>
      </c>
      <c r="J40" s="202"/>
      <c r="K40" s="513" t="s">
        <v>107</v>
      </c>
      <c r="L40" s="148"/>
      <c r="M40" s="202"/>
      <c r="N40" s="304"/>
    </row>
    <row r="41" spans="1:14" ht="12" customHeight="1">
      <c r="A41" s="303"/>
      <c r="B41" s="452"/>
      <c r="C41" s="454"/>
      <c r="D41" s="464" t="s">
        <v>603</v>
      </c>
      <c r="E41" s="462" t="s">
        <v>594</v>
      </c>
      <c r="F41" s="457"/>
      <c r="G41" s="454"/>
      <c r="H41" s="465" t="s">
        <v>569</v>
      </c>
      <c r="I41" s="463" t="s">
        <v>885</v>
      </c>
      <c r="J41" s="202"/>
      <c r="K41" s="513"/>
      <c r="L41" s="148"/>
      <c r="M41" s="202"/>
      <c r="N41" s="304"/>
    </row>
    <row r="42" spans="1:14" ht="12" customHeight="1">
      <c r="A42" s="303"/>
      <c r="B42" s="452"/>
      <c r="C42" s="454"/>
      <c r="D42" s="464" t="s">
        <v>881</v>
      </c>
      <c r="E42" s="462" t="s">
        <v>772</v>
      </c>
      <c r="F42" s="457"/>
      <c r="G42" s="454"/>
      <c r="H42" s="465" t="s">
        <v>569</v>
      </c>
      <c r="I42" s="463" t="s">
        <v>882</v>
      </c>
      <c r="J42" s="202"/>
      <c r="K42" s="513" t="s">
        <v>163</v>
      </c>
      <c r="L42" s="148"/>
      <c r="M42" s="202"/>
      <c r="N42" s="304"/>
    </row>
    <row r="43" spans="1:14" ht="12" customHeight="1">
      <c r="A43" s="303"/>
      <c r="B43" s="452"/>
      <c r="C43" s="452" t="s">
        <v>592</v>
      </c>
      <c r="D43" s="457"/>
      <c r="E43" s="454"/>
      <c r="F43" s="457"/>
      <c r="G43" s="454"/>
      <c r="H43" s="458"/>
      <c r="I43" s="461"/>
      <c r="J43" s="202"/>
      <c r="K43" s="150"/>
      <c r="L43" s="150"/>
      <c r="M43" s="202"/>
      <c r="N43" s="304"/>
    </row>
    <row r="44" spans="1:14" ht="12" customHeight="1">
      <c r="A44" s="303"/>
      <c r="B44" s="452"/>
      <c r="C44" s="454"/>
      <c r="D44" s="457" t="s">
        <v>570</v>
      </c>
      <c r="E44" s="462" t="s">
        <v>595</v>
      </c>
      <c r="F44" s="457"/>
      <c r="G44" s="454"/>
      <c r="H44" s="458" t="s">
        <v>569</v>
      </c>
      <c r="I44" s="461" t="s">
        <v>593</v>
      </c>
      <c r="J44" s="202"/>
      <c r="K44" s="513" t="s">
        <v>163</v>
      </c>
      <c r="L44" s="148"/>
      <c r="M44" s="202"/>
      <c r="N44" s="304"/>
    </row>
    <row r="45" spans="1:14" ht="12" customHeight="1">
      <c r="A45" s="303"/>
      <c r="B45" s="452"/>
      <c r="C45" s="454"/>
      <c r="D45" s="457" t="s">
        <v>572</v>
      </c>
      <c r="E45" s="462" t="s">
        <v>596</v>
      </c>
      <c r="F45" s="457"/>
      <c r="G45" s="454"/>
      <c r="H45" s="458" t="s">
        <v>569</v>
      </c>
      <c r="I45" s="463" t="s">
        <v>676</v>
      </c>
      <c r="J45" s="202"/>
      <c r="K45" s="513" t="s">
        <v>163</v>
      </c>
      <c r="L45" s="148"/>
      <c r="M45" s="202"/>
      <c r="N45" s="304"/>
    </row>
    <row r="46" spans="1:14" ht="12" customHeight="1">
      <c r="A46" s="303"/>
      <c r="B46" s="452"/>
      <c r="C46" s="454"/>
      <c r="D46" s="457" t="s">
        <v>587</v>
      </c>
      <c r="E46" s="462" t="s">
        <v>597</v>
      </c>
      <c r="F46" s="457"/>
      <c r="G46" s="454"/>
      <c r="H46" s="458" t="s">
        <v>569</v>
      </c>
      <c r="I46" s="461" t="s">
        <v>605</v>
      </c>
      <c r="J46" s="202"/>
      <c r="K46" s="513" t="s">
        <v>107</v>
      </c>
      <c r="L46" s="148"/>
      <c r="M46" s="202"/>
      <c r="N46" s="304"/>
    </row>
    <row r="47" spans="1:14" ht="12" customHeight="1">
      <c r="A47" s="303"/>
      <c r="B47" s="452"/>
      <c r="C47" s="454"/>
      <c r="D47" s="457" t="s">
        <v>590</v>
      </c>
      <c r="E47" s="462" t="s">
        <v>598</v>
      </c>
      <c r="F47" s="457"/>
      <c r="G47" s="454"/>
      <c r="H47" s="458" t="s">
        <v>569</v>
      </c>
      <c r="I47" s="461" t="s">
        <v>606</v>
      </c>
      <c r="J47" s="202"/>
      <c r="K47" s="513"/>
      <c r="L47" s="148"/>
      <c r="M47" s="202"/>
      <c r="N47" s="304"/>
    </row>
    <row r="48" spans="1:14" ht="12" customHeight="1">
      <c r="A48" s="303"/>
      <c r="B48" s="452"/>
      <c r="C48" s="454"/>
      <c r="D48" s="457" t="s">
        <v>603</v>
      </c>
      <c r="E48" s="462" t="s">
        <v>599</v>
      </c>
      <c r="F48" s="457"/>
      <c r="G48" s="454"/>
      <c r="H48" s="458" t="s">
        <v>569</v>
      </c>
      <c r="I48" s="461" t="s">
        <v>409</v>
      </c>
      <c r="J48" s="202"/>
      <c r="K48" s="513" t="s">
        <v>163</v>
      </c>
      <c r="L48" s="148"/>
      <c r="M48" s="202"/>
      <c r="N48" s="304"/>
    </row>
    <row r="49" spans="1:14" ht="12" customHeight="1">
      <c r="A49" s="303"/>
      <c r="B49" s="452"/>
      <c r="C49" s="454"/>
      <c r="D49" s="457" t="s">
        <v>607</v>
      </c>
      <c r="E49" s="462" t="s">
        <v>600</v>
      </c>
      <c r="F49" s="457"/>
      <c r="G49" s="454"/>
      <c r="H49" s="458" t="s">
        <v>569</v>
      </c>
      <c r="I49" s="461" t="s">
        <v>410</v>
      </c>
      <c r="J49" s="202"/>
      <c r="K49" s="514" t="s">
        <v>163</v>
      </c>
      <c r="L49" s="148"/>
      <c r="M49" s="202"/>
      <c r="N49" s="304"/>
    </row>
    <row r="50" spans="1:14" ht="12" customHeight="1">
      <c r="A50" s="303"/>
      <c r="B50" s="452"/>
      <c r="C50" s="454"/>
      <c r="D50" s="457" t="s">
        <v>608</v>
      </c>
      <c r="E50" s="462" t="s">
        <v>602</v>
      </c>
      <c r="F50" s="457"/>
      <c r="G50" s="454"/>
      <c r="H50" s="458" t="s">
        <v>569</v>
      </c>
      <c r="I50" s="463" t="s">
        <v>670</v>
      </c>
      <c r="J50" s="202"/>
      <c r="K50" s="513"/>
      <c r="L50" s="148"/>
      <c r="M50" s="202"/>
      <c r="N50" s="304"/>
    </row>
    <row r="51" spans="1:14" ht="24" customHeight="1">
      <c r="A51" s="303"/>
      <c r="B51" s="452"/>
      <c r="C51" s="454"/>
      <c r="D51" s="457" t="s">
        <v>609</v>
      </c>
      <c r="E51" s="462" t="s">
        <v>604</v>
      </c>
      <c r="F51" s="457"/>
      <c r="G51" s="454"/>
      <c r="H51" s="458" t="s">
        <v>569</v>
      </c>
      <c r="I51" s="463" t="s">
        <v>671</v>
      </c>
      <c r="J51" s="202"/>
      <c r="K51" s="513"/>
      <c r="L51" s="148"/>
      <c r="M51" s="202"/>
      <c r="N51" s="304"/>
    </row>
    <row r="52" spans="1:14" ht="12" customHeight="1">
      <c r="A52" s="303"/>
      <c r="B52" s="252"/>
      <c r="C52" s="252"/>
      <c r="D52" s="464" t="s">
        <v>672</v>
      </c>
      <c r="E52" s="462" t="s">
        <v>883</v>
      </c>
      <c r="F52" s="252"/>
      <c r="G52" s="252"/>
      <c r="H52" s="465" t="s">
        <v>569</v>
      </c>
      <c r="I52" s="466" t="s">
        <v>879</v>
      </c>
      <c r="J52" s="202"/>
      <c r="K52" s="515"/>
      <c r="L52" s="148"/>
      <c r="M52" s="202"/>
      <c r="N52" s="304"/>
    </row>
    <row r="53" spans="1:14" ht="12" customHeight="1">
      <c r="A53" s="303"/>
      <c r="B53" s="252"/>
      <c r="C53" s="252"/>
      <c r="D53" s="464" t="s">
        <v>675</v>
      </c>
      <c r="E53" s="467" t="s">
        <v>884</v>
      </c>
      <c r="F53" s="468"/>
      <c r="G53" s="468"/>
      <c r="H53" s="469" t="s">
        <v>569</v>
      </c>
      <c r="I53" s="470" t="s">
        <v>674</v>
      </c>
      <c r="J53" s="202"/>
      <c r="K53" s="516" t="s">
        <v>163</v>
      </c>
      <c r="L53" s="148"/>
      <c r="M53" s="202"/>
      <c r="N53" s="304"/>
    </row>
    <row r="54" spans="1:14" ht="12" customHeight="1">
      <c r="A54" s="471"/>
      <c r="B54" s="258"/>
      <c r="C54" s="258"/>
      <c r="D54" s="773"/>
      <c r="E54" s="774"/>
      <c r="F54" s="281"/>
      <c r="G54" s="281"/>
      <c r="H54" s="775"/>
      <c r="I54" s="281"/>
      <c r="J54" s="235"/>
      <c r="K54" s="235"/>
      <c r="L54" s="235"/>
      <c r="M54" s="235"/>
      <c r="N54" s="475"/>
    </row>
    <row r="55" spans="1:14" ht="28.5" customHeight="1" thickBot="1">
      <c r="A55" s="472"/>
      <c r="B55" s="473"/>
      <c r="C55" s="473"/>
      <c r="D55" s="473"/>
      <c r="E55" s="473"/>
      <c r="F55" s="473"/>
      <c r="G55" s="473"/>
      <c r="H55" s="473"/>
      <c r="I55" s="474" t="s">
        <v>673</v>
      </c>
      <c r="J55" s="473"/>
      <c r="K55" s="473"/>
      <c r="L55" s="473"/>
      <c r="M55" s="473"/>
      <c r="N55" s="476"/>
    </row>
    <row r="56" spans="1:14" ht="12" customHeight="1" thickTop="1"/>
    <row r="57" spans="1:14" ht="12" customHeight="1"/>
    <row r="58" spans="1:14" ht="12" customHeight="1"/>
    <row r="59" spans="1:14" ht="12" customHeight="1"/>
    <row r="60" spans="1:14" ht="12" customHeight="1"/>
    <row r="61" spans="1:14" ht="12" customHeight="1"/>
    <row r="62" spans="1:14" ht="12" customHeight="1"/>
    <row r="63" spans="1:14" ht="12" customHeight="1"/>
    <row r="64" spans="1:1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sheetData>
  <sheetProtection algorithmName="SHA-512" hashValue="8dfh0Rfq7G6XdCTHU0BmJzId+YYlwYWbxbUT5coPyPdLguWW4FVQoTtWK7Ifp+NKKMh04q41nHEaRUGKUfZC2g==" saltValue="ozmxPcMAbF6x0LPuSx9YwA==" spinCount="100000" sheet="1" objects="1" scenarios="1"/>
  <mergeCells count="1">
    <mergeCell ref="B3:N3"/>
  </mergeCells>
  <phoneticPr fontId="25" type="noConversion"/>
  <pageMargins left="0.75" right="0.75" top="1" bottom="1" header="0.5" footer="0.5"/>
  <pageSetup scale="67" orientation="portrait"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80"/>
  <sheetViews>
    <sheetView topLeftCell="G1" workbookViewId="0">
      <selection activeCell="G1" sqref="G1"/>
    </sheetView>
  </sheetViews>
  <sheetFormatPr baseColWidth="10" defaultColWidth="8.83203125" defaultRowHeight="13"/>
  <cols>
    <col min="1" max="1" width="24.5" customWidth="1"/>
    <col min="3" max="3" width="13.83203125" customWidth="1"/>
    <col min="4" max="4" width="25.83203125" bestFit="1" customWidth="1"/>
    <col min="6" max="6" width="17.5" style="107" customWidth="1"/>
    <col min="10" max="10" width="18.5" style="107" customWidth="1"/>
    <col min="12" max="12" width="17.5" style="107" customWidth="1"/>
    <col min="14" max="14" width="11" style="107" customWidth="1"/>
    <col min="15" max="15" width="3.6640625" customWidth="1"/>
    <col min="16" max="16" width="23.6640625" bestFit="1" customWidth="1"/>
    <col min="17" max="17" width="27" customWidth="1"/>
    <col min="18" max="21" width="11.1640625" bestFit="1" customWidth="1"/>
  </cols>
  <sheetData>
    <row r="1" spans="1:21" ht="28">
      <c r="A1" s="878" t="s">
        <v>1206</v>
      </c>
      <c r="D1" s="878" t="s">
        <v>1207</v>
      </c>
      <c r="F1" s="880" t="s">
        <v>1208</v>
      </c>
      <c r="H1" s="878" t="s">
        <v>1209</v>
      </c>
      <c r="J1" s="880" t="s">
        <v>1210</v>
      </c>
      <c r="L1" s="884" t="s">
        <v>1211</v>
      </c>
      <c r="N1" s="884" t="s">
        <v>1212</v>
      </c>
      <c r="P1" s="952" t="s">
        <v>1222</v>
      </c>
      <c r="Q1" s="952"/>
      <c r="R1" s="952"/>
      <c r="S1" s="952"/>
      <c r="T1" s="952"/>
      <c r="U1" s="952"/>
    </row>
    <row r="2" spans="1:21" ht="26">
      <c r="D2" s="859"/>
      <c r="F2" s="881"/>
      <c r="H2" s="859"/>
      <c r="J2" s="881"/>
      <c r="L2" s="883"/>
      <c r="N2" s="881"/>
      <c r="P2" s="545"/>
      <c r="Q2" s="566" t="s">
        <v>695</v>
      </c>
      <c r="R2" s="566" t="s">
        <v>696</v>
      </c>
      <c r="S2" s="566" t="s">
        <v>698</v>
      </c>
      <c r="T2" s="566" t="s">
        <v>699</v>
      </c>
      <c r="U2" s="893" t="s">
        <v>700</v>
      </c>
    </row>
    <row r="3" spans="1:21">
      <c r="A3" s="877" t="s">
        <v>484</v>
      </c>
      <c r="D3" s="879" t="s">
        <v>635</v>
      </c>
      <c r="F3" s="881" t="s">
        <v>25</v>
      </c>
      <c r="H3" s="882" t="s">
        <v>30</v>
      </c>
      <c r="J3" s="881" t="s">
        <v>659</v>
      </c>
      <c r="L3" s="883" t="s">
        <v>87</v>
      </c>
      <c r="N3" s="881" t="s">
        <v>20</v>
      </c>
      <c r="P3" s="894" t="s">
        <v>939</v>
      </c>
      <c r="Q3" s="781">
        <v>137882.25</v>
      </c>
      <c r="R3" s="781">
        <v>158062.5</v>
      </c>
      <c r="S3" s="781">
        <v>192204</v>
      </c>
      <c r="T3" s="781">
        <v>248652</v>
      </c>
      <c r="U3" s="781">
        <v>272940.75</v>
      </c>
    </row>
    <row r="4" spans="1:21" ht="26">
      <c r="A4" s="877" t="s">
        <v>485</v>
      </c>
      <c r="D4" s="879" t="s">
        <v>636</v>
      </c>
      <c r="F4" s="881" t="s">
        <v>31</v>
      </c>
      <c r="H4" s="882" t="s">
        <v>24</v>
      </c>
      <c r="J4" s="881" t="s">
        <v>68</v>
      </c>
      <c r="L4" s="883" t="s">
        <v>483</v>
      </c>
      <c r="N4" s="881" t="s">
        <v>27</v>
      </c>
      <c r="P4" s="894" t="s">
        <v>943</v>
      </c>
      <c r="Q4" s="781">
        <v>137882.25</v>
      </c>
      <c r="R4" s="781">
        <v>158062.5</v>
      </c>
      <c r="S4" s="781">
        <v>192204</v>
      </c>
      <c r="T4" s="781">
        <v>248652</v>
      </c>
      <c r="U4" s="781">
        <v>272940.75</v>
      </c>
    </row>
    <row r="5" spans="1:21" ht="39">
      <c r="A5" s="877" t="s">
        <v>486</v>
      </c>
      <c r="F5" s="881" t="s">
        <v>558</v>
      </c>
      <c r="J5" s="881" t="s">
        <v>69</v>
      </c>
      <c r="L5" s="600"/>
      <c r="N5" s="881" t="s">
        <v>33</v>
      </c>
      <c r="P5" s="894" t="s">
        <v>947</v>
      </c>
      <c r="Q5" s="781">
        <v>137882.25</v>
      </c>
      <c r="R5" s="781">
        <v>158062.5</v>
      </c>
      <c r="S5" s="781">
        <v>192204</v>
      </c>
      <c r="T5" s="781">
        <v>248652</v>
      </c>
      <c r="U5" s="781">
        <v>272940.75</v>
      </c>
    </row>
    <row r="6" spans="1:21" ht="26">
      <c r="A6" s="877" t="s">
        <v>487</v>
      </c>
      <c r="F6" s="881" t="s">
        <v>42</v>
      </c>
      <c r="J6" s="881" t="s">
        <v>70</v>
      </c>
      <c r="N6" s="881" t="s">
        <v>38</v>
      </c>
      <c r="P6" s="894" t="s">
        <v>951</v>
      </c>
      <c r="Q6" s="781">
        <v>137882.25</v>
      </c>
      <c r="R6" s="781">
        <v>158062.5</v>
      </c>
      <c r="S6" s="781">
        <v>192204</v>
      </c>
      <c r="T6" s="781">
        <v>248652</v>
      </c>
      <c r="U6" s="781">
        <v>272940.75</v>
      </c>
    </row>
    <row r="7" spans="1:21" ht="26">
      <c r="A7" s="877" t="s">
        <v>488</v>
      </c>
      <c r="F7" s="881" t="s">
        <v>47</v>
      </c>
      <c r="J7" s="881" t="s">
        <v>71</v>
      </c>
      <c r="N7" s="881" t="s">
        <v>44</v>
      </c>
      <c r="P7" s="894" t="s">
        <v>955</v>
      </c>
      <c r="Q7" s="781">
        <v>137882.25</v>
      </c>
      <c r="R7" s="781">
        <v>158062.5</v>
      </c>
      <c r="S7" s="781">
        <v>192204</v>
      </c>
      <c r="T7" s="781">
        <v>248652</v>
      </c>
      <c r="U7" s="781">
        <v>272940.75</v>
      </c>
    </row>
    <row r="8" spans="1:21">
      <c r="A8" s="877" t="s">
        <v>489</v>
      </c>
      <c r="J8" s="881" t="s">
        <v>72</v>
      </c>
      <c r="P8" s="894" t="s">
        <v>959</v>
      </c>
      <c r="Q8" s="781">
        <v>137882.25</v>
      </c>
      <c r="R8" s="781">
        <v>158062.5</v>
      </c>
      <c r="S8" s="781">
        <v>192204</v>
      </c>
      <c r="T8" s="781">
        <v>248652</v>
      </c>
      <c r="U8" s="781">
        <v>272940.75</v>
      </c>
    </row>
    <row r="9" spans="1:21">
      <c r="A9" s="877" t="s">
        <v>490</v>
      </c>
      <c r="P9" s="894" t="s">
        <v>963</v>
      </c>
      <c r="Q9" s="781">
        <v>137882.25</v>
      </c>
      <c r="R9" s="781">
        <v>158062.5</v>
      </c>
      <c r="S9" s="781">
        <v>192204</v>
      </c>
      <c r="T9" s="781">
        <v>248652</v>
      </c>
      <c r="U9" s="781">
        <v>272940.75</v>
      </c>
    </row>
    <row r="10" spans="1:21">
      <c r="A10" s="877" t="s">
        <v>491</v>
      </c>
      <c r="P10" s="894" t="s">
        <v>967</v>
      </c>
      <c r="Q10" s="781">
        <v>137882.25</v>
      </c>
      <c r="R10" s="781">
        <v>158062.5</v>
      </c>
      <c r="S10" s="781">
        <v>192204</v>
      </c>
      <c r="T10" s="781">
        <v>248652</v>
      </c>
      <c r="U10" s="781">
        <v>272940.75</v>
      </c>
    </row>
    <row r="11" spans="1:21" ht="14">
      <c r="A11" s="877" t="s">
        <v>492</v>
      </c>
      <c r="D11" s="878" t="s">
        <v>1213</v>
      </c>
      <c r="F11" s="884" t="s">
        <v>1214</v>
      </c>
      <c r="P11" s="895" t="s">
        <v>969</v>
      </c>
      <c r="Q11" s="781">
        <v>135431.01</v>
      </c>
      <c r="R11" s="781">
        <v>155252.5</v>
      </c>
      <c r="S11" s="781">
        <v>188787.04</v>
      </c>
      <c r="T11" s="781">
        <v>244231.52</v>
      </c>
      <c r="U11" s="781">
        <v>268088.46999999997</v>
      </c>
    </row>
    <row r="12" spans="1:21">
      <c r="A12" s="877" t="s">
        <v>493</v>
      </c>
      <c r="D12" s="879"/>
      <c r="F12" s="879"/>
      <c r="P12" s="895" t="s">
        <v>973</v>
      </c>
      <c r="Q12" s="781">
        <v>137882.25</v>
      </c>
      <c r="R12" s="781">
        <v>158062.5</v>
      </c>
      <c r="S12" s="781">
        <v>192204</v>
      </c>
      <c r="T12" s="781">
        <v>248652</v>
      </c>
      <c r="U12" s="781">
        <v>272940.75</v>
      </c>
    </row>
    <row r="13" spans="1:21">
      <c r="A13" s="877" t="s">
        <v>494</v>
      </c>
      <c r="D13" s="879" t="s">
        <v>1205</v>
      </c>
      <c r="F13" s="879" t="s">
        <v>1203</v>
      </c>
      <c r="P13" s="894" t="s">
        <v>977</v>
      </c>
      <c r="Q13" s="781">
        <v>137882.25</v>
      </c>
      <c r="R13" s="781">
        <v>158062.5</v>
      </c>
      <c r="S13" s="781">
        <v>192204</v>
      </c>
      <c r="T13" s="781">
        <v>248652</v>
      </c>
      <c r="U13" s="781">
        <v>272940.75</v>
      </c>
    </row>
    <row r="14" spans="1:21">
      <c r="A14" s="877" t="s">
        <v>495</v>
      </c>
      <c r="D14" s="879" t="s">
        <v>23</v>
      </c>
      <c r="F14" s="879" t="s">
        <v>1204</v>
      </c>
      <c r="P14" s="894" t="s">
        <v>979</v>
      </c>
      <c r="Q14" s="781">
        <v>137882.25</v>
      </c>
      <c r="R14" s="781">
        <v>158062.5</v>
      </c>
      <c r="S14" s="781">
        <v>192204</v>
      </c>
      <c r="T14" s="781">
        <v>248652</v>
      </c>
      <c r="U14" s="781">
        <v>272940.75</v>
      </c>
    </row>
    <row r="15" spans="1:21">
      <c r="A15" s="877" t="s">
        <v>496</v>
      </c>
      <c r="D15" s="879" t="s">
        <v>36</v>
      </c>
      <c r="P15" s="894" t="s">
        <v>983</v>
      </c>
      <c r="Q15" s="781">
        <v>137882.25</v>
      </c>
      <c r="R15" s="781">
        <v>158062.5</v>
      </c>
      <c r="S15" s="781">
        <v>192204</v>
      </c>
      <c r="T15" s="781">
        <v>248652</v>
      </c>
      <c r="U15" s="781">
        <v>272940.75</v>
      </c>
    </row>
    <row r="16" spans="1:21">
      <c r="A16" s="877" t="s">
        <v>497</v>
      </c>
      <c r="D16" s="879" t="s">
        <v>40</v>
      </c>
      <c r="P16" s="894" t="s">
        <v>987</v>
      </c>
      <c r="Q16" s="781">
        <v>137882.25</v>
      </c>
      <c r="R16" s="781">
        <v>158062.5</v>
      </c>
      <c r="S16" s="781">
        <v>192204</v>
      </c>
      <c r="T16" s="781">
        <v>248652</v>
      </c>
      <c r="U16" s="781">
        <v>272940.75</v>
      </c>
    </row>
    <row r="17" spans="1:21">
      <c r="A17" s="877" t="s">
        <v>498</v>
      </c>
      <c r="D17" s="879" t="s">
        <v>45</v>
      </c>
      <c r="P17" s="894" t="s">
        <v>991</v>
      </c>
      <c r="Q17" s="781">
        <v>137882.25</v>
      </c>
      <c r="R17" s="781">
        <v>158062.5</v>
      </c>
      <c r="S17" s="781">
        <v>192204</v>
      </c>
      <c r="T17" s="781">
        <v>248652</v>
      </c>
      <c r="U17" s="781">
        <v>272940.75</v>
      </c>
    </row>
    <row r="18" spans="1:21">
      <c r="A18" s="877" t="s">
        <v>1216</v>
      </c>
      <c r="D18" s="879" t="s">
        <v>39</v>
      </c>
      <c r="P18" s="894" t="s">
        <v>993</v>
      </c>
      <c r="Q18" s="781">
        <v>137882.25</v>
      </c>
      <c r="R18" s="781">
        <v>158062.5</v>
      </c>
      <c r="S18" s="781">
        <v>192204</v>
      </c>
      <c r="T18" s="781">
        <v>248652</v>
      </c>
      <c r="U18" s="781">
        <v>272940.75</v>
      </c>
    </row>
    <row r="19" spans="1:21">
      <c r="A19" s="877" t="s">
        <v>500</v>
      </c>
      <c r="P19" s="895" t="s">
        <v>995</v>
      </c>
      <c r="Q19" s="781">
        <v>137882.25</v>
      </c>
      <c r="R19" s="781">
        <v>158062.5</v>
      </c>
      <c r="S19" s="781">
        <v>192204</v>
      </c>
      <c r="T19" s="781">
        <v>248652</v>
      </c>
      <c r="U19" s="781">
        <v>272940.75</v>
      </c>
    </row>
    <row r="20" spans="1:21">
      <c r="A20" s="877" t="s">
        <v>501</v>
      </c>
      <c r="P20" s="894" t="s">
        <v>999</v>
      </c>
      <c r="Q20" s="781">
        <v>137882.25</v>
      </c>
      <c r="R20" s="781">
        <v>158062.5</v>
      </c>
      <c r="S20" s="781">
        <v>192204</v>
      </c>
      <c r="T20" s="781">
        <v>248652</v>
      </c>
      <c r="U20" s="781">
        <v>272940.75</v>
      </c>
    </row>
    <row r="21" spans="1:21">
      <c r="A21" s="877" t="s">
        <v>502</v>
      </c>
      <c r="P21" s="894" t="s">
        <v>1001</v>
      </c>
      <c r="Q21" s="781">
        <v>137882.25</v>
      </c>
      <c r="R21" s="781">
        <v>158062.5</v>
      </c>
      <c r="S21" s="781">
        <v>192204</v>
      </c>
      <c r="T21" s="781">
        <v>248652</v>
      </c>
      <c r="U21" s="781">
        <v>272940.75</v>
      </c>
    </row>
    <row r="22" spans="1:21">
      <c r="A22" s="877" t="s">
        <v>503</v>
      </c>
      <c r="P22" s="894" t="s">
        <v>1005</v>
      </c>
      <c r="Q22" s="781">
        <v>137882.25</v>
      </c>
      <c r="R22" s="781">
        <v>158062.5</v>
      </c>
      <c r="S22" s="781">
        <v>192204</v>
      </c>
      <c r="T22" s="781">
        <v>248652</v>
      </c>
      <c r="U22" s="781">
        <v>272940.75</v>
      </c>
    </row>
    <row r="23" spans="1:21">
      <c r="A23" s="877" t="s">
        <v>706</v>
      </c>
      <c r="P23" s="894" t="s">
        <v>1009</v>
      </c>
      <c r="Q23" s="781">
        <v>137882.25</v>
      </c>
      <c r="R23" s="781">
        <v>158062.5</v>
      </c>
      <c r="S23" s="781">
        <v>192204</v>
      </c>
      <c r="T23" s="781">
        <v>248652</v>
      </c>
      <c r="U23" s="781">
        <v>272940.75</v>
      </c>
    </row>
    <row r="24" spans="1:21">
      <c r="A24" s="877" t="s">
        <v>504</v>
      </c>
      <c r="P24" s="894" t="s">
        <v>1013</v>
      </c>
      <c r="Q24" s="781">
        <v>137882.25</v>
      </c>
      <c r="R24" s="781">
        <v>158062.5</v>
      </c>
      <c r="S24" s="781">
        <v>192204</v>
      </c>
      <c r="T24" s="781">
        <v>248652</v>
      </c>
      <c r="U24" s="781">
        <v>272940.75</v>
      </c>
    </row>
    <row r="25" spans="1:21">
      <c r="A25" s="877" t="s">
        <v>505</v>
      </c>
      <c r="P25" s="894" t="s">
        <v>1017</v>
      </c>
      <c r="Q25" s="781">
        <v>137882.25</v>
      </c>
      <c r="R25" s="781">
        <v>158062.5</v>
      </c>
      <c r="S25" s="781">
        <v>192204</v>
      </c>
      <c r="T25" s="781">
        <v>248652</v>
      </c>
      <c r="U25" s="781">
        <v>272940.75</v>
      </c>
    </row>
    <row r="26" spans="1:21">
      <c r="A26" s="877" t="s">
        <v>506</v>
      </c>
      <c r="P26" s="894" t="s">
        <v>1021</v>
      </c>
      <c r="Q26" s="781">
        <v>137882.25</v>
      </c>
      <c r="R26" s="781">
        <v>158062.5</v>
      </c>
      <c r="S26" s="781">
        <v>192204</v>
      </c>
      <c r="T26" s="781">
        <v>248652</v>
      </c>
      <c r="U26" s="781">
        <v>272940.75</v>
      </c>
    </row>
    <row r="27" spans="1:21">
      <c r="A27" s="877" t="s">
        <v>507</v>
      </c>
      <c r="P27" s="894" t="s">
        <v>1025</v>
      </c>
      <c r="Q27" s="781">
        <v>137882.25</v>
      </c>
      <c r="R27" s="781">
        <v>158062.5</v>
      </c>
      <c r="S27" s="781">
        <v>192204</v>
      </c>
      <c r="T27" s="781">
        <v>248652</v>
      </c>
      <c r="U27" s="781">
        <v>272940.75</v>
      </c>
    </row>
    <row r="28" spans="1:21">
      <c r="A28" s="877" t="s">
        <v>508</v>
      </c>
      <c r="P28" s="894" t="s">
        <v>1029</v>
      </c>
      <c r="Q28" s="781">
        <v>137882.25</v>
      </c>
      <c r="R28" s="781">
        <v>158062.5</v>
      </c>
      <c r="S28" s="781">
        <v>192204</v>
      </c>
      <c r="T28" s="781">
        <v>248652</v>
      </c>
      <c r="U28" s="781">
        <v>272940.75</v>
      </c>
    </row>
    <row r="29" spans="1:21">
      <c r="A29" s="877" t="s">
        <v>509</v>
      </c>
      <c r="P29" s="894" t="s">
        <v>1033</v>
      </c>
      <c r="Q29" s="781">
        <v>137882.25</v>
      </c>
      <c r="R29" s="781">
        <v>158062.5</v>
      </c>
      <c r="S29" s="781">
        <v>192204</v>
      </c>
      <c r="T29" s="781">
        <v>248652</v>
      </c>
      <c r="U29" s="781">
        <v>272940.75</v>
      </c>
    </row>
    <row r="30" spans="1:21">
      <c r="A30" s="877" t="s">
        <v>510</v>
      </c>
      <c r="P30" s="895" t="s">
        <v>1037</v>
      </c>
      <c r="Q30" s="781">
        <v>137882.25</v>
      </c>
      <c r="R30" s="781">
        <v>158062.5</v>
      </c>
      <c r="S30" s="781">
        <v>192204</v>
      </c>
      <c r="T30" s="781">
        <v>248652</v>
      </c>
      <c r="U30" s="781">
        <v>272940.75</v>
      </c>
    </row>
    <row r="31" spans="1:21">
      <c r="A31" s="877" t="s">
        <v>511</v>
      </c>
      <c r="P31" s="894" t="s">
        <v>1041</v>
      </c>
      <c r="Q31" s="781">
        <v>137882.25</v>
      </c>
      <c r="R31" s="781">
        <v>158062.5</v>
      </c>
      <c r="S31" s="781">
        <v>192204</v>
      </c>
      <c r="T31" s="781">
        <v>248652</v>
      </c>
      <c r="U31" s="781">
        <v>272940.75</v>
      </c>
    </row>
    <row r="32" spans="1:21">
      <c r="A32" s="877" t="s">
        <v>512</v>
      </c>
      <c r="P32" s="894" t="s">
        <v>1045</v>
      </c>
      <c r="Q32" s="781">
        <v>137882.25</v>
      </c>
      <c r="R32" s="781">
        <v>158062.5</v>
      </c>
      <c r="S32" s="781">
        <v>192204</v>
      </c>
      <c r="T32" s="781">
        <v>248652</v>
      </c>
      <c r="U32" s="781">
        <v>272940.75</v>
      </c>
    </row>
    <row r="33" spans="1:21">
      <c r="A33" s="877" t="s">
        <v>513</v>
      </c>
      <c r="P33" s="894" t="s">
        <v>1049</v>
      </c>
      <c r="Q33" s="781">
        <v>137882.25</v>
      </c>
      <c r="R33" s="781">
        <v>158062.5</v>
      </c>
      <c r="S33" s="781">
        <v>192204</v>
      </c>
      <c r="T33" s="781">
        <v>248652</v>
      </c>
      <c r="U33" s="781">
        <v>272940.75</v>
      </c>
    </row>
    <row r="34" spans="1:21">
      <c r="A34" s="877" t="s">
        <v>514</v>
      </c>
      <c r="P34" s="894" t="s">
        <v>1051</v>
      </c>
      <c r="Q34" s="781">
        <v>137882.25</v>
      </c>
      <c r="R34" s="781">
        <v>158062.5</v>
      </c>
      <c r="S34" s="781">
        <v>192204</v>
      </c>
      <c r="T34" s="781">
        <v>248652</v>
      </c>
      <c r="U34" s="781">
        <v>272940.75</v>
      </c>
    </row>
    <row r="35" spans="1:21">
      <c r="A35" s="877" t="s">
        <v>515</v>
      </c>
      <c r="P35" s="894" t="s">
        <v>1055</v>
      </c>
      <c r="Q35" s="781">
        <v>137882.25</v>
      </c>
      <c r="R35" s="781">
        <v>158062.5</v>
      </c>
      <c r="S35" s="781">
        <v>192204</v>
      </c>
      <c r="T35" s="781">
        <v>248652</v>
      </c>
      <c r="U35" s="781">
        <v>272940.75</v>
      </c>
    </row>
    <row r="36" spans="1:21">
      <c r="A36" s="877" t="s">
        <v>516</v>
      </c>
      <c r="P36" s="894" t="s">
        <v>1059</v>
      </c>
      <c r="Q36" s="781">
        <v>137882.25</v>
      </c>
      <c r="R36" s="781">
        <v>158062.5</v>
      </c>
      <c r="S36" s="781">
        <v>192204</v>
      </c>
      <c r="T36" s="781">
        <v>248652</v>
      </c>
      <c r="U36" s="781">
        <v>272940.75</v>
      </c>
    </row>
    <row r="37" spans="1:21">
      <c r="A37" s="877" t="s">
        <v>517</v>
      </c>
      <c r="P37" s="894" t="s">
        <v>1063</v>
      </c>
      <c r="Q37" s="781">
        <v>137882.25</v>
      </c>
      <c r="R37" s="781">
        <v>158062.5</v>
      </c>
      <c r="S37" s="781">
        <v>192204</v>
      </c>
      <c r="T37" s="781">
        <v>248652</v>
      </c>
      <c r="U37" s="781">
        <v>272940.75</v>
      </c>
    </row>
    <row r="38" spans="1:21">
      <c r="A38" s="877" t="s">
        <v>1217</v>
      </c>
      <c r="P38" s="895" t="s">
        <v>1065</v>
      </c>
      <c r="Q38" s="781">
        <v>140333.49</v>
      </c>
      <c r="R38" s="781">
        <v>160872.5</v>
      </c>
      <c r="S38" s="781">
        <v>195620.96</v>
      </c>
      <c r="T38" s="781">
        <v>253072.48</v>
      </c>
      <c r="U38" s="781">
        <v>277793.03000000003</v>
      </c>
    </row>
    <row r="39" spans="1:21">
      <c r="A39" s="877" t="s">
        <v>519</v>
      </c>
      <c r="P39" s="895" t="s">
        <v>1069</v>
      </c>
      <c r="Q39" s="781">
        <v>137882.25</v>
      </c>
      <c r="R39" s="781">
        <v>158062.5</v>
      </c>
      <c r="S39" s="781">
        <v>192204</v>
      </c>
      <c r="T39" s="781">
        <v>248652</v>
      </c>
      <c r="U39" s="781">
        <v>272940.75</v>
      </c>
    </row>
    <row r="40" spans="1:21">
      <c r="A40" s="877" t="s">
        <v>520</v>
      </c>
      <c r="P40" s="894" t="s">
        <v>1071</v>
      </c>
      <c r="Q40" s="781">
        <v>137882.25</v>
      </c>
      <c r="R40" s="781">
        <v>158062.5</v>
      </c>
      <c r="S40" s="781">
        <v>192204</v>
      </c>
      <c r="T40" s="781">
        <v>248652</v>
      </c>
      <c r="U40" s="781">
        <v>272940.75</v>
      </c>
    </row>
    <row r="41" spans="1:21">
      <c r="A41" s="877" t="s">
        <v>521</v>
      </c>
      <c r="P41" s="894" t="s">
        <v>1073</v>
      </c>
      <c r="Q41" s="781">
        <v>137882.25</v>
      </c>
      <c r="R41" s="781">
        <v>158062.5</v>
      </c>
      <c r="S41" s="781">
        <v>192204</v>
      </c>
      <c r="T41" s="781">
        <v>248652</v>
      </c>
      <c r="U41" s="781">
        <v>272940.75</v>
      </c>
    </row>
    <row r="42" spans="1:21">
      <c r="A42" s="877" t="s">
        <v>522</v>
      </c>
      <c r="P42" s="895" t="s">
        <v>1075</v>
      </c>
      <c r="Q42" s="781">
        <v>137882.25</v>
      </c>
      <c r="R42" s="781">
        <v>158062.5</v>
      </c>
      <c r="S42" s="781">
        <v>192204</v>
      </c>
      <c r="T42" s="781">
        <v>248652</v>
      </c>
      <c r="U42" s="781">
        <v>272940.75</v>
      </c>
    </row>
    <row r="43" spans="1:21">
      <c r="A43" s="877" t="s">
        <v>523</v>
      </c>
      <c r="P43" s="894" t="s">
        <v>1079</v>
      </c>
      <c r="Q43" s="781">
        <v>137882.25</v>
      </c>
      <c r="R43" s="781">
        <v>158062.5</v>
      </c>
      <c r="S43" s="781">
        <v>192204</v>
      </c>
      <c r="T43" s="781">
        <v>248652</v>
      </c>
      <c r="U43" s="781">
        <v>272940.75</v>
      </c>
    </row>
    <row r="44" spans="1:21">
      <c r="A44" s="877" t="s">
        <v>524</v>
      </c>
      <c r="P44" s="894" t="s">
        <v>1083</v>
      </c>
      <c r="Q44" s="781">
        <v>137882.25</v>
      </c>
      <c r="R44" s="781">
        <v>158062.5</v>
      </c>
      <c r="S44" s="781">
        <v>192204</v>
      </c>
      <c r="T44" s="781">
        <v>248652</v>
      </c>
      <c r="U44" s="781">
        <v>272940.75</v>
      </c>
    </row>
    <row r="45" spans="1:21">
      <c r="A45" s="877" t="s">
        <v>525</v>
      </c>
      <c r="P45" s="894" t="s">
        <v>1087</v>
      </c>
      <c r="Q45" s="781">
        <v>137882.25</v>
      </c>
      <c r="R45" s="781">
        <v>158062.5</v>
      </c>
      <c r="S45" s="781">
        <v>192204</v>
      </c>
      <c r="T45" s="781">
        <v>248652</v>
      </c>
      <c r="U45" s="781">
        <v>272940.75</v>
      </c>
    </row>
    <row r="46" spans="1:21">
      <c r="A46" s="877" t="s">
        <v>526</v>
      </c>
      <c r="P46" s="894" t="s">
        <v>1089</v>
      </c>
      <c r="Q46" s="781">
        <v>137882.25</v>
      </c>
      <c r="R46" s="781">
        <v>158062.5</v>
      </c>
      <c r="S46" s="781">
        <v>192204</v>
      </c>
      <c r="T46" s="781">
        <v>248652</v>
      </c>
      <c r="U46" s="781">
        <v>272940.75</v>
      </c>
    </row>
    <row r="47" spans="1:21">
      <c r="A47" s="877" t="s">
        <v>527</v>
      </c>
      <c r="P47" s="894" t="s">
        <v>1091</v>
      </c>
      <c r="Q47" s="781">
        <v>137882.25</v>
      </c>
      <c r="R47" s="781">
        <v>158062.5</v>
      </c>
      <c r="S47" s="781">
        <v>192204</v>
      </c>
      <c r="T47" s="781">
        <v>248652</v>
      </c>
      <c r="U47" s="781">
        <v>272940.75</v>
      </c>
    </row>
    <row r="48" spans="1:21">
      <c r="A48" s="877" t="s">
        <v>528</v>
      </c>
      <c r="P48" s="894" t="s">
        <v>1093</v>
      </c>
      <c r="Q48" s="781">
        <v>137882.25</v>
      </c>
      <c r="R48" s="781">
        <v>158062.5</v>
      </c>
      <c r="S48" s="781">
        <v>192204</v>
      </c>
      <c r="T48" s="781">
        <v>248652</v>
      </c>
      <c r="U48" s="781">
        <v>272940.75</v>
      </c>
    </row>
    <row r="49" spans="1:21">
      <c r="A49" s="877" t="s">
        <v>529</v>
      </c>
      <c r="P49" s="894" t="s">
        <v>1097</v>
      </c>
      <c r="Q49" s="781">
        <v>137882.25</v>
      </c>
      <c r="R49" s="781">
        <v>158062.5</v>
      </c>
      <c r="S49" s="781">
        <v>192204</v>
      </c>
      <c r="T49" s="781">
        <v>248652</v>
      </c>
      <c r="U49" s="781">
        <v>272940.75</v>
      </c>
    </row>
    <row r="50" spans="1:21">
      <c r="A50" s="877" t="s">
        <v>530</v>
      </c>
      <c r="P50" s="894" t="s">
        <v>1099</v>
      </c>
      <c r="Q50" s="781">
        <v>137882.25</v>
      </c>
      <c r="R50" s="781">
        <v>158062.5</v>
      </c>
      <c r="S50" s="781">
        <v>192204</v>
      </c>
      <c r="T50" s="781">
        <v>248652</v>
      </c>
      <c r="U50" s="781">
        <v>272940.75</v>
      </c>
    </row>
    <row r="51" spans="1:21">
      <c r="A51" s="877" t="s">
        <v>531</v>
      </c>
      <c r="P51" s="894" t="s">
        <v>1103</v>
      </c>
      <c r="Q51" s="781">
        <v>137882.25</v>
      </c>
      <c r="R51" s="781">
        <v>158062.5</v>
      </c>
      <c r="S51" s="781">
        <v>192204</v>
      </c>
      <c r="T51" s="781">
        <v>248652</v>
      </c>
      <c r="U51" s="781">
        <v>272940.75</v>
      </c>
    </row>
    <row r="52" spans="1:21">
      <c r="A52" s="877" t="s">
        <v>532</v>
      </c>
      <c r="P52" s="894" t="s">
        <v>1105</v>
      </c>
      <c r="Q52" s="781">
        <v>137882.25</v>
      </c>
      <c r="R52" s="781">
        <v>158062.5</v>
      </c>
      <c r="S52" s="781">
        <v>192204</v>
      </c>
      <c r="T52" s="781">
        <v>248652</v>
      </c>
      <c r="U52" s="781">
        <v>272940.75</v>
      </c>
    </row>
    <row r="53" spans="1:21">
      <c r="A53" s="877" t="s">
        <v>533</v>
      </c>
      <c r="P53" s="894" t="s">
        <v>1109</v>
      </c>
      <c r="Q53" s="781">
        <v>137882.25</v>
      </c>
      <c r="R53" s="781">
        <v>158062.5</v>
      </c>
      <c r="S53" s="781">
        <v>192204</v>
      </c>
      <c r="T53" s="781">
        <v>248652</v>
      </c>
      <c r="U53" s="781">
        <v>272940.75</v>
      </c>
    </row>
    <row r="54" spans="1:21">
      <c r="A54" s="877" t="s">
        <v>534</v>
      </c>
      <c r="P54" s="894" t="s">
        <v>1111</v>
      </c>
      <c r="Q54" s="781">
        <v>137882.25</v>
      </c>
      <c r="R54" s="781">
        <v>158062.5</v>
      </c>
      <c r="S54" s="781">
        <v>192204</v>
      </c>
      <c r="T54" s="781">
        <v>248652</v>
      </c>
      <c r="U54" s="781">
        <v>272940.75</v>
      </c>
    </row>
    <row r="55" spans="1:21">
      <c r="A55" s="877" t="s">
        <v>535</v>
      </c>
      <c r="P55" s="894" t="s">
        <v>1115</v>
      </c>
      <c r="Q55" s="781">
        <v>137882.25</v>
      </c>
      <c r="R55" s="781">
        <v>158062.5</v>
      </c>
      <c r="S55" s="781">
        <v>192204</v>
      </c>
      <c r="T55" s="781">
        <v>248652</v>
      </c>
      <c r="U55" s="781">
        <v>272940.75</v>
      </c>
    </row>
    <row r="56" spans="1:21">
      <c r="A56" s="877" t="s">
        <v>536</v>
      </c>
      <c r="P56" s="894" t="s">
        <v>1119</v>
      </c>
      <c r="Q56" s="781">
        <v>137882.25</v>
      </c>
      <c r="R56" s="781">
        <v>158062.5</v>
      </c>
      <c r="S56" s="781">
        <v>192204</v>
      </c>
      <c r="T56" s="781">
        <v>248652</v>
      </c>
      <c r="U56" s="781">
        <v>272940.75</v>
      </c>
    </row>
    <row r="57" spans="1:21">
      <c r="A57" s="877" t="s">
        <v>537</v>
      </c>
      <c r="P57" s="894" t="s">
        <v>1121</v>
      </c>
      <c r="Q57" s="781">
        <v>137882.25</v>
      </c>
      <c r="R57" s="781">
        <v>158062.5</v>
      </c>
      <c r="S57" s="781">
        <v>192204</v>
      </c>
      <c r="T57" s="781">
        <v>248652</v>
      </c>
      <c r="U57" s="781">
        <v>272940.75</v>
      </c>
    </row>
    <row r="58" spans="1:21">
      <c r="A58" s="877" t="s">
        <v>538</v>
      </c>
      <c r="P58" s="894" t="s">
        <v>1123</v>
      </c>
      <c r="Q58" s="781">
        <v>137882.25</v>
      </c>
      <c r="R58" s="781">
        <v>158062.5</v>
      </c>
      <c r="S58" s="781">
        <v>192204</v>
      </c>
      <c r="T58" s="781">
        <v>248652</v>
      </c>
      <c r="U58" s="781">
        <v>272940.75</v>
      </c>
    </row>
    <row r="59" spans="1:21">
      <c r="A59" s="890" t="s">
        <v>539</v>
      </c>
      <c r="P59" s="894" t="s">
        <v>1127</v>
      </c>
      <c r="Q59" s="781">
        <v>137882.25</v>
      </c>
      <c r="R59" s="781">
        <v>158062.5</v>
      </c>
      <c r="S59" s="781">
        <v>192204</v>
      </c>
      <c r="T59" s="781">
        <v>248652</v>
      </c>
      <c r="U59" s="781">
        <v>272940.75</v>
      </c>
    </row>
    <row r="60" spans="1:21">
      <c r="A60" s="877" t="s">
        <v>540</v>
      </c>
      <c r="P60" s="894" t="s">
        <v>1131</v>
      </c>
      <c r="Q60" s="781">
        <v>137882.25</v>
      </c>
      <c r="R60" s="781">
        <v>158062.5</v>
      </c>
      <c r="S60" s="781">
        <v>192204</v>
      </c>
      <c r="T60" s="781">
        <v>248652</v>
      </c>
      <c r="U60" s="781">
        <v>272940.75</v>
      </c>
    </row>
    <row r="61" spans="1:21">
      <c r="A61" s="877" t="s">
        <v>541</v>
      </c>
      <c r="P61" s="894" t="s">
        <v>1135</v>
      </c>
      <c r="Q61" s="781">
        <v>137882.25</v>
      </c>
      <c r="R61" s="781">
        <v>158062.5</v>
      </c>
      <c r="S61" s="781">
        <v>192204</v>
      </c>
      <c r="T61" s="781">
        <v>248652</v>
      </c>
      <c r="U61" s="781">
        <v>272940.75</v>
      </c>
    </row>
    <row r="62" spans="1:21">
      <c r="A62" s="877" t="s">
        <v>542</v>
      </c>
      <c r="P62" s="894" t="s">
        <v>1139</v>
      </c>
      <c r="Q62" s="781">
        <v>137882.25</v>
      </c>
      <c r="R62" s="781">
        <v>158062.5</v>
      </c>
      <c r="S62" s="781">
        <v>192204</v>
      </c>
      <c r="T62" s="781">
        <v>248652</v>
      </c>
      <c r="U62" s="781">
        <v>272940.75</v>
      </c>
    </row>
    <row r="63" spans="1:21">
      <c r="A63" s="877" t="s">
        <v>1218</v>
      </c>
      <c r="P63" s="894" t="s">
        <v>1141</v>
      </c>
      <c r="Q63" s="781">
        <v>137882.25</v>
      </c>
      <c r="R63" s="781">
        <v>158062.5</v>
      </c>
      <c r="S63" s="781">
        <v>192204</v>
      </c>
      <c r="T63" s="781">
        <v>248652</v>
      </c>
      <c r="U63" s="781">
        <v>272940.75</v>
      </c>
    </row>
    <row r="64" spans="1:21">
      <c r="A64" s="877" t="s">
        <v>544</v>
      </c>
      <c r="P64" s="894" t="s">
        <v>1145</v>
      </c>
      <c r="Q64" s="781">
        <v>137882.25</v>
      </c>
      <c r="R64" s="781">
        <v>158062.5</v>
      </c>
      <c r="S64" s="781">
        <v>192204</v>
      </c>
      <c r="T64" s="781">
        <v>248652</v>
      </c>
      <c r="U64" s="781">
        <v>272940.75</v>
      </c>
    </row>
    <row r="65" spans="1:21">
      <c r="A65" s="891" t="s">
        <v>1219</v>
      </c>
      <c r="P65" s="894" t="s">
        <v>1147</v>
      </c>
      <c r="Q65" s="781">
        <v>137882.25</v>
      </c>
      <c r="R65" s="781">
        <v>158062.5</v>
      </c>
      <c r="S65" s="781">
        <v>192204</v>
      </c>
      <c r="T65" s="781">
        <v>248652</v>
      </c>
      <c r="U65" s="781">
        <v>272940.75</v>
      </c>
    </row>
    <row r="66" spans="1:21">
      <c r="A66" s="891" t="s">
        <v>546</v>
      </c>
      <c r="P66" s="894" t="s">
        <v>1151</v>
      </c>
      <c r="Q66" s="781">
        <v>137882.25</v>
      </c>
      <c r="R66" s="781">
        <v>158062.5</v>
      </c>
      <c r="S66" s="781">
        <v>192204</v>
      </c>
      <c r="T66" s="781">
        <v>248652</v>
      </c>
      <c r="U66" s="781">
        <v>272940.75</v>
      </c>
    </row>
    <row r="67" spans="1:21">
      <c r="Q67" s="781"/>
      <c r="R67" s="781"/>
      <c r="S67" s="781"/>
      <c r="T67" s="781"/>
      <c r="U67" s="781"/>
    </row>
    <row r="68" spans="1:21">
      <c r="Q68" s="781"/>
      <c r="R68" s="781"/>
      <c r="S68" s="781"/>
      <c r="T68" s="781"/>
      <c r="U68" s="781"/>
    </row>
    <row r="69" spans="1:21">
      <c r="Q69" s="781"/>
      <c r="R69" s="781"/>
      <c r="S69" s="781"/>
      <c r="T69" s="781"/>
      <c r="U69" s="781"/>
    </row>
    <row r="70" spans="1:21">
      <c r="Q70" s="781"/>
      <c r="R70" s="781"/>
      <c r="S70" s="781"/>
      <c r="T70" s="781"/>
      <c r="U70" s="781"/>
    </row>
    <row r="71" spans="1:21">
      <c r="P71" s="4"/>
      <c r="Q71" s="4"/>
      <c r="R71" s="4"/>
      <c r="S71" s="4"/>
      <c r="T71" s="4"/>
      <c r="U71" s="4"/>
    </row>
    <row r="72" spans="1:21">
      <c r="P72" s="4"/>
      <c r="Q72" s="4"/>
      <c r="R72" s="4"/>
      <c r="S72" s="4"/>
      <c r="T72" s="4"/>
      <c r="U72" s="4"/>
    </row>
    <row r="73" spans="1:21">
      <c r="P73" s="4"/>
      <c r="Q73" s="4"/>
      <c r="R73" s="4"/>
      <c r="S73" s="4"/>
      <c r="T73" s="4"/>
      <c r="U73" s="4"/>
    </row>
    <row r="74" spans="1:21">
      <c r="P74" s="783"/>
      <c r="Q74" s="1413" t="s">
        <v>1159</v>
      </c>
      <c r="R74" s="962"/>
      <c r="S74" s="962"/>
      <c r="T74" s="962"/>
      <c r="U74" s="963"/>
    </row>
    <row r="75" spans="1:21">
      <c r="P75" s="786" t="e">
        <f>IF('Primary Input'!E8= " ",0, VLOOKUP('Primary Input'!E8,Lists!P3:U66,1))</f>
        <v>#N/A</v>
      </c>
      <c r="Q75" s="875" t="s">
        <v>143</v>
      </c>
      <c r="R75" s="875" t="s">
        <v>144</v>
      </c>
      <c r="S75" s="875" t="s">
        <v>145</v>
      </c>
      <c r="T75" s="875" t="s">
        <v>146</v>
      </c>
      <c r="U75" s="876" t="s">
        <v>147</v>
      </c>
    </row>
    <row r="76" spans="1:21" ht="28">
      <c r="P76" s="886" t="s">
        <v>1160</v>
      </c>
      <c r="Q76" s="788">
        <f>IF('Primary Input'!$E$8="",0, VLOOKUP('Primary Input'!$E$8,$P$3:$U$64,2))</f>
        <v>0</v>
      </c>
      <c r="R76" s="788">
        <f>IF('Primary Input'!$E$8="",0, VLOOKUP('Primary Input'!$E$8,$P$3:$U$64,3))</f>
        <v>0</v>
      </c>
      <c r="S76" s="788">
        <f>IF('Primary Input'!$E$8="",0, VLOOKUP('Primary Input'!$E$8,$P$3:$U$64,4))</f>
        <v>0</v>
      </c>
      <c r="T76" s="788">
        <f>IF('Primary Input'!$E$8="",0, VLOOKUP('Primary Input'!$E$8,$P$3:$U$64,5))</f>
        <v>0</v>
      </c>
      <c r="U76" s="788">
        <f>IF('Primary Input'!$E$8="",0, VLOOKUP('Primary Input'!$E$8,$P$3:$U$64,6))</f>
        <v>0</v>
      </c>
    </row>
    <row r="78" spans="1:21">
      <c r="P78" s="885"/>
      <c r="Q78" s="1414"/>
      <c r="R78" s="1414"/>
      <c r="S78" s="1414"/>
      <c r="T78" s="1414"/>
      <c r="U78" s="1414"/>
    </row>
    <row r="79" spans="1:21">
      <c r="P79" s="887"/>
      <c r="Q79" s="888"/>
      <c r="R79" s="888"/>
      <c r="S79" s="888"/>
      <c r="T79" s="888"/>
      <c r="U79" s="888"/>
    </row>
    <row r="80" spans="1:21">
      <c r="P80" s="889"/>
      <c r="Q80" s="887"/>
      <c r="R80" s="887"/>
      <c r="S80" s="887"/>
      <c r="T80" s="887"/>
      <c r="U80" s="887"/>
    </row>
  </sheetData>
  <mergeCells count="3">
    <mergeCell ref="P1:U1"/>
    <mergeCell ref="Q74:U74"/>
    <mergeCell ref="Q78:U78"/>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H74"/>
  <sheetViews>
    <sheetView workbookViewId="0">
      <selection activeCell="E14" sqref="E14"/>
    </sheetView>
  </sheetViews>
  <sheetFormatPr baseColWidth="10" defaultColWidth="8.83203125" defaultRowHeight="13"/>
  <cols>
    <col min="1" max="1" width="14.33203125" customWidth="1"/>
    <col min="3" max="3" width="14" customWidth="1"/>
    <col min="4" max="4" width="14.1640625" customWidth="1"/>
    <col min="5" max="5" width="22.6640625" customWidth="1"/>
    <col min="6" max="7" width="14.6640625" customWidth="1"/>
    <col min="8" max="8" width="16.83203125" customWidth="1"/>
    <col min="10" max="10" width="9.1640625" customWidth="1"/>
    <col min="11" max="26" width="9.1640625" hidden="1" customWidth="1"/>
    <col min="27" max="27" width="27.1640625" hidden="1" customWidth="1"/>
    <col min="28" max="28" width="15.33203125" hidden="1" customWidth="1"/>
    <col min="29" max="29" width="16.6640625" hidden="1" customWidth="1"/>
    <col min="30" max="31" width="9.1640625" hidden="1" customWidth="1"/>
    <col min="32" max="32" width="17.6640625" hidden="1" customWidth="1"/>
    <col min="33" max="34" width="9.1640625" hidden="1" customWidth="1"/>
    <col min="35" max="49" width="9.1640625" customWidth="1"/>
  </cols>
  <sheetData>
    <row r="1" spans="1:32" ht="14" thickTop="1">
      <c r="A1" s="482"/>
      <c r="B1" s="477"/>
      <c r="C1" s="477"/>
      <c r="D1" s="477"/>
      <c r="E1" s="477"/>
      <c r="F1" s="1418"/>
      <c r="G1" s="1419"/>
      <c r="H1" s="407"/>
      <c r="I1" s="407"/>
    </row>
    <row r="2" spans="1:32">
      <c r="A2" s="483"/>
      <c r="B2" s="478"/>
      <c r="C2" s="478"/>
      <c r="D2" s="478"/>
      <c r="E2" s="478"/>
      <c r="F2" s="1420"/>
      <c r="G2" s="1370"/>
      <c r="H2" s="407"/>
      <c r="I2" s="407"/>
    </row>
    <row r="3" spans="1:32" ht="23">
      <c r="A3" s="1421" t="s">
        <v>677</v>
      </c>
      <c r="B3" s="1422"/>
      <c r="C3" s="1422"/>
      <c r="D3" s="1422"/>
      <c r="E3" s="1422"/>
      <c r="F3" s="1422"/>
      <c r="G3" s="1423"/>
      <c r="H3" s="407"/>
      <c r="I3" s="407"/>
      <c r="AA3" s="106" t="s">
        <v>111</v>
      </c>
      <c r="AB3" s="106" t="s">
        <v>695</v>
      </c>
      <c r="AC3" s="106" t="s">
        <v>696</v>
      </c>
      <c r="AD3" s="106" t="s">
        <v>698</v>
      </c>
      <c r="AE3" s="106" t="s">
        <v>699</v>
      </c>
      <c r="AF3" s="106" t="s">
        <v>700</v>
      </c>
    </row>
    <row r="4" spans="1:32" ht="23">
      <c r="A4" s="1421" t="s">
        <v>678</v>
      </c>
      <c r="B4" s="1422"/>
      <c r="C4" s="1422"/>
      <c r="D4" s="1422"/>
      <c r="E4" s="1422"/>
      <c r="F4" s="1422"/>
      <c r="G4" s="1423"/>
      <c r="H4" s="407"/>
      <c r="I4" s="407"/>
      <c r="AA4" s="100" t="s">
        <v>484</v>
      </c>
    </row>
    <row r="5" spans="1:32" ht="23">
      <c r="A5" s="1421" t="s">
        <v>679</v>
      </c>
      <c r="B5" s="1422"/>
      <c r="C5" s="1422"/>
      <c r="D5" s="1422"/>
      <c r="E5" s="1422"/>
      <c r="F5" s="1422"/>
      <c r="G5" s="1423"/>
      <c r="H5" s="407"/>
      <c r="I5" s="407"/>
      <c r="AA5" s="100" t="s">
        <v>485</v>
      </c>
      <c r="AB5" s="100"/>
    </row>
    <row r="6" spans="1:32" ht="23">
      <c r="A6" s="1421">
        <f>+'Primary Input'!E5</f>
        <v>0</v>
      </c>
      <c r="B6" s="1422"/>
      <c r="C6" s="1422"/>
      <c r="D6" s="1422"/>
      <c r="E6" s="1422"/>
      <c r="F6" s="1422"/>
      <c r="G6" s="1423"/>
      <c r="H6" s="407"/>
      <c r="I6" s="407"/>
      <c r="AA6" s="100" t="s">
        <v>486</v>
      </c>
      <c r="AB6" s="100">
        <v>117751</v>
      </c>
      <c r="AC6">
        <v>134986</v>
      </c>
      <c r="AD6">
        <v>164141</v>
      </c>
      <c r="AE6">
        <v>212345</v>
      </c>
      <c r="AF6">
        <v>233089</v>
      </c>
    </row>
    <row r="7" spans="1:32">
      <c r="A7" s="480"/>
      <c r="B7" s="281"/>
      <c r="C7" s="281"/>
      <c r="D7" s="281"/>
      <c r="E7" s="281"/>
      <c r="F7" s="281"/>
      <c r="G7" s="479"/>
      <c r="H7" s="407"/>
      <c r="I7" s="407"/>
      <c r="AA7" s="100" t="s">
        <v>487</v>
      </c>
      <c r="AB7" s="100"/>
    </row>
    <row r="8" spans="1:32">
      <c r="A8" s="480"/>
      <c r="B8" s="281"/>
      <c r="C8" s="281"/>
      <c r="D8" s="281"/>
      <c r="E8" s="281"/>
      <c r="F8" s="281"/>
      <c r="G8" s="479"/>
      <c r="H8" s="407"/>
      <c r="I8" s="407"/>
      <c r="AA8" s="100" t="s">
        <v>488</v>
      </c>
      <c r="AB8" s="100"/>
    </row>
    <row r="9" spans="1:32">
      <c r="A9" s="480" t="s">
        <v>469</v>
      </c>
      <c r="B9" s="281"/>
      <c r="C9" s="281"/>
      <c r="D9" s="281"/>
      <c r="E9" s="764">
        <f>+'Primary Input'!E26:G26</f>
        <v>0</v>
      </c>
      <c r="F9" s="281"/>
      <c r="G9" s="479"/>
      <c r="H9" s="407"/>
      <c r="I9" s="407"/>
      <c r="AA9" s="100" t="s">
        <v>489</v>
      </c>
      <c r="AB9" s="100"/>
    </row>
    <row r="10" spans="1:32">
      <c r="A10" s="480" t="s">
        <v>680</v>
      </c>
      <c r="B10" s="281"/>
      <c r="C10" s="281"/>
      <c r="D10" s="281"/>
      <c r="E10" s="524">
        <f>+'Sources and Uses'!F41</f>
        <v>0</v>
      </c>
      <c r="F10" s="281"/>
      <c r="G10" s="479"/>
      <c r="H10" s="407"/>
      <c r="I10" s="407"/>
      <c r="AA10" s="100" t="s">
        <v>490</v>
      </c>
      <c r="AB10" s="100"/>
    </row>
    <row r="11" spans="1:32">
      <c r="A11" s="480" t="s">
        <v>681</v>
      </c>
      <c r="B11" s="281"/>
      <c r="C11" s="281"/>
      <c r="D11" s="281"/>
      <c r="E11" s="524">
        <f>+'Primary Input'!E30:G30</f>
        <v>0</v>
      </c>
      <c r="F11" s="281"/>
      <c r="G11" s="479"/>
      <c r="H11" s="407"/>
      <c r="I11" s="407"/>
      <c r="AA11" s="100" t="s">
        <v>491</v>
      </c>
      <c r="AB11" s="100"/>
    </row>
    <row r="12" spans="1:32">
      <c r="A12" s="480" t="s">
        <v>682</v>
      </c>
      <c r="B12" s="281"/>
      <c r="C12" s="281"/>
      <c r="D12" s="281"/>
      <c r="E12" s="765" t="e">
        <f>+E11/E10</f>
        <v>#DIV/0!</v>
      </c>
      <c r="F12" s="281"/>
      <c r="G12" s="479"/>
      <c r="H12" s="407"/>
      <c r="I12" s="407"/>
      <c r="AA12" s="100" t="s">
        <v>492</v>
      </c>
      <c r="AB12" s="100"/>
    </row>
    <row r="13" spans="1:32">
      <c r="A13" s="480" t="s">
        <v>683</v>
      </c>
      <c r="B13" s="281"/>
      <c r="C13" s="281"/>
      <c r="D13" s="281"/>
      <c r="E13" s="766" t="e">
        <f>+E9*E12</f>
        <v>#DIV/0!</v>
      </c>
      <c r="F13" s="281"/>
      <c r="G13" s="479"/>
      <c r="H13" s="407"/>
      <c r="I13" s="407"/>
      <c r="AA13" s="100"/>
      <c r="AB13" s="100"/>
    </row>
    <row r="14" spans="1:32">
      <c r="A14" s="481" t="s">
        <v>111</v>
      </c>
      <c r="B14" s="281"/>
      <c r="C14" s="281"/>
      <c r="D14" s="281"/>
      <c r="E14" s="767">
        <f>+'Primary Input'!E8:G8</f>
        <v>0</v>
      </c>
      <c r="F14" s="281"/>
      <c r="G14" s="479"/>
      <c r="H14" s="407"/>
      <c r="I14" s="407"/>
      <c r="AA14" s="100"/>
      <c r="AB14" s="100"/>
    </row>
    <row r="15" spans="1:32">
      <c r="A15" s="481" t="s">
        <v>701</v>
      </c>
      <c r="B15" s="281"/>
      <c r="C15" s="281"/>
      <c r="D15" s="281"/>
      <c r="E15" s="768">
        <f>IF('Primary Input'!E8="",0,VLOOKUP('Primary Input'!E8,'Primary Input'!AS4:AT70,2))</f>
        <v>0</v>
      </c>
      <c r="F15" s="281"/>
      <c r="G15" s="479"/>
      <c r="H15" s="407"/>
      <c r="I15" s="407"/>
      <c r="AA15" s="100"/>
      <c r="AB15" s="100"/>
    </row>
    <row r="16" spans="1:32">
      <c r="A16" s="480" t="s">
        <v>684</v>
      </c>
      <c r="B16" s="281"/>
      <c r="C16" s="281"/>
      <c r="D16" s="281"/>
      <c r="E16" s="768">
        <f>IF('Primary Input'!E8="",0,VLOOKUP('Primary Input'!E8,'Primary Input'!AS4:AX70,3))</f>
        <v>0</v>
      </c>
      <c r="F16" s="281"/>
      <c r="G16" s="479"/>
      <c r="H16" s="407"/>
      <c r="I16" s="407"/>
      <c r="AA16" s="100"/>
      <c r="AB16" s="100"/>
    </row>
    <row r="17" spans="1:32">
      <c r="A17" s="480" t="s">
        <v>685</v>
      </c>
      <c r="B17" s="281"/>
      <c r="C17" s="281"/>
      <c r="D17" s="281"/>
      <c r="E17" s="768">
        <f>IF('Primary Input'!E8="",0,VLOOKUP('Primary Input'!E8,'Primary Input'!AS4:AX70,4))</f>
        <v>0</v>
      </c>
      <c r="F17" s="281"/>
      <c r="G17" s="479"/>
      <c r="H17" s="407"/>
      <c r="I17" s="407"/>
      <c r="AA17" s="100"/>
      <c r="AB17" s="100"/>
    </row>
    <row r="18" spans="1:32">
      <c r="A18" s="480" t="s">
        <v>686</v>
      </c>
      <c r="B18" s="281"/>
      <c r="C18" s="281"/>
      <c r="D18" s="281"/>
      <c r="E18" s="768">
        <f>IF('Primary Input'!E8="",0,VLOOKUP('Primary Input'!E8,'Primary Input'!AS4:AX70,5))</f>
        <v>0</v>
      </c>
      <c r="F18" s="281"/>
      <c r="G18" s="479"/>
      <c r="H18" s="407"/>
      <c r="I18" s="407"/>
      <c r="AA18" s="100" t="s">
        <v>493</v>
      </c>
      <c r="AB18" s="100"/>
    </row>
    <row r="19" spans="1:32">
      <c r="A19" s="480" t="s">
        <v>687</v>
      </c>
      <c r="B19" s="281"/>
      <c r="C19" s="281"/>
      <c r="D19" s="281"/>
      <c r="E19" s="768">
        <f>IF('Primary Input'!E8="",0,VLOOKUP('Primary Input'!E8,'Primary Input'!AS4:AX70,6))</f>
        <v>0</v>
      </c>
      <c r="F19" s="281"/>
      <c r="G19" s="479"/>
      <c r="H19" s="407"/>
      <c r="I19" s="407"/>
      <c r="AA19" s="100" t="s">
        <v>494</v>
      </c>
      <c r="AB19" s="100"/>
    </row>
    <row r="20" spans="1:32">
      <c r="A20" s="481" t="s">
        <v>710</v>
      </c>
      <c r="B20" s="281"/>
      <c r="C20" s="281"/>
      <c r="D20" s="281"/>
      <c r="E20" s="524" t="e">
        <f>+F33</f>
        <v>#DIV/0!</v>
      </c>
      <c r="F20" s="281"/>
      <c r="G20" s="479"/>
      <c r="H20" s="407"/>
      <c r="I20" s="407"/>
      <c r="AA20" s="100" t="s">
        <v>495</v>
      </c>
      <c r="AB20" s="100"/>
    </row>
    <row r="21" spans="1:32">
      <c r="A21" s="481" t="s">
        <v>707</v>
      </c>
      <c r="B21" s="281"/>
      <c r="C21" s="281"/>
      <c r="D21" s="281"/>
      <c r="E21" s="769" t="e">
        <f>+IF(E11&lt;=E20, "Yes", "Project Fails Test")</f>
        <v>#DIV/0!</v>
      </c>
      <c r="F21" s="281"/>
      <c r="G21" s="479"/>
      <c r="H21" s="407"/>
      <c r="I21" s="407"/>
      <c r="AA21" s="100" t="s">
        <v>496</v>
      </c>
      <c r="AB21" s="100"/>
    </row>
    <row r="22" spans="1:32" ht="45" customHeight="1">
      <c r="A22" s="1424" t="s">
        <v>880</v>
      </c>
      <c r="B22" s="1425"/>
      <c r="C22" s="1425"/>
      <c r="D22" s="1425"/>
      <c r="E22" s="1425"/>
      <c r="F22" s="1425"/>
      <c r="G22" s="1426"/>
      <c r="H22" s="407"/>
      <c r="I22" s="407"/>
      <c r="AA22" s="100" t="s">
        <v>497</v>
      </c>
      <c r="AB22" s="100"/>
    </row>
    <row r="23" spans="1:32" ht="12.75" customHeight="1">
      <c r="A23" s="1427"/>
      <c r="B23" s="1428"/>
      <c r="C23" s="1428"/>
      <c r="D23" s="1428"/>
      <c r="E23" s="1428"/>
      <c r="F23" s="1428"/>
      <c r="G23" s="1429"/>
      <c r="H23" s="407"/>
      <c r="I23" s="407"/>
      <c r="AA23" s="100" t="s">
        <v>498</v>
      </c>
      <c r="AB23" s="100"/>
    </row>
    <row r="24" spans="1:32">
      <c r="A24" s="480"/>
      <c r="B24" s="281"/>
      <c r="C24" s="281"/>
      <c r="D24" s="281"/>
      <c r="E24" s="281"/>
      <c r="F24" s="281"/>
      <c r="G24" s="479"/>
      <c r="H24" s="407"/>
      <c r="I24" s="407"/>
      <c r="AA24" s="100" t="s">
        <v>499</v>
      </c>
      <c r="AB24" s="100"/>
    </row>
    <row r="25" spans="1:32">
      <c r="A25" s="484" t="s">
        <v>688</v>
      </c>
      <c r="B25" s="485"/>
      <c r="C25" s="485"/>
      <c r="D25" s="485"/>
      <c r="E25" s="485"/>
      <c r="F25" s="485"/>
      <c r="G25" s="486"/>
      <c r="H25" s="407"/>
      <c r="I25" s="407"/>
      <c r="AA25" s="100" t="s">
        <v>500</v>
      </c>
      <c r="AB25" s="100">
        <v>117751</v>
      </c>
      <c r="AC25">
        <v>134986</v>
      </c>
      <c r="AD25">
        <v>164141</v>
      </c>
      <c r="AE25">
        <v>212345</v>
      </c>
      <c r="AF25">
        <v>233089</v>
      </c>
    </row>
    <row r="26" spans="1:32" ht="42">
      <c r="A26" s="487" t="s">
        <v>689</v>
      </c>
      <c r="B26" s="258" t="s">
        <v>690</v>
      </c>
      <c r="C26" s="488" t="s">
        <v>691</v>
      </c>
      <c r="D26" s="488" t="s">
        <v>692</v>
      </c>
      <c r="E26" s="488" t="s">
        <v>693</v>
      </c>
      <c r="F26" s="488" t="s">
        <v>694</v>
      </c>
      <c r="G26" s="489"/>
      <c r="H26" s="407"/>
      <c r="I26" s="407"/>
      <c r="AA26" s="100" t="s">
        <v>501</v>
      </c>
      <c r="AB26" s="100"/>
    </row>
    <row r="27" spans="1:32">
      <c r="A27" s="480" t="s">
        <v>695</v>
      </c>
      <c r="B27" s="517">
        <f>+'Primary Input'!E44</f>
        <v>0</v>
      </c>
      <c r="C27" s="518" t="e">
        <f>+E12</f>
        <v>#DIV/0!</v>
      </c>
      <c r="D27" s="519" t="e">
        <f t="shared" ref="D27:D32" si="0">ROUNDUP(+C27*B27,0)</f>
        <v>#DIV/0!</v>
      </c>
      <c r="E27" s="520">
        <f>+E15</f>
        <v>0</v>
      </c>
      <c r="F27" s="521" t="e">
        <f>+D27*E27</f>
        <v>#DIV/0!</v>
      </c>
      <c r="G27" s="479"/>
      <c r="H27" s="407"/>
      <c r="I27" s="407"/>
      <c r="AA27" s="100" t="s">
        <v>502</v>
      </c>
      <c r="AB27" s="100">
        <v>117751</v>
      </c>
      <c r="AC27">
        <v>134986</v>
      </c>
      <c r="AD27">
        <v>164141</v>
      </c>
      <c r="AE27">
        <v>212345</v>
      </c>
      <c r="AF27">
        <v>233089</v>
      </c>
    </row>
    <row r="28" spans="1:32">
      <c r="A28" s="480" t="s">
        <v>696</v>
      </c>
      <c r="B28" s="517">
        <f>+'Primary Input'!E45</f>
        <v>0</v>
      </c>
      <c r="C28" s="518" t="e">
        <f>+E12</f>
        <v>#DIV/0!</v>
      </c>
      <c r="D28" s="519" t="e">
        <f t="shared" si="0"/>
        <v>#DIV/0!</v>
      </c>
      <c r="E28" s="520">
        <f>+E16</f>
        <v>0</v>
      </c>
      <c r="F28" s="521" t="e">
        <f>+E28*D28</f>
        <v>#DIV/0!</v>
      </c>
      <c r="G28" s="479"/>
      <c r="H28" s="407"/>
      <c r="I28" s="407"/>
      <c r="AA28" s="100" t="s">
        <v>503</v>
      </c>
      <c r="AB28" s="100"/>
    </row>
    <row r="29" spans="1:32">
      <c r="A29" s="480" t="s">
        <v>697</v>
      </c>
      <c r="B29" s="517">
        <f>+'Primary Input'!E46</f>
        <v>0</v>
      </c>
      <c r="C29" s="518" t="e">
        <f>+E12</f>
        <v>#DIV/0!</v>
      </c>
      <c r="D29" s="519" t="e">
        <f t="shared" si="0"/>
        <v>#DIV/0!</v>
      </c>
      <c r="E29" s="520">
        <f>+E17</f>
        <v>0</v>
      </c>
      <c r="F29" s="521" t="e">
        <f>+E29*D29</f>
        <v>#DIV/0!</v>
      </c>
      <c r="G29" s="479"/>
      <c r="H29" s="407"/>
      <c r="I29" s="407"/>
      <c r="AA29" s="100"/>
      <c r="AB29" s="100"/>
    </row>
    <row r="30" spans="1:32">
      <c r="A30" s="480" t="s">
        <v>146</v>
      </c>
      <c r="B30" s="517">
        <f>+'Primary Input'!E47</f>
        <v>0</v>
      </c>
      <c r="C30" s="518" t="e">
        <f>+E12</f>
        <v>#DIV/0!</v>
      </c>
      <c r="D30" s="519" t="e">
        <f t="shared" si="0"/>
        <v>#DIV/0!</v>
      </c>
      <c r="E30" s="520">
        <f>+E18</f>
        <v>0</v>
      </c>
      <c r="F30" s="521" t="e">
        <f>+E30*D30</f>
        <v>#DIV/0!</v>
      </c>
      <c r="G30" s="479"/>
      <c r="H30" s="407"/>
      <c r="I30" s="407"/>
      <c r="AA30" s="100"/>
      <c r="AB30" s="100"/>
    </row>
    <row r="31" spans="1:32">
      <c r="A31" s="480" t="s">
        <v>147</v>
      </c>
      <c r="B31" s="517">
        <f>+'Primary Input'!E48</f>
        <v>0</v>
      </c>
      <c r="C31" s="518" t="e">
        <f>+E12</f>
        <v>#DIV/0!</v>
      </c>
      <c r="D31" s="519" t="e">
        <f t="shared" si="0"/>
        <v>#DIV/0!</v>
      </c>
      <c r="E31" s="520">
        <f>+E19</f>
        <v>0</v>
      </c>
      <c r="F31" s="521" t="e">
        <f>+E31*D31</f>
        <v>#DIV/0!</v>
      </c>
      <c r="G31" s="479"/>
      <c r="H31" s="407"/>
      <c r="I31" s="407"/>
      <c r="AA31" s="100"/>
      <c r="AB31" s="100"/>
    </row>
    <row r="32" spans="1:32">
      <c r="A32" s="480" t="s">
        <v>39</v>
      </c>
      <c r="B32" s="517">
        <f>+'Primary Input'!E49+'Primary Input'!E50</f>
        <v>0</v>
      </c>
      <c r="C32" s="518" t="e">
        <f>+E12</f>
        <v>#DIV/0!</v>
      </c>
      <c r="D32" s="519" t="e">
        <f t="shared" si="0"/>
        <v>#DIV/0!</v>
      </c>
      <c r="E32" s="520">
        <f>+E19</f>
        <v>0</v>
      </c>
      <c r="F32" s="521" t="e">
        <f>+E32*D32</f>
        <v>#DIV/0!</v>
      </c>
      <c r="G32" s="479"/>
      <c r="H32" s="407"/>
      <c r="I32" s="407"/>
      <c r="AA32" s="100" t="s">
        <v>504</v>
      </c>
      <c r="AB32" s="100"/>
    </row>
    <row r="33" spans="1:32">
      <c r="A33" s="490" t="s">
        <v>158</v>
      </c>
      <c r="B33" s="522">
        <f>SUM(B27:B32)</f>
        <v>0</v>
      </c>
      <c r="C33" s="523"/>
      <c r="D33" s="522" t="e">
        <f>SUM(D27:D32)</f>
        <v>#DIV/0!</v>
      </c>
      <c r="E33" s="522"/>
      <c r="F33" s="524" t="e">
        <f>SUM(F27:F32)</f>
        <v>#DIV/0!</v>
      </c>
      <c r="G33" s="479"/>
      <c r="H33" s="407"/>
      <c r="I33" s="407"/>
      <c r="AA33" s="100" t="s">
        <v>505</v>
      </c>
      <c r="AB33" s="100"/>
    </row>
    <row r="34" spans="1:32" ht="39.75" customHeight="1" thickBot="1">
      <c r="A34" s="491"/>
      <c r="B34" s="492"/>
      <c r="C34" s="1416" t="e">
        <f>IF('Primary Input'!E27&lt;SLR!D33, "Invalid Input on Primary Input Tab. Please Correct (HOME Assisted units must equal number shown here)", "OK")</f>
        <v>#DIV/0!</v>
      </c>
      <c r="D34" s="1416"/>
      <c r="E34" s="1416"/>
      <c r="F34" s="1416"/>
      <c r="G34" s="1417"/>
      <c r="H34" s="407"/>
      <c r="I34" s="407"/>
      <c r="AA34" s="100" t="s">
        <v>506</v>
      </c>
      <c r="AB34" s="100">
        <v>117751</v>
      </c>
      <c r="AC34">
        <v>134986</v>
      </c>
      <c r="AD34">
        <v>164141</v>
      </c>
      <c r="AE34">
        <v>212345</v>
      </c>
      <c r="AF34">
        <v>233089</v>
      </c>
    </row>
    <row r="35" spans="1:32" ht="14" thickTop="1">
      <c r="A35" s="407"/>
      <c r="B35" s="407"/>
      <c r="C35" s="407"/>
      <c r="D35" s="407"/>
      <c r="E35" s="407"/>
      <c r="F35" s="407"/>
      <c r="G35" s="407"/>
      <c r="H35" s="407"/>
      <c r="I35" s="407"/>
      <c r="AA35" s="100" t="s">
        <v>507</v>
      </c>
      <c r="AB35" s="100"/>
    </row>
    <row r="36" spans="1:32" ht="48" customHeight="1">
      <c r="A36" s="1415" t="s">
        <v>713</v>
      </c>
      <c r="B36" s="1415"/>
      <c r="C36" s="1415"/>
      <c r="D36" s="1415"/>
      <c r="E36" s="1415"/>
      <c r="F36" s="1415"/>
      <c r="G36" s="1415"/>
      <c r="H36" s="407"/>
      <c r="I36" s="407"/>
      <c r="AA36" s="100" t="s">
        <v>508</v>
      </c>
      <c r="AB36" s="100"/>
    </row>
    <row r="37" spans="1:32" ht="14" thickBot="1">
      <c r="A37" s="407"/>
      <c r="B37" s="407"/>
      <c r="C37" s="407"/>
      <c r="D37" s="407"/>
      <c r="E37" s="407"/>
      <c r="F37" s="407"/>
      <c r="G37" s="407"/>
      <c r="H37" s="407"/>
      <c r="I37" s="407"/>
      <c r="AA37" s="100" t="s">
        <v>509</v>
      </c>
      <c r="AB37" s="100"/>
    </row>
    <row r="38" spans="1:32" ht="44" thickTop="1" thickBot="1">
      <c r="A38" s="493" t="s">
        <v>702</v>
      </c>
      <c r="B38" s="494" t="s">
        <v>703</v>
      </c>
      <c r="C38" s="494" t="s">
        <v>735</v>
      </c>
      <c r="D38" s="494" t="s">
        <v>705</v>
      </c>
      <c r="E38" s="494" t="s">
        <v>733</v>
      </c>
      <c r="F38" s="494" t="s">
        <v>736</v>
      </c>
      <c r="G38" s="494" t="s">
        <v>704</v>
      </c>
      <c r="H38" s="495" t="s">
        <v>734</v>
      </c>
      <c r="I38" s="407"/>
      <c r="AA38" s="100" t="s">
        <v>510</v>
      </c>
      <c r="AB38" s="100"/>
    </row>
    <row r="39" spans="1:32" ht="14" thickTop="1">
      <c r="A39" s="243">
        <v>0</v>
      </c>
      <c r="B39" s="525">
        <f>IF('Primary Input'!E8="",0,VLOOKUP('Primary Input'!E8,'Primary Input'!BE4:BT75,12))</f>
        <v>0</v>
      </c>
      <c r="C39" s="526">
        <f>+'Rental Income'!W3</f>
        <v>0</v>
      </c>
      <c r="D39" s="527">
        <f>IF('Primary Input'!E8="",0,VLOOKUP('Primary Input'!E8,'Primary Input'!BE4:BT75,3))</f>
        <v>0</v>
      </c>
      <c r="E39" s="528" t="e">
        <f>+'Rental Income'!Z3</f>
        <v>#N/A</v>
      </c>
      <c r="F39" s="529">
        <f>+'Rental Income'!X3</f>
        <v>0</v>
      </c>
      <c r="G39" s="527">
        <f>IF('Primary Input'!E8="",0,VLOOKUP('Primary Input'!E8,'Primary Input'!BE4:BT75,2))</f>
        <v>0</v>
      </c>
      <c r="H39" s="530" t="e">
        <f>+'Rental Income'!Y3</f>
        <v>#N/A</v>
      </c>
      <c r="I39" s="407"/>
      <c r="AA39" s="100" t="s">
        <v>511</v>
      </c>
      <c r="AB39" s="100"/>
    </row>
    <row r="40" spans="1:32">
      <c r="A40" s="243">
        <v>1</v>
      </c>
      <c r="B40" s="531">
        <f>IF('Primary Input'!E8="",0,VLOOKUP('Primary Input'!E8,'Primary Input'!BE4:BT75,13))</f>
        <v>0</v>
      </c>
      <c r="C40" s="520">
        <f>+'Rental Income'!W4</f>
        <v>0</v>
      </c>
      <c r="D40" s="532">
        <f>IF('Primary Input'!E8="",0,VLOOKUP('Primary Input'!E8,'Primary Input'!BE4:BT75,5))</f>
        <v>0</v>
      </c>
      <c r="E40" s="500" t="e">
        <f>+'Rental Income'!Z4</f>
        <v>#N/A</v>
      </c>
      <c r="F40" s="501">
        <f>+'Rental Income'!X4</f>
        <v>0</v>
      </c>
      <c r="G40" s="532">
        <f>IF('Primary Input'!E8="",0,VLOOKUP('Primary Input'!E8,'Primary Input'!BE4:BT75,4))</f>
        <v>0</v>
      </c>
      <c r="H40" s="533" t="e">
        <f>+'Rental Income'!Y4</f>
        <v>#N/A</v>
      </c>
      <c r="I40" s="407"/>
      <c r="AA40" s="100" t="s">
        <v>512</v>
      </c>
      <c r="AB40" s="100"/>
    </row>
    <row r="41" spans="1:32">
      <c r="A41" s="243">
        <v>2</v>
      </c>
      <c r="B41" s="531">
        <f>IF('Primary Input'!E8="",0,VLOOKUP('Primary Input'!E8,'Primary Input'!BE4:BT75,14))</f>
        <v>0</v>
      </c>
      <c r="C41" s="520">
        <f>+'Rental Income'!W5</f>
        <v>0</v>
      </c>
      <c r="D41" s="532">
        <f>IF('Primary Input'!E8="",0,VLOOKUP('Primary Input'!E8,'Primary Input'!BE4:BT75,7))</f>
        <v>0</v>
      </c>
      <c r="E41" s="500" t="e">
        <f>+'Rental Income'!Z5</f>
        <v>#N/A</v>
      </c>
      <c r="F41" s="501">
        <f>+'Rental Income'!X5</f>
        <v>0</v>
      </c>
      <c r="G41" s="532">
        <f>IF('Primary Input'!E8="",0,VLOOKUP('Primary Input'!E8,'Primary Input'!BE4:BT75,6))</f>
        <v>0</v>
      </c>
      <c r="H41" s="533" t="e">
        <f>+'Rental Income'!Y5</f>
        <v>#N/A</v>
      </c>
      <c r="I41" s="407"/>
      <c r="AA41" s="100" t="s">
        <v>513</v>
      </c>
      <c r="AB41" s="100"/>
    </row>
    <row r="42" spans="1:32">
      <c r="A42" s="243">
        <v>3</v>
      </c>
      <c r="B42" s="531">
        <f>IF('Primary Input'!E8="",0,VLOOKUP('Primary Input'!E8,'Primary Input'!BE4:BT75,15))</f>
        <v>0</v>
      </c>
      <c r="C42" s="520">
        <f>+'Rental Income'!W6</f>
        <v>0</v>
      </c>
      <c r="D42" s="532">
        <f>IF('Primary Input'!E8="",0,VLOOKUP('Primary Input'!E8,'Primary Input'!BE4:BT75,9))</f>
        <v>0</v>
      </c>
      <c r="E42" s="500" t="e">
        <f>+'Rental Income'!Z6</f>
        <v>#N/A</v>
      </c>
      <c r="F42" s="501">
        <f>+'Rental Income'!X6</f>
        <v>0</v>
      </c>
      <c r="G42" s="532">
        <f>IF('Primary Input'!E8="",0,VLOOKUP('Primary Input'!E8,'Primary Input'!BE4:BT75,8))</f>
        <v>0</v>
      </c>
      <c r="H42" s="533" t="e">
        <f>+'Rental Income'!Y6</f>
        <v>#N/A</v>
      </c>
      <c r="I42" s="407"/>
      <c r="AA42" s="100" t="s">
        <v>514</v>
      </c>
      <c r="AB42" s="100">
        <v>117751</v>
      </c>
      <c r="AC42">
        <v>134986</v>
      </c>
      <c r="AD42">
        <v>164141</v>
      </c>
      <c r="AE42">
        <v>212345</v>
      </c>
      <c r="AF42">
        <v>233089</v>
      </c>
    </row>
    <row r="43" spans="1:32" ht="14" thickBot="1">
      <c r="A43" s="243">
        <v>4</v>
      </c>
      <c r="B43" s="534">
        <f>IF('Primary Input'!E8="",0,VLOOKUP('Primary Input'!E8,'Primary Input'!BE4:BT75,16))</f>
        <v>0</v>
      </c>
      <c r="C43" s="535">
        <f>+'Rental Income'!W7</f>
        <v>0</v>
      </c>
      <c r="D43" s="536">
        <f>IF('Primary Input'!E8="",0,VLOOKUP('Primary Input'!E8,'Primary Input'!BE4:BT75,11))</f>
        <v>0</v>
      </c>
      <c r="E43" s="537" t="e">
        <f>+'Rental Income'!Z7</f>
        <v>#N/A</v>
      </c>
      <c r="F43" s="538">
        <f>+'Rental Income'!X7</f>
        <v>0</v>
      </c>
      <c r="G43" s="536">
        <f>IF('Primary Input'!E8="",0,VLOOKUP('Primary Input'!E8,'Primary Input'!BE4:BT75,10))</f>
        <v>0</v>
      </c>
      <c r="H43" s="539" t="e">
        <f>+'Rental Income'!Y7</f>
        <v>#N/A</v>
      </c>
      <c r="I43" s="407"/>
      <c r="AA43" s="100" t="s">
        <v>515</v>
      </c>
      <c r="AB43" s="100"/>
    </row>
    <row r="44" spans="1:32" ht="15" thickTop="1" thickBot="1">
      <c r="A44" s="259"/>
      <c r="B44" s="260"/>
      <c r="C44" s="260"/>
      <c r="D44" s="260"/>
      <c r="E44" s="260"/>
      <c r="F44" s="260"/>
      <c r="G44" s="260"/>
      <c r="H44" s="289"/>
      <c r="I44" s="407"/>
      <c r="AA44" s="100" t="s">
        <v>516</v>
      </c>
      <c r="AB44" s="100"/>
    </row>
    <row r="45" spans="1:32" ht="14" thickTop="1">
      <c r="A45" s="407"/>
      <c r="B45" s="407"/>
      <c r="C45" s="407"/>
      <c r="D45" s="407"/>
      <c r="E45" s="407"/>
      <c r="F45" s="407"/>
      <c r="G45" s="407"/>
      <c r="H45" s="407"/>
      <c r="I45" s="407"/>
      <c r="AA45" s="100" t="s">
        <v>517</v>
      </c>
      <c r="AB45" s="100"/>
    </row>
    <row r="46" spans="1:32">
      <c r="A46" s="407"/>
      <c r="B46" s="407"/>
      <c r="C46" s="407"/>
      <c r="D46" s="407"/>
      <c r="E46" s="407"/>
      <c r="F46" s="407"/>
      <c r="G46" s="407"/>
      <c r="H46" s="407"/>
      <c r="I46" s="407"/>
      <c r="AA46" s="100" t="s">
        <v>518</v>
      </c>
      <c r="AB46" s="100"/>
    </row>
    <row r="47" spans="1:32">
      <c r="AA47" s="100" t="s">
        <v>519</v>
      </c>
      <c r="AB47" s="100"/>
    </row>
    <row r="48" spans="1:32">
      <c r="AA48" s="100" t="s">
        <v>520</v>
      </c>
      <c r="AB48" s="100"/>
    </row>
    <row r="49" spans="27:32">
      <c r="AA49" s="100" t="s">
        <v>521</v>
      </c>
      <c r="AB49" s="100">
        <v>117751</v>
      </c>
      <c r="AC49">
        <v>134986</v>
      </c>
      <c r="AD49">
        <v>164141</v>
      </c>
      <c r="AE49">
        <v>212345</v>
      </c>
      <c r="AF49">
        <v>233089</v>
      </c>
    </row>
    <row r="50" spans="27:32">
      <c r="AA50" s="100" t="s">
        <v>522</v>
      </c>
      <c r="AB50" s="100"/>
    </row>
    <row r="51" spans="27:32">
      <c r="AA51" s="100" t="s">
        <v>523</v>
      </c>
      <c r="AB51" s="100"/>
    </row>
    <row r="52" spans="27:32">
      <c r="AA52" s="100" t="s">
        <v>524</v>
      </c>
      <c r="AB52" s="100"/>
    </row>
    <row r="53" spans="27:32">
      <c r="AA53" s="100" t="s">
        <v>525</v>
      </c>
      <c r="AB53" s="100"/>
    </row>
    <row r="54" spans="27:32">
      <c r="AA54" s="100" t="s">
        <v>526</v>
      </c>
      <c r="AB54" s="100"/>
    </row>
    <row r="55" spans="27:32">
      <c r="AA55" s="100" t="s">
        <v>527</v>
      </c>
      <c r="AB55" s="100"/>
    </row>
    <row r="56" spans="27:32">
      <c r="AA56" s="100" t="s">
        <v>528</v>
      </c>
      <c r="AB56" s="100">
        <v>117751</v>
      </c>
      <c r="AC56">
        <v>134986</v>
      </c>
      <c r="AD56">
        <v>164141</v>
      </c>
      <c r="AE56">
        <v>212345</v>
      </c>
      <c r="AF56">
        <v>233089</v>
      </c>
    </row>
    <row r="57" spans="27:32">
      <c r="AA57" s="100" t="s">
        <v>529</v>
      </c>
      <c r="AB57" s="100"/>
    </row>
    <row r="58" spans="27:32">
      <c r="AA58" s="100" t="s">
        <v>530</v>
      </c>
      <c r="AB58" s="100"/>
    </row>
    <row r="59" spans="27:32">
      <c r="AA59" s="100" t="s">
        <v>531</v>
      </c>
      <c r="AB59" s="100"/>
    </row>
    <row r="60" spans="27:32">
      <c r="AA60" s="100" t="s">
        <v>532</v>
      </c>
      <c r="AB60" s="100"/>
    </row>
    <row r="61" spans="27:32">
      <c r="AA61" s="100" t="s">
        <v>533</v>
      </c>
      <c r="AB61" s="100"/>
    </row>
    <row r="62" spans="27:32">
      <c r="AA62" s="100" t="s">
        <v>534</v>
      </c>
      <c r="AB62" s="100"/>
    </row>
    <row r="63" spans="27:32">
      <c r="AA63" s="100" t="s">
        <v>535</v>
      </c>
      <c r="AB63" s="100"/>
    </row>
    <row r="64" spans="27:32">
      <c r="AA64" s="100" t="s">
        <v>536</v>
      </c>
      <c r="AB64" s="100"/>
    </row>
    <row r="65" spans="27:32">
      <c r="AA65" s="100" t="s">
        <v>537</v>
      </c>
      <c r="AB65" s="100"/>
    </row>
    <row r="66" spans="27:32">
      <c r="AA66" s="100" t="s">
        <v>538</v>
      </c>
      <c r="AB66" s="100"/>
    </row>
    <row r="67" spans="27:32">
      <c r="AA67" s="100" t="s">
        <v>539</v>
      </c>
      <c r="AB67" s="100"/>
    </row>
    <row r="68" spans="27:32">
      <c r="AA68" s="100" t="s">
        <v>540</v>
      </c>
      <c r="AB68" s="100"/>
    </row>
    <row r="69" spans="27:32">
      <c r="AA69" s="100" t="s">
        <v>541</v>
      </c>
      <c r="AB69" s="100"/>
    </row>
    <row r="70" spans="27:32">
      <c r="AA70" s="100" t="s">
        <v>542</v>
      </c>
      <c r="AB70" s="100"/>
    </row>
    <row r="71" spans="27:32">
      <c r="AA71" s="100" t="s">
        <v>543</v>
      </c>
      <c r="AB71" s="100">
        <v>117751</v>
      </c>
      <c r="AC71">
        <v>134986</v>
      </c>
      <c r="AD71">
        <v>164141</v>
      </c>
      <c r="AE71">
        <v>212345</v>
      </c>
      <c r="AF71">
        <v>233089</v>
      </c>
    </row>
    <row r="72" spans="27:32">
      <c r="AA72" s="100" t="s">
        <v>544</v>
      </c>
      <c r="AB72" s="100"/>
    </row>
    <row r="73" spans="27:32">
      <c r="AA73" s="100" t="s">
        <v>545</v>
      </c>
      <c r="AB73" s="100">
        <v>117751</v>
      </c>
      <c r="AC73">
        <v>134986</v>
      </c>
      <c r="AD73">
        <v>164141</v>
      </c>
      <c r="AE73">
        <v>212345</v>
      </c>
      <c r="AF73">
        <v>233089</v>
      </c>
    </row>
    <row r="74" spans="27:32">
      <c r="AA74" s="100" t="s">
        <v>546</v>
      </c>
      <c r="AB74" s="100"/>
    </row>
  </sheetData>
  <mergeCells count="10">
    <mergeCell ref="A36:G36"/>
    <mergeCell ref="C34:G34"/>
    <mergeCell ref="F1:G1"/>
    <mergeCell ref="F2:G2"/>
    <mergeCell ref="A4:G4"/>
    <mergeCell ref="A5:G5"/>
    <mergeCell ref="A6:G6"/>
    <mergeCell ref="A22:G22"/>
    <mergeCell ref="A23:G23"/>
    <mergeCell ref="A3:G3"/>
  </mergeCells>
  <pageMargins left="0.7" right="0.7" top="0.75" bottom="0.75" header="0.3" footer="0.3"/>
  <pageSetup scale="7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R101"/>
  <sheetViews>
    <sheetView workbookViewId="0">
      <selection activeCell="C83" sqref="C83"/>
    </sheetView>
  </sheetViews>
  <sheetFormatPr baseColWidth="10" defaultColWidth="9.1640625" defaultRowHeight="13"/>
  <cols>
    <col min="1" max="1" width="5.5" style="859" bestFit="1" customWidth="1"/>
    <col min="2" max="2" width="10.6640625" style="859" bestFit="1" customWidth="1"/>
    <col min="3" max="3" width="19.5" style="859" bestFit="1" customWidth="1"/>
    <col min="4" max="4" width="35.83203125" style="859" bestFit="1" customWidth="1"/>
    <col min="5" max="5" width="17.6640625" style="859" bestFit="1" customWidth="1"/>
    <col min="6" max="6" width="13" style="859" customWidth="1"/>
    <col min="7" max="27" width="10.5" style="859" bestFit="1" customWidth="1"/>
    <col min="28" max="28" width="13.83203125" style="861" bestFit="1" customWidth="1"/>
    <col min="29" max="41" width="13.83203125" style="859" bestFit="1" customWidth="1"/>
    <col min="42" max="42" width="9.1640625" style="859"/>
    <col min="43" max="43" width="28" style="859" customWidth="1"/>
    <col min="44" max="16384" width="9.1640625" style="859"/>
  </cols>
  <sheetData>
    <row r="1" spans="1:42">
      <c r="G1" s="882" t="s">
        <v>1215</v>
      </c>
      <c r="H1" s="859" t="str">
        <f>+G1</f>
        <v>2018 Rents</v>
      </c>
      <c r="I1" s="859" t="str">
        <f t="shared" ref="I1:AO1" si="0">+H1</f>
        <v>2018 Rents</v>
      </c>
      <c r="J1" s="859" t="str">
        <f t="shared" si="0"/>
        <v>2018 Rents</v>
      </c>
      <c r="K1" s="859" t="str">
        <f t="shared" si="0"/>
        <v>2018 Rents</v>
      </c>
      <c r="L1" s="859" t="str">
        <f t="shared" si="0"/>
        <v>2018 Rents</v>
      </c>
      <c r="M1" s="859" t="str">
        <f t="shared" si="0"/>
        <v>2018 Rents</v>
      </c>
      <c r="N1" s="859" t="str">
        <f t="shared" si="0"/>
        <v>2018 Rents</v>
      </c>
      <c r="O1" s="859" t="str">
        <f t="shared" si="0"/>
        <v>2018 Rents</v>
      </c>
      <c r="P1" s="859" t="str">
        <f t="shared" si="0"/>
        <v>2018 Rents</v>
      </c>
      <c r="Q1" s="859" t="str">
        <f t="shared" si="0"/>
        <v>2018 Rents</v>
      </c>
      <c r="R1" s="859" t="str">
        <f t="shared" si="0"/>
        <v>2018 Rents</v>
      </c>
      <c r="S1" s="859" t="str">
        <f t="shared" si="0"/>
        <v>2018 Rents</v>
      </c>
      <c r="T1" s="859" t="str">
        <f t="shared" si="0"/>
        <v>2018 Rents</v>
      </c>
      <c r="U1" s="859" t="str">
        <f t="shared" si="0"/>
        <v>2018 Rents</v>
      </c>
      <c r="V1" s="859" t="str">
        <f t="shared" si="0"/>
        <v>2018 Rents</v>
      </c>
      <c r="W1" s="859" t="str">
        <f t="shared" si="0"/>
        <v>2018 Rents</v>
      </c>
      <c r="X1" s="859" t="str">
        <f t="shared" si="0"/>
        <v>2018 Rents</v>
      </c>
      <c r="Y1" s="859" t="str">
        <f t="shared" si="0"/>
        <v>2018 Rents</v>
      </c>
      <c r="Z1" s="859" t="str">
        <f t="shared" si="0"/>
        <v>2018 Rents</v>
      </c>
      <c r="AA1" s="859" t="str">
        <f t="shared" si="0"/>
        <v>2018 Rents</v>
      </c>
      <c r="AB1" s="859" t="str">
        <f t="shared" si="0"/>
        <v>2018 Rents</v>
      </c>
      <c r="AC1" s="859" t="str">
        <f t="shared" si="0"/>
        <v>2018 Rents</v>
      </c>
      <c r="AD1" s="859" t="str">
        <f t="shared" si="0"/>
        <v>2018 Rents</v>
      </c>
      <c r="AE1" s="859" t="str">
        <f t="shared" si="0"/>
        <v>2018 Rents</v>
      </c>
      <c r="AF1" s="859" t="str">
        <f t="shared" si="0"/>
        <v>2018 Rents</v>
      </c>
      <c r="AG1" s="859" t="str">
        <f t="shared" si="0"/>
        <v>2018 Rents</v>
      </c>
      <c r="AH1" s="859" t="str">
        <f t="shared" si="0"/>
        <v>2018 Rents</v>
      </c>
      <c r="AI1" s="859" t="str">
        <f t="shared" si="0"/>
        <v>2018 Rents</v>
      </c>
      <c r="AJ1" s="859" t="str">
        <f t="shared" si="0"/>
        <v>2018 Rents</v>
      </c>
      <c r="AK1" s="859" t="str">
        <f t="shared" si="0"/>
        <v>2018 Rents</v>
      </c>
      <c r="AL1" s="859" t="str">
        <f t="shared" si="0"/>
        <v>2018 Rents</v>
      </c>
      <c r="AM1" s="859" t="str">
        <f t="shared" si="0"/>
        <v>2018 Rents</v>
      </c>
      <c r="AN1" s="859" t="str">
        <f t="shared" si="0"/>
        <v>2018 Rents</v>
      </c>
      <c r="AO1" s="859" t="str">
        <f t="shared" si="0"/>
        <v>2018 Rents</v>
      </c>
    </row>
    <row r="2" spans="1:42">
      <c r="A2" s="859" t="s">
        <v>896</v>
      </c>
      <c r="B2" s="859" t="s">
        <v>897</v>
      </c>
      <c r="C2" s="859" t="s">
        <v>898</v>
      </c>
      <c r="D2" s="859" t="s">
        <v>899</v>
      </c>
      <c r="E2" s="859" t="s">
        <v>111</v>
      </c>
      <c r="F2" t="s">
        <v>900</v>
      </c>
      <c r="G2" t="s">
        <v>901</v>
      </c>
      <c r="H2" t="s">
        <v>902</v>
      </c>
      <c r="I2" t="s">
        <v>903</v>
      </c>
      <c r="J2" t="s">
        <v>904</v>
      </c>
      <c r="K2" t="s">
        <v>905</v>
      </c>
      <c r="L2" t="s">
        <v>906</v>
      </c>
      <c r="M2" t="s">
        <v>907</v>
      </c>
      <c r="N2" t="s">
        <v>929</v>
      </c>
      <c r="O2" t="s">
        <v>930</v>
      </c>
      <c r="P2" t="s">
        <v>931</v>
      </c>
      <c r="Q2" t="s">
        <v>932</v>
      </c>
      <c r="R2" t="s">
        <v>933</v>
      </c>
      <c r="S2" t="s">
        <v>934</v>
      </c>
      <c r="T2" t="s">
        <v>935</v>
      </c>
      <c r="U2" t="s">
        <v>908</v>
      </c>
      <c r="V2" t="s">
        <v>909</v>
      </c>
      <c r="W2" t="s">
        <v>910</v>
      </c>
      <c r="X2" t="s">
        <v>911</v>
      </c>
      <c r="Y2" t="s">
        <v>912</v>
      </c>
      <c r="Z2" t="s">
        <v>913</v>
      </c>
      <c r="AA2" t="s">
        <v>914</v>
      </c>
      <c r="AB2" t="s">
        <v>915</v>
      </c>
      <c r="AC2" t="s">
        <v>916</v>
      </c>
      <c r="AD2" t="s">
        <v>917</v>
      </c>
      <c r="AE2" t="s">
        <v>918</v>
      </c>
      <c r="AF2" t="s">
        <v>919</v>
      </c>
      <c r="AG2" t="s">
        <v>920</v>
      </c>
      <c r="AH2" t="s">
        <v>921</v>
      </c>
      <c r="AI2" t="s">
        <v>922</v>
      </c>
      <c r="AJ2" t="s">
        <v>923</v>
      </c>
      <c r="AK2" t="s">
        <v>924</v>
      </c>
      <c r="AL2" t="s">
        <v>925</v>
      </c>
      <c r="AM2" t="s">
        <v>926</v>
      </c>
      <c r="AN2" t="s">
        <v>927</v>
      </c>
      <c r="AO2" t="s">
        <v>928</v>
      </c>
    </row>
    <row r="3" spans="1:42" ht="15">
      <c r="A3" s="859">
        <v>22</v>
      </c>
      <c r="B3" s="859" t="s">
        <v>936</v>
      </c>
      <c r="C3" s="859" t="s">
        <v>937</v>
      </c>
      <c r="D3" s="859" t="s">
        <v>938</v>
      </c>
      <c r="E3" s="859" t="s">
        <v>939</v>
      </c>
      <c r="F3" t="s">
        <v>940</v>
      </c>
      <c r="G3">
        <v>433</v>
      </c>
      <c r="H3">
        <v>464</v>
      </c>
      <c r="I3">
        <v>557</v>
      </c>
      <c r="J3">
        <v>643</v>
      </c>
      <c r="K3">
        <v>718</v>
      </c>
      <c r="L3">
        <v>792</v>
      </c>
      <c r="M3">
        <v>866</v>
      </c>
      <c r="N3">
        <v>480</v>
      </c>
      <c r="O3">
        <v>511</v>
      </c>
      <c r="P3">
        <v>680</v>
      </c>
      <c r="Q3">
        <v>931</v>
      </c>
      <c r="R3">
        <v>1023</v>
      </c>
      <c r="S3">
        <v>1176</v>
      </c>
      <c r="T3">
        <v>1330</v>
      </c>
      <c r="U3">
        <v>480</v>
      </c>
      <c r="V3">
        <v>511</v>
      </c>
      <c r="W3">
        <v>680</v>
      </c>
      <c r="X3">
        <v>847</v>
      </c>
      <c r="Y3">
        <v>925</v>
      </c>
      <c r="Z3">
        <v>1002</v>
      </c>
      <c r="AA3">
        <v>1079</v>
      </c>
      <c r="AB3">
        <v>433</v>
      </c>
      <c r="AC3">
        <v>464</v>
      </c>
      <c r="AD3">
        <v>557</v>
      </c>
      <c r="AE3">
        <v>643</v>
      </c>
      <c r="AF3">
        <v>718</v>
      </c>
      <c r="AG3">
        <v>792</v>
      </c>
      <c r="AH3">
        <v>866</v>
      </c>
      <c r="AI3">
        <v>573</v>
      </c>
      <c r="AJ3">
        <v>615</v>
      </c>
      <c r="AK3">
        <v>741</v>
      </c>
      <c r="AL3">
        <v>847</v>
      </c>
      <c r="AM3">
        <v>925</v>
      </c>
      <c r="AN3">
        <v>1002</v>
      </c>
      <c r="AO3">
        <v>1079</v>
      </c>
      <c r="AP3" s="860"/>
    </row>
    <row r="4" spans="1:42">
      <c r="A4" s="859">
        <v>22</v>
      </c>
      <c r="B4" s="859" t="s">
        <v>936</v>
      </c>
      <c r="C4" s="859" t="s">
        <v>941</v>
      </c>
      <c r="D4" s="859" t="s">
        <v>942</v>
      </c>
      <c r="E4" s="859" t="s">
        <v>943</v>
      </c>
      <c r="F4" t="s">
        <v>944</v>
      </c>
      <c r="G4">
        <v>477</v>
      </c>
      <c r="H4">
        <v>511</v>
      </c>
      <c r="I4">
        <v>613</v>
      </c>
      <c r="J4">
        <v>708</v>
      </c>
      <c r="K4">
        <v>791</v>
      </c>
      <c r="L4">
        <v>872</v>
      </c>
      <c r="M4">
        <v>953</v>
      </c>
      <c r="N4">
        <v>576</v>
      </c>
      <c r="O4">
        <v>580</v>
      </c>
      <c r="P4">
        <v>680</v>
      </c>
      <c r="Q4">
        <v>923</v>
      </c>
      <c r="R4">
        <v>926</v>
      </c>
      <c r="S4">
        <v>1065</v>
      </c>
      <c r="T4">
        <v>1204</v>
      </c>
      <c r="U4">
        <v>576</v>
      </c>
      <c r="V4">
        <v>580</v>
      </c>
      <c r="W4">
        <v>680</v>
      </c>
      <c r="X4">
        <v>923</v>
      </c>
      <c r="Y4">
        <v>926</v>
      </c>
      <c r="Z4">
        <v>1065</v>
      </c>
      <c r="AA4">
        <v>1193</v>
      </c>
      <c r="AB4">
        <v>477</v>
      </c>
      <c r="AC4">
        <v>511</v>
      </c>
      <c r="AD4">
        <v>613</v>
      </c>
      <c r="AE4">
        <v>708</v>
      </c>
      <c r="AF4">
        <v>791</v>
      </c>
      <c r="AG4">
        <v>872</v>
      </c>
      <c r="AH4">
        <v>953</v>
      </c>
      <c r="AI4">
        <v>630</v>
      </c>
      <c r="AJ4">
        <v>676</v>
      </c>
      <c r="AK4">
        <v>813</v>
      </c>
      <c r="AL4">
        <v>931</v>
      </c>
      <c r="AM4">
        <v>1019</v>
      </c>
      <c r="AN4">
        <v>1106</v>
      </c>
      <c r="AO4">
        <v>1193</v>
      </c>
    </row>
    <row r="5" spans="1:42">
      <c r="A5" s="859">
        <v>22</v>
      </c>
      <c r="B5" s="859" t="s">
        <v>936</v>
      </c>
      <c r="C5" s="859" t="s">
        <v>945</v>
      </c>
      <c r="D5" s="859" t="s">
        <v>946</v>
      </c>
      <c r="E5" s="859" t="s">
        <v>947</v>
      </c>
      <c r="F5" t="s">
        <v>948</v>
      </c>
      <c r="G5">
        <v>647</v>
      </c>
      <c r="H5">
        <v>701</v>
      </c>
      <c r="I5">
        <v>842</v>
      </c>
      <c r="J5">
        <v>972</v>
      </c>
      <c r="K5">
        <v>1085</v>
      </c>
      <c r="L5">
        <v>1197</v>
      </c>
      <c r="M5">
        <v>1309</v>
      </c>
      <c r="N5">
        <v>647</v>
      </c>
      <c r="O5">
        <v>789</v>
      </c>
      <c r="P5">
        <v>906</v>
      </c>
      <c r="Q5">
        <v>1155</v>
      </c>
      <c r="R5">
        <v>1459</v>
      </c>
      <c r="S5">
        <v>1678</v>
      </c>
      <c r="T5">
        <v>1897</v>
      </c>
      <c r="U5">
        <v>647</v>
      </c>
      <c r="V5">
        <v>789</v>
      </c>
      <c r="W5">
        <v>906</v>
      </c>
      <c r="X5">
        <v>1155</v>
      </c>
      <c r="Y5">
        <v>1353</v>
      </c>
      <c r="Z5">
        <v>1474</v>
      </c>
      <c r="AA5">
        <v>1595</v>
      </c>
      <c r="AB5">
        <v>655</v>
      </c>
      <c r="AC5">
        <v>701</v>
      </c>
      <c r="AD5">
        <v>842</v>
      </c>
      <c r="AE5">
        <v>972</v>
      </c>
      <c r="AF5">
        <v>1085</v>
      </c>
      <c r="AG5">
        <v>1197</v>
      </c>
      <c r="AH5">
        <v>1309</v>
      </c>
      <c r="AI5">
        <v>831</v>
      </c>
      <c r="AJ5">
        <v>892</v>
      </c>
      <c r="AK5">
        <v>1072</v>
      </c>
      <c r="AL5">
        <v>1230</v>
      </c>
      <c r="AM5">
        <v>1353</v>
      </c>
      <c r="AN5">
        <v>1474</v>
      </c>
      <c r="AO5">
        <v>1595</v>
      </c>
    </row>
    <row r="6" spans="1:42">
      <c r="A6" s="859">
        <v>22</v>
      </c>
      <c r="B6" s="859" t="s">
        <v>936</v>
      </c>
      <c r="C6" s="859" t="s">
        <v>949</v>
      </c>
      <c r="D6" s="859" t="s">
        <v>950</v>
      </c>
      <c r="E6" s="859" t="s">
        <v>951</v>
      </c>
      <c r="F6" t="s">
        <v>952</v>
      </c>
      <c r="G6">
        <v>551</v>
      </c>
      <c r="H6">
        <v>590</v>
      </c>
      <c r="I6">
        <v>706</v>
      </c>
      <c r="J6">
        <v>818</v>
      </c>
      <c r="K6">
        <v>912</v>
      </c>
      <c r="L6">
        <v>1006</v>
      </c>
      <c r="M6">
        <v>1100</v>
      </c>
      <c r="N6">
        <v>598</v>
      </c>
      <c r="O6">
        <v>601</v>
      </c>
      <c r="P6">
        <v>706</v>
      </c>
      <c r="Q6">
        <v>991</v>
      </c>
      <c r="R6">
        <v>1062</v>
      </c>
      <c r="S6">
        <v>1221</v>
      </c>
      <c r="T6">
        <v>1381</v>
      </c>
      <c r="U6">
        <v>598</v>
      </c>
      <c r="V6">
        <v>601</v>
      </c>
      <c r="W6">
        <v>706</v>
      </c>
      <c r="X6">
        <v>991</v>
      </c>
      <c r="Y6">
        <v>1062</v>
      </c>
      <c r="Z6">
        <v>1221</v>
      </c>
      <c r="AA6">
        <v>1326</v>
      </c>
      <c r="AB6">
        <v>551</v>
      </c>
      <c r="AC6">
        <v>590</v>
      </c>
      <c r="AD6">
        <v>708</v>
      </c>
      <c r="AE6">
        <v>818</v>
      </c>
      <c r="AF6">
        <v>912</v>
      </c>
      <c r="AG6">
        <v>1006</v>
      </c>
      <c r="AH6">
        <v>1100</v>
      </c>
      <c r="AI6">
        <v>696</v>
      </c>
      <c r="AJ6">
        <v>748</v>
      </c>
      <c r="AK6">
        <v>899</v>
      </c>
      <c r="AL6">
        <v>1030</v>
      </c>
      <c r="AM6">
        <v>1129</v>
      </c>
      <c r="AN6">
        <v>1227</v>
      </c>
      <c r="AO6">
        <v>1326</v>
      </c>
    </row>
    <row r="7" spans="1:42">
      <c r="A7" s="859">
        <v>22</v>
      </c>
      <c r="B7" s="859" t="s">
        <v>936</v>
      </c>
      <c r="C7" s="859" t="s">
        <v>953</v>
      </c>
      <c r="D7" s="859" t="s">
        <v>954</v>
      </c>
      <c r="E7" s="859" t="s">
        <v>955</v>
      </c>
      <c r="F7" t="s">
        <v>956</v>
      </c>
      <c r="G7">
        <v>433</v>
      </c>
      <c r="H7">
        <v>464</v>
      </c>
      <c r="I7">
        <v>557</v>
      </c>
      <c r="J7">
        <v>643</v>
      </c>
      <c r="K7">
        <v>718</v>
      </c>
      <c r="L7">
        <v>792</v>
      </c>
      <c r="M7">
        <v>866</v>
      </c>
      <c r="N7">
        <v>446</v>
      </c>
      <c r="O7">
        <v>535</v>
      </c>
      <c r="P7">
        <v>699</v>
      </c>
      <c r="Q7">
        <v>919</v>
      </c>
      <c r="R7">
        <v>1074</v>
      </c>
      <c r="S7">
        <v>1235</v>
      </c>
      <c r="T7">
        <v>1396</v>
      </c>
      <c r="U7">
        <v>446</v>
      </c>
      <c r="V7">
        <v>535</v>
      </c>
      <c r="W7">
        <v>699</v>
      </c>
      <c r="X7">
        <v>822</v>
      </c>
      <c r="Y7">
        <v>898</v>
      </c>
      <c r="Z7">
        <v>971</v>
      </c>
      <c r="AA7">
        <v>1046</v>
      </c>
      <c r="AB7">
        <v>433</v>
      </c>
      <c r="AC7">
        <v>464</v>
      </c>
      <c r="AD7">
        <v>557</v>
      </c>
      <c r="AE7">
        <v>643</v>
      </c>
      <c r="AF7">
        <v>718</v>
      </c>
      <c r="AG7">
        <v>792</v>
      </c>
      <c r="AH7">
        <v>866</v>
      </c>
      <c r="AI7">
        <v>556</v>
      </c>
      <c r="AJ7">
        <v>598</v>
      </c>
      <c r="AK7">
        <v>719</v>
      </c>
      <c r="AL7">
        <v>822</v>
      </c>
      <c r="AM7">
        <v>898</v>
      </c>
      <c r="AN7">
        <v>971</v>
      </c>
      <c r="AO7">
        <v>1046</v>
      </c>
    </row>
    <row r="8" spans="1:42">
      <c r="A8" s="859">
        <v>22</v>
      </c>
      <c r="B8" s="859" t="s">
        <v>936</v>
      </c>
      <c r="C8" s="859" t="s">
        <v>957</v>
      </c>
      <c r="D8" s="859" t="s">
        <v>958</v>
      </c>
      <c r="E8" s="859" t="s">
        <v>959</v>
      </c>
      <c r="F8" t="s">
        <v>960</v>
      </c>
      <c r="G8">
        <v>547</v>
      </c>
      <c r="H8">
        <v>586</v>
      </c>
      <c r="I8">
        <v>680</v>
      </c>
      <c r="J8">
        <v>812</v>
      </c>
      <c r="K8">
        <v>906</v>
      </c>
      <c r="L8">
        <v>1000</v>
      </c>
      <c r="M8">
        <v>1093</v>
      </c>
      <c r="N8">
        <v>576</v>
      </c>
      <c r="O8">
        <v>589</v>
      </c>
      <c r="P8">
        <v>680</v>
      </c>
      <c r="Q8">
        <v>969</v>
      </c>
      <c r="R8">
        <v>1198</v>
      </c>
      <c r="S8">
        <v>1378</v>
      </c>
      <c r="T8">
        <v>1557</v>
      </c>
      <c r="U8">
        <v>576</v>
      </c>
      <c r="V8">
        <v>589</v>
      </c>
      <c r="W8">
        <v>680</v>
      </c>
      <c r="X8">
        <v>969</v>
      </c>
      <c r="Y8">
        <v>1175</v>
      </c>
      <c r="Z8">
        <v>1278</v>
      </c>
      <c r="AA8">
        <v>1382</v>
      </c>
      <c r="AB8">
        <v>547</v>
      </c>
      <c r="AC8">
        <v>586</v>
      </c>
      <c r="AD8">
        <v>703</v>
      </c>
      <c r="AE8">
        <v>812</v>
      </c>
      <c r="AF8">
        <v>906</v>
      </c>
      <c r="AG8">
        <v>1000</v>
      </c>
      <c r="AH8">
        <v>1093</v>
      </c>
      <c r="AI8">
        <v>724</v>
      </c>
      <c r="AJ8">
        <v>777</v>
      </c>
      <c r="AK8">
        <v>934</v>
      </c>
      <c r="AL8">
        <v>1071</v>
      </c>
      <c r="AM8">
        <v>1175</v>
      </c>
      <c r="AN8">
        <v>1278</v>
      </c>
      <c r="AO8">
        <v>1382</v>
      </c>
    </row>
    <row r="9" spans="1:42">
      <c r="A9" s="859">
        <v>22</v>
      </c>
      <c r="B9" s="859" t="s">
        <v>936</v>
      </c>
      <c r="C9" s="859" t="s">
        <v>961</v>
      </c>
      <c r="D9" s="859" t="s">
        <v>962</v>
      </c>
      <c r="E9" s="859" t="s">
        <v>963</v>
      </c>
      <c r="F9" t="s">
        <v>964</v>
      </c>
      <c r="G9">
        <v>433</v>
      </c>
      <c r="H9">
        <v>464</v>
      </c>
      <c r="I9">
        <v>557</v>
      </c>
      <c r="J9">
        <v>643</v>
      </c>
      <c r="K9">
        <v>718</v>
      </c>
      <c r="L9">
        <v>792</v>
      </c>
      <c r="M9">
        <v>866</v>
      </c>
      <c r="N9">
        <v>576</v>
      </c>
      <c r="O9">
        <v>592</v>
      </c>
      <c r="P9">
        <v>680</v>
      </c>
      <c r="Q9">
        <v>923</v>
      </c>
      <c r="R9">
        <v>926</v>
      </c>
      <c r="S9">
        <v>1065</v>
      </c>
      <c r="T9">
        <v>1204</v>
      </c>
      <c r="U9">
        <v>556</v>
      </c>
      <c r="V9">
        <v>592</v>
      </c>
      <c r="W9">
        <v>680</v>
      </c>
      <c r="X9">
        <v>822</v>
      </c>
      <c r="Y9">
        <v>898</v>
      </c>
      <c r="Z9">
        <v>971</v>
      </c>
      <c r="AA9">
        <v>1046</v>
      </c>
      <c r="AB9">
        <v>433</v>
      </c>
      <c r="AC9">
        <v>464</v>
      </c>
      <c r="AD9">
        <v>557</v>
      </c>
      <c r="AE9">
        <v>643</v>
      </c>
      <c r="AF9">
        <v>718</v>
      </c>
      <c r="AG9">
        <v>792</v>
      </c>
      <c r="AH9">
        <v>866</v>
      </c>
      <c r="AI9">
        <v>556</v>
      </c>
      <c r="AJ9">
        <v>598</v>
      </c>
      <c r="AK9">
        <v>719</v>
      </c>
      <c r="AL9">
        <v>822</v>
      </c>
      <c r="AM9">
        <v>898</v>
      </c>
      <c r="AN9">
        <v>971</v>
      </c>
      <c r="AO9">
        <v>1046</v>
      </c>
    </row>
    <row r="10" spans="1:42">
      <c r="A10" s="859">
        <v>22</v>
      </c>
      <c r="B10" s="859" t="s">
        <v>936</v>
      </c>
      <c r="C10" s="859" t="s">
        <v>965</v>
      </c>
      <c r="D10" s="859" t="s">
        <v>966</v>
      </c>
      <c r="E10" s="859" t="s">
        <v>967</v>
      </c>
      <c r="F10" t="s">
        <v>968</v>
      </c>
      <c r="G10">
        <v>548</v>
      </c>
      <c r="H10">
        <v>588</v>
      </c>
      <c r="I10">
        <v>706</v>
      </c>
      <c r="J10">
        <v>815</v>
      </c>
      <c r="K10">
        <v>910</v>
      </c>
      <c r="L10">
        <v>1003</v>
      </c>
      <c r="M10">
        <v>1097</v>
      </c>
      <c r="N10">
        <v>570</v>
      </c>
      <c r="O10">
        <v>710</v>
      </c>
      <c r="P10">
        <v>820</v>
      </c>
      <c r="Q10">
        <v>1040</v>
      </c>
      <c r="R10">
        <v>1175</v>
      </c>
      <c r="S10">
        <v>1351</v>
      </c>
      <c r="T10">
        <v>1528</v>
      </c>
      <c r="U10">
        <v>570</v>
      </c>
      <c r="V10">
        <v>710</v>
      </c>
      <c r="W10">
        <v>820</v>
      </c>
      <c r="X10">
        <v>1040</v>
      </c>
      <c r="Y10">
        <v>1164</v>
      </c>
      <c r="Z10">
        <v>1266</v>
      </c>
      <c r="AA10">
        <v>1368</v>
      </c>
      <c r="AB10">
        <v>548</v>
      </c>
      <c r="AC10">
        <v>588</v>
      </c>
      <c r="AD10">
        <v>706</v>
      </c>
      <c r="AE10">
        <v>815</v>
      </c>
      <c r="AF10">
        <v>910</v>
      </c>
      <c r="AG10">
        <v>1003</v>
      </c>
      <c r="AH10">
        <v>1097</v>
      </c>
      <c r="AI10">
        <v>718</v>
      </c>
      <c r="AJ10">
        <v>770</v>
      </c>
      <c r="AK10">
        <v>926</v>
      </c>
      <c r="AL10">
        <v>1061</v>
      </c>
      <c r="AM10">
        <v>1164</v>
      </c>
      <c r="AN10">
        <v>1266</v>
      </c>
      <c r="AO10">
        <v>1368</v>
      </c>
    </row>
    <row r="11" spans="1:42">
      <c r="A11" s="859">
        <v>22</v>
      </c>
      <c r="B11" s="859" t="s">
        <v>936</v>
      </c>
      <c r="C11" s="859" t="s">
        <v>965</v>
      </c>
      <c r="D11" s="859" t="s">
        <v>966</v>
      </c>
      <c r="E11" s="859" t="s">
        <v>969</v>
      </c>
      <c r="F11" t="s">
        <v>970</v>
      </c>
      <c r="G11">
        <v>548</v>
      </c>
      <c r="H11">
        <v>588</v>
      </c>
      <c r="I11">
        <v>706</v>
      </c>
      <c r="J11">
        <v>815</v>
      </c>
      <c r="K11">
        <v>910</v>
      </c>
      <c r="L11">
        <v>1003</v>
      </c>
      <c r="M11">
        <v>1097</v>
      </c>
      <c r="N11">
        <v>570</v>
      </c>
      <c r="O11">
        <v>710</v>
      </c>
      <c r="P11">
        <v>820</v>
      </c>
      <c r="Q11">
        <v>1040</v>
      </c>
      <c r="R11">
        <v>1175</v>
      </c>
      <c r="S11">
        <v>1351</v>
      </c>
      <c r="T11">
        <v>1528</v>
      </c>
      <c r="U11">
        <v>570</v>
      </c>
      <c r="V11">
        <v>710</v>
      </c>
      <c r="W11">
        <v>820</v>
      </c>
      <c r="X11">
        <v>1040</v>
      </c>
      <c r="Y11">
        <v>1164</v>
      </c>
      <c r="Z11">
        <v>1266</v>
      </c>
      <c r="AA11">
        <v>1368</v>
      </c>
      <c r="AB11">
        <v>548</v>
      </c>
      <c r="AC11">
        <v>588</v>
      </c>
      <c r="AD11">
        <v>706</v>
      </c>
      <c r="AE11">
        <v>815</v>
      </c>
      <c r="AF11">
        <v>910</v>
      </c>
      <c r="AG11">
        <v>1003</v>
      </c>
      <c r="AH11">
        <v>1097</v>
      </c>
      <c r="AI11">
        <v>718</v>
      </c>
      <c r="AJ11">
        <v>770</v>
      </c>
      <c r="AK11">
        <v>926</v>
      </c>
      <c r="AL11">
        <v>1061</v>
      </c>
      <c r="AM11">
        <v>1164</v>
      </c>
      <c r="AN11">
        <v>1266</v>
      </c>
      <c r="AO11">
        <v>1368</v>
      </c>
    </row>
    <row r="12" spans="1:42">
      <c r="A12" s="859">
        <v>22</v>
      </c>
      <c r="B12" s="859" t="s">
        <v>936</v>
      </c>
      <c r="C12" s="859" t="s">
        <v>971</v>
      </c>
      <c r="D12" s="859" t="s">
        <v>972</v>
      </c>
      <c r="E12" s="859" t="s">
        <v>973</v>
      </c>
      <c r="F12" t="s">
        <v>974</v>
      </c>
      <c r="G12">
        <v>514</v>
      </c>
      <c r="H12">
        <v>567</v>
      </c>
      <c r="I12">
        <v>681</v>
      </c>
      <c r="J12">
        <v>786</v>
      </c>
      <c r="K12">
        <v>877</v>
      </c>
      <c r="L12">
        <v>968</v>
      </c>
      <c r="M12">
        <v>1058</v>
      </c>
      <c r="N12">
        <v>514</v>
      </c>
      <c r="O12">
        <v>638</v>
      </c>
      <c r="P12">
        <v>791</v>
      </c>
      <c r="Q12">
        <v>1017</v>
      </c>
      <c r="R12">
        <v>1158</v>
      </c>
      <c r="S12">
        <v>1332</v>
      </c>
      <c r="T12">
        <v>1505</v>
      </c>
      <c r="U12">
        <v>514</v>
      </c>
      <c r="V12">
        <v>638</v>
      </c>
      <c r="W12">
        <v>791</v>
      </c>
      <c r="X12">
        <v>1017</v>
      </c>
      <c r="Y12">
        <v>1115</v>
      </c>
      <c r="Z12">
        <v>1211</v>
      </c>
      <c r="AA12">
        <v>1308</v>
      </c>
      <c r="AB12">
        <v>530</v>
      </c>
      <c r="AC12">
        <v>567</v>
      </c>
      <c r="AD12">
        <v>681</v>
      </c>
      <c r="AE12">
        <v>786</v>
      </c>
      <c r="AF12">
        <v>877</v>
      </c>
      <c r="AG12">
        <v>968</v>
      </c>
      <c r="AH12">
        <v>1058</v>
      </c>
      <c r="AI12">
        <v>688</v>
      </c>
      <c r="AJ12">
        <v>738</v>
      </c>
      <c r="AK12">
        <v>888</v>
      </c>
      <c r="AL12">
        <v>1017</v>
      </c>
      <c r="AM12">
        <v>1115</v>
      </c>
      <c r="AN12">
        <v>1211</v>
      </c>
      <c r="AO12">
        <v>1308</v>
      </c>
    </row>
    <row r="13" spans="1:42">
      <c r="A13" s="859">
        <v>22</v>
      </c>
      <c r="B13" s="859" t="s">
        <v>936</v>
      </c>
      <c r="C13" s="859" t="s">
        <v>975</v>
      </c>
      <c r="D13" s="859" t="s">
        <v>976</v>
      </c>
      <c r="E13" s="859" t="s">
        <v>977</v>
      </c>
      <c r="F13" t="s">
        <v>978</v>
      </c>
      <c r="G13">
        <v>450</v>
      </c>
      <c r="H13">
        <v>482</v>
      </c>
      <c r="I13">
        <v>578</v>
      </c>
      <c r="J13">
        <v>668</v>
      </c>
      <c r="K13">
        <v>746</v>
      </c>
      <c r="L13">
        <v>823</v>
      </c>
      <c r="M13">
        <v>899</v>
      </c>
      <c r="N13">
        <v>576</v>
      </c>
      <c r="O13">
        <v>592</v>
      </c>
      <c r="P13">
        <v>680</v>
      </c>
      <c r="Q13">
        <v>989</v>
      </c>
      <c r="R13">
        <v>1157</v>
      </c>
      <c r="S13">
        <v>1331</v>
      </c>
      <c r="T13">
        <v>1504</v>
      </c>
      <c r="U13">
        <v>576</v>
      </c>
      <c r="V13">
        <v>592</v>
      </c>
      <c r="W13">
        <v>680</v>
      </c>
      <c r="X13">
        <v>885</v>
      </c>
      <c r="Y13">
        <v>969</v>
      </c>
      <c r="Z13">
        <v>1050</v>
      </c>
      <c r="AA13">
        <v>1131</v>
      </c>
      <c r="AB13">
        <v>450</v>
      </c>
      <c r="AC13">
        <v>482</v>
      </c>
      <c r="AD13">
        <v>578</v>
      </c>
      <c r="AE13">
        <v>668</v>
      </c>
      <c r="AF13">
        <v>746</v>
      </c>
      <c r="AG13">
        <v>823</v>
      </c>
      <c r="AH13">
        <v>899</v>
      </c>
      <c r="AI13">
        <v>599</v>
      </c>
      <c r="AJ13">
        <v>643</v>
      </c>
      <c r="AK13">
        <v>774</v>
      </c>
      <c r="AL13">
        <v>885</v>
      </c>
      <c r="AM13">
        <v>969</v>
      </c>
      <c r="AN13">
        <v>1050</v>
      </c>
      <c r="AO13">
        <v>1131</v>
      </c>
    </row>
    <row r="14" spans="1:42">
      <c r="A14" s="859">
        <v>22</v>
      </c>
      <c r="B14" s="859" t="s">
        <v>936</v>
      </c>
      <c r="C14" s="859" t="s">
        <v>971</v>
      </c>
      <c r="D14" s="859" t="s">
        <v>972</v>
      </c>
      <c r="E14" s="859" t="s">
        <v>979</v>
      </c>
      <c r="F14" t="s">
        <v>980</v>
      </c>
      <c r="G14">
        <v>514</v>
      </c>
      <c r="H14">
        <v>567</v>
      </c>
      <c r="I14">
        <v>681</v>
      </c>
      <c r="J14">
        <v>786</v>
      </c>
      <c r="K14">
        <v>877</v>
      </c>
      <c r="L14">
        <v>968</v>
      </c>
      <c r="M14">
        <v>1058</v>
      </c>
      <c r="N14">
        <v>514</v>
      </c>
      <c r="O14">
        <v>638</v>
      </c>
      <c r="P14">
        <v>791</v>
      </c>
      <c r="Q14">
        <v>1017</v>
      </c>
      <c r="R14">
        <v>1158</v>
      </c>
      <c r="S14">
        <v>1332</v>
      </c>
      <c r="T14">
        <v>1505</v>
      </c>
      <c r="U14">
        <v>514</v>
      </c>
      <c r="V14">
        <v>638</v>
      </c>
      <c r="W14">
        <v>791</v>
      </c>
      <c r="X14">
        <v>1017</v>
      </c>
      <c r="Y14">
        <v>1115</v>
      </c>
      <c r="Z14">
        <v>1211</v>
      </c>
      <c r="AA14">
        <v>1308</v>
      </c>
      <c r="AB14">
        <v>530</v>
      </c>
      <c r="AC14">
        <v>567</v>
      </c>
      <c r="AD14">
        <v>681</v>
      </c>
      <c r="AE14">
        <v>786</v>
      </c>
      <c r="AF14">
        <v>877</v>
      </c>
      <c r="AG14">
        <v>968</v>
      </c>
      <c r="AH14">
        <v>1058</v>
      </c>
      <c r="AI14">
        <v>688</v>
      </c>
      <c r="AJ14">
        <v>738</v>
      </c>
      <c r="AK14">
        <v>888</v>
      </c>
      <c r="AL14">
        <v>1017</v>
      </c>
      <c r="AM14">
        <v>1115</v>
      </c>
      <c r="AN14">
        <v>1211</v>
      </c>
      <c r="AO14">
        <v>1308</v>
      </c>
    </row>
    <row r="15" spans="1:42">
      <c r="A15" s="859">
        <v>22</v>
      </c>
      <c r="B15" s="859" t="s">
        <v>936</v>
      </c>
      <c r="C15" s="859" t="s">
        <v>981</v>
      </c>
      <c r="D15" s="859" t="s">
        <v>982</v>
      </c>
      <c r="E15" s="859" t="s">
        <v>983</v>
      </c>
      <c r="F15" t="s">
        <v>984</v>
      </c>
      <c r="G15">
        <v>467</v>
      </c>
      <c r="H15">
        <v>501</v>
      </c>
      <c r="I15">
        <v>601</v>
      </c>
      <c r="J15">
        <v>694</v>
      </c>
      <c r="K15">
        <v>775</v>
      </c>
      <c r="L15">
        <v>855</v>
      </c>
      <c r="M15">
        <v>934</v>
      </c>
      <c r="N15">
        <v>512</v>
      </c>
      <c r="O15">
        <v>516</v>
      </c>
      <c r="P15">
        <v>680</v>
      </c>
      <c r="Q15">
        <v>950</v>
      </c>
      <c r="R15">
        <v>1198</v>
      </c>
      <c r="S15">
        <v>1378</v>
      </c>
      <c r="T15">
        <v>1557</v>
      </c>
      <c r="U15">
        <v>512</v>
      </c>
      <c r="V15">
        <v>516</v>
      </c>
      <c r="W15">
        <v>680</v>
      </c>
      <c r="X15">
        <v>869</v>
      </c>
      <c r="Y15">
        <v>950</v>
      </c>
      <c r="Z15">
        <v>1029</v>
      </c>
      <c r="AA15">
        <v>1109</v>
      </c>
      <c r="AB15">
        <v>467</v>
      </c>
      <c r="AC15">
        <v>501</v>
      </c>
      <c r="AD15">
        <v>601</v>
      </c>
      <c r="AE15">
        <v>694</v>
      </c>
      <c r="AF15">
        <v>775</v>
      </c>
      <c r="AG15">
        <v>855</v>
      </c>
      <c r="AH15">
        <v>934</v>
      </c>
      <c r="AI15">
        <v>588</v>
      </c>
      <c r="AJ15">
        <v>631</v>
      </c>
      <c r="AK15">
        <v>759</v>
      </c>
      <c r="AL15">
        <v>869</v>
      </c>
      <c r="AM15">
        <v>950</v>
      </c>
      <c r="AN15">
        <v>1029</v>
      </c>
      <c r="AO15">
        <v>1109</v>
      </c>
    </row>
    <row r="16" spans="1:42">
      <c r="A16" s="859">
        <v>22</v>
      </c>
      <c r="B16" s="859" t="s">
        <v>936</v>
      </c>
      <c r="C16" s="859" t="s">
        <v>985</v>
      </c>
      <c r="D16" s="859" t="s">
        <v>986</v>
      </c>
      <c r="E16" s="859" t="s">
        <v>987</v>
      </c>
      <c r="F16" t="s">
        <v>988</v>
      </c>
      <c r="G16">
        <v>433</v>
      </c>
      <c r="H16">
        <v>464</v>
      </c>
      <c r="I16">
        <v>557</v>
      </c>
      <c r="J16">
        <v>643</v>
      </c>
      <c r="K16">
        <v>718</v>
      </c>
      <c r="L16">
        <v>792</v>
      </c>
      <c r="M16">
        <v>866</v>
      </c>
      <c r="N16">
        <v>508</v>
      </c>
      <c r="O16">
        <v>511</v>
      </c>
      <c r="P16">
        <v>680</v>
      </c>
      <c r="Q16">
        <v>989</v>
      </c>
      <c r="R16">
        <v>1198</v>
      </c>
      <c r="S16">
        <v>1378</v>
      </c>
      <c r="T16">
        <v>1557</v>
      </c>
      <c r="U16">
        <v>508</v>
      </c>
      <c r="V16">
        <v>511</v>
      </c>
      <c r="W16">
        <v>680</v>
      </c>
      <c r="X16">
        <v>822</v>
      </c>
      <c r="Y16">
        <v>898</v>
      </c>
      <c r="Z16">
        <v>971</v>
      </c>
      <c r="AA16">
        <v>1046</v>
      </c>
      <c r="AB16">
        <v>433</v>
      </c>
      <c r="AC16">
        <v>464</v>
      </c>
      <c r="AD16">
        <v>557</v>
      </c>
      <c r="AE16">
        <v>643</v>
      </c>
      <c r="AF16">
        <v>718</v>
      </c>
      <c r="AG16">
        <v>792</v>
      </c>
      <c r="AH16">
        <v>866</v>
      </c>
      <c r="AI16">
        <v>556</v>
      </c>
      <c r="AJ16">
        <v>598</v>
      </c>
      <c r="AK16">
        <v>719</v>
      </c>
      <c r="AL16">
        <v>822</v>
      </c>
      <c r="AM16">
        <v>898</v>
      </c>
      <c r="AN16">
        <v>971</v>
      </c>
      <c r="AO16">
        <v>1046</v>
      </c>
    </row>
    <row r="17" spans="1:41">
      <c r="A17" s="859">
        <v>22</v>
      </c>
      <c r="B17" s="859" t="s">
        <v>936</v>
      </c>
      <c r="C17" s="859" t="s">
        <v>989</v>
      </c>
      <c r="D17" s="859" t="s">
        <v>990</v>
      </c>
      <c r="E17" s="859" t="s">
        <v>991</v>
      </c>
      <c r="F17" t="s">
        <v>992</v>
      </c>
      <c r="G17">
        <v>433</v>
      </c>
      <c r="H17">
        <v>464</v>
      </c>
      <c r="I17">
        <v>557</v>
      </c>
      <c r="J17">
        <v>643</v>
      </c>
      <c r="K17">
        <v>718</v>
      </c>
      <c r="L17">
        <v>792</v>
      </c>
      <c r="M17">
        <v>866</v>
      </c>
      <c r="N17">
        <v>521</v>
      </c>
      <c r="O17">
        <v>525</v>
      </c>
      <c r="P17">
        <v>680</v>
      </c>
      <c r="Q17">
        <v>907</v>
      </c>
      <c r="R17">
        <v>1023</v>
      </c>
      <c r="S17">
        <v>1176</v>
      </c>
      <c r="T17">
        <v>1330</v>
      </c>
      <c r="U17">
        <v>521</v>
      </c>
      <c r="V17">
        <v>525</v>
      </c>
      <c r="W17">
        <v>680</v>
      </c>
      <c r="X17">
        <v>822</v>
      </c>
      <c r="Y17">
        <v>898</v>
      </c>
      <c r="Z17">
        <v>971</v>
      </c>
      <c r="AA17">
        <v>1046</v>
      </c>
      <c r="AB17">
        <v>433</v>
      </c>
      <c r="AC17">
        <v>464</v>
      </c>
      <c r="AD17">
        <v>557</v>
      </c>
      <c r="AE17">
        <v>643</v>
      </c>
      <c r="AF17">
        <v>718</v>
      </c>
      <c r="AG17">
        <v>792</v>
      </c>
      <c r="AH17">
        <v>866</v>
      </c>
      <c r="AI17">
        <v>556</v>
      </c>
      <c r="AJ17">
        <v>598</v>
      </c>
      <c r="AK17">
        <v>719</v>
      </c>
      <c r="AL17">
        <v>822</v>
      </c>
      <c r="AM17">
        <v>898</v>
      </c>
      <c r="AN17">
        <v>971</v>
      </c>
      <c r="AO17">
        <v>1046</v>
      </c>
    </row>
    <row r="18" spans="1:41">
      <c r="A18" s="859">
        <v>22</v>
      </c>
      <c r="B18" s="859" t="s">
        <v>936</v>
      </c>
      <c r="C18" s="859" t="s">
        <v>965</v>
      </c>
      <c r="D18" s="859" t="s">
        <v>966</v>
      </c>
      <c r="E18" s="859" t="s">
        <v>993</v>
      </c>
      <c r="F18" t="s">
        <v>994</v>
      </c>
      <c r="G18">
        <v>548</v>
      </c>
      <c r="H18">
        <v>588</v>
      </c>
      <c r="I18">
        <v>706</v>
      </c>
      <c r="J18">
        <v>815</v>
      </c>
      <c r="K18">
        <v>910</v>
      </c>
      <c r="L18">
        <v>1003</v>
      </c>
      <c r="M18">
        <v>1097</v>
      </c>
      <c r="N18">
        <v>570</v>
      </c>
      <c r="O18">
        <v>710</v>
      </c>
      <c r="P18">
        <v>820</v>
      </c>
      <c r="Q18">
        <v>1040</v>
      </c>
      <c r="R18">
        <v>1175</v>
      </c>
      <c r="S18">
        <v>1351</v>
      </c>
      <c r="T18">
        <v>1528</v>
      </c>
      <c r="U18">
        <v>570</v>
      </c>
      <c r="V18">
        <v>710</v>
      </c>
      <c r="W18">
        <v>820</v>
      </c>
      <c r="X18">
        <v>1040</v>
      </c>
      <c r="Y18">
        <v>1164</v>
      </c>
      <c r="Z18">
        <v>1266</v>
      </c>
      <c r="AA18">
        <v>1368</v>
      </c>
      <c r="AB18">
        <v>548</v>
      </c>
      <c r="AC18">
        <v>588</v>
      </c>
      <c r="AD18">
        <v>706</v>
      </c>
      <c r="AE18">
        <v>815</v>
      </c>
      <c r="AF18">
        <v>910</v>
      </c>
      <c r="AG18">
        <v>1003</v>
      </c>
      <c r="AH18">
        <v>1097</v>
      </c>
      <c r="AI18">
        <v>718</v>
      </c>
      <c r="AJ18">
        <v>770</v>
      </c>
      <c r="AK18">
        <v>926</v>
      </c>
      <c r="AL18">
        <v>1061</v>
      </c>
      <c r="AM18">
        <v>1164</v>
      </c>
      <c r="AN18">
        <v>1266</v>
      </c>
      <c r="AO18">
        <v>1368</v>
      </c>
    </row>
    <row r="19" spans="1:41">
      <c r="A19" s="859">
        <v>22</v>
      </c>
      <c r="B19" s="859" t="s">
        <v>936</v>
      </c>
      <c r="C19" s="859" t="s">
        <v>945</v>
      </c>
      <c r="D19" s="859" t="s">
        <v>946</v>
      </c>
      <c r="E19" s="859" t="s">
        <v>995</v>
      </c>
      <c r="F19" t="s">
        <v>996</v>
      </c>
      <c r="G19">
        <v>647</v>
      </c>
      <c r="H19">
        <v>701</v>
      </c>
      <c r="I19">
        <v>842</v>
      </c>
      <c r="J19">
        <v>972</v>
      </c>
      <c r="K19">
        <v>1085</v>
      </c>
      <c r="L19">
        <v>1197</v>
      </c>
      <c r="M19">
        <v>1309</v>
      </c>
      <c r="N19">
        <v>647</v>
      </c>
      <c r="O19">
        <v>789</v>
      </c>
      <c r="P19">
        <v>906</v>
      </c>
      <c r="Q19">
        <v>1155</v>
      </c>
      <c r="R19">
        <v>1459</v>
      </c>
      <c r="S19">
        <v>1678</v>
      </c>
      <c r="T19">
        <v>1897</v>
      </c>
      <c r="U19">
        <v>647</v>
      </c>
      <c r="V19">
        <v>789</v>
      </c>
      <c r="W19">
        <v>906</v>
      </c>
      <c r="X19">
        <v>1155</v>
      </c>
      <c r="Y19">
        <v>1353</v>
      </c>
      <c r="Z19">
        <v>1474</v>
      </c>
      <c r="AA19">
        <v>1595</v>
      </c>
      <c r="AB19">
        <v>655</v>
      </c>
      <c r="AC19">
        <v>701</v>
      </c>
      <c r="AD19">
        <v>842</v>
      </c>
      <c r="AE19">
        <v>972</v>
      </c>
      <c r="AF19">
        <v>1085</v>
      </c>
      <c r="AG19">
        <v>1197</v>
      </c>
      <c r="AH19">
        <v>1309</v>
      </c>
      <c r="AI19">
        <v>831</v>
      </c>
      <c r="AJ19">
        <v>892</v>
      </c>
      <c r="AK19">
        <v>1072</v>
      </c>
      <c r="AL19">
        <v>1230</v>
      </c>
      <c r="AM19">
        <v>1353</v>
      </c>
      <c r="AN19">
        <v>1474</v>
      </c>
      <c r="AO19">
        <v>1595</v>
      </c>
    </row>
    <row r="20" spans="1:41">
      <c r="A20" s="859">
        <v>22</v>
      </c>
      <c r="B20" s="859" t="s">
        <v>936</v>
      </c>
      <c r="C20" s="859" t="s">
        <v>997</v>
      </c>
      <c r="D20" s="859" t="s">
        <v>998</v>
      </c>
      <c r="E20" s="859" t="s">
        <v>999</v>
      </c>
      <c r="F20" t="s">
        <v>1000</v>
      </c>
      <c r="G20">
        <v>433</v>
      </c>
      <c r="H20">
        <v>464</v>
      </c>
      <c r="I20">
        <v>557</v>
      </c>
      <c r="J20">
        <v>643</v>
      </c>
      <c r="K20">
        <v>718</v>
      </c>
      <c r="L20">
        <v>792</v>
      </c>
      <c r="M20">
        <v>866</v>
      </c>
      <c r="N20">
        <v>508</v>
      </c>
      <c r="O20">
        <v>511</v>
      </c>
      <c r="P20">
        <v>680</v>
      </c>
      <c r="Q20">
        <v>853</v>
      </c>
      <c r="R20">
        <v>1023</v>
      </c>
      <c r="S20">
        <v>1176</v>
      </c>
      <c r="T20">
        <v>1330</v>
      </c>
      <c r="U20">
        <v>508</v>
      </c>
      <c r="V20">
        <v>511</v>
      </c>
      <c r="W20">
        <v>680</v>
      </c>
      <c r="X20">
        <v>822</v>
      </c>
      <c r="Y20">
        <v>898</v>
      </c>
      <c r="Z20">
        <v>971</v>
      </c>
      <c r="AA20">
        <v>1046</v>
      </c>
      <c r="AB20">
        <v>433</v>
      </c>
      <c r="AC20">
        <v>464</v>
      </c>
      <c r="AD20">
        <v>557</v>
      </c>
      <c r="AE20">
        <v>643</v>
      </c>
      <c r="AF20">
        <v>718</v>
      </c>
      <c r="AG20">
        <v>792</v>
      </c>
      <c r="AH20">
        <v>866</v>
      </c>
      <c r="AI20">
        <v>556</v>
      </c>
      <c r="AJ20">
        <v>598</v>
      </c>
      <c r="AK20">
        <v>719</v>
      </c>
      <c r="AL20">
        <v>822</v>
      </c>
      <c r="AM20">
        <v>898</v>
      </c>
      <c r="AN20">
        <v>971</v>
      </c>
      <c r="AO20">
        <v>1046</v>
      </c>
    </row>
    <row r="21" spans="1:41">
      <c r="A21" s="859">
        <v>22</v>
      </c>
      <c r="B21" s="859" t="s">
        <v>936</v>
      </c>
      <c r="C21" s="859" t="s">
        <v>945</v>
      </c>
      <c r="D21" s="859" t="s">
        <v>946</v>
      </c>
      <c r="E21" s="859" t="s">
        <v>1001</v>
      </c>
      <c r="F21" t="s">
        <v>1002</v>
      </c>
      <c r="G21">
        <v>647</v>
      </c>
      <c r="H21">
        <v>701</v>
      </c>
      <c r="I21">
        <v>842</v>
      </c>
      <c r="J21">
        <v>972</v>
      </c>
      <c r="K21">
        <v>1085</v>
      </c>
      <c r="L21">
        <v>1197</v>
      </c>
      <c r="M21">
        <v>1309</v>
      </c>
      <c r="N21">
        <v>647</v>
      </c>
      <c r="O21">
        <v>789</v>
      </c>
      <c r="P21">
        <v>906</v>
      </c>
      <c r="Q21">
        <v>1155</v>
      </c>
      <c r="R21">
        <v>1459</v>
      </c>
      <c r="S21">
        <v>1678</v>
      </c>
      <c r="T21">
        <v>1897</v>
      </c>
      <c r="U21">
        <v>647</v>
      </c>
      <c r="V21">
        <v>789</v>
      </c>
      <c r="W21">
        <v>906</v>
      </c>
      <c r="X21">
        <v>1155</v>
      </c>
      <c r="Y21">
        <v>1353</v>
      </c>
      <c r="Z21">
        <v>1474</v>
      </c>
      <c r="AA21">
        <v>1595</v>
      </c>
      <c r="AB21">
        <v>655</v>
      </c>
      <c r="AC21">
        <v>701</v>
      </c>
      <c r="AD21">
        <v>842</v>
      </c>
      <c r="AE21">
        <v>972</v>
      </c>
      <c r="AF21">
        <v>1085</v>
      </c>
      <c r="AG21">
        <v>1197</v>
      </c>
      <c r="AH21">
        <v>1309</v>
      </c>
      <c r="AI21">
        <v>831</v>
      </c>
      <c r="AJ21">
        <v>892</v>
      </c>
      <c r="AK21">
        <v>1072</v>
      </c>
      <c r="AL21">
        <v>1230</v>
      </c>
      <c r="AM21">
        <v>1353</v>
      </c>
      <c r="AN21">
        <v>1474</v>
      </c>
      <c r="AO21">
        <v>1595</v>
      </c>
    </row>
    <row r="22" spans="1:41">
      <c r="A22" s="859">
        <v>22</v>
      </c>
      <c r="B22" s="859" t="s">
        <v>936</v>
      </c>
      <c r="C22" s="859" t="s">
        <v>1003</v>
      </c>
      <c r="D22" s="859" t="s">
        <v>1004</v>
      </c>
      <c r="E22" s="859" t="s">
        <v>1005</v>
      </c>
      <c r="F22" t="s">
        <v>1006</v>
      </c>
      <c r="G22">
        <v>433</v>
      </c>
      <c r="H22">
        <v>464</v>
      </c>
      <c r="I22">
        <v>557</v>
      </c>
      <c r="J22">
        <v>643</v>
      </c>
      <c r="K22">
        <v>718</v>
      </c>
      <c r="L22">
        <v>792</v>
      </c>
      <c r="M22">
        <v>866</v>
      </c>
      <c r="N22">
        <v>508</v>
      </c>
      <c r="O22">
        <v>511</v>
      </c>
      <c r="P22">
        <v>680</v>
      </c>
      <c r="Q22">
        <v>885</v>
      </c>
      <c r="R22">
        <v>1151</v>
      </c>
      <c r="S22">
        <v>1324</v>
      </c>
      <c r="T22">
        <v>1496</v>
      </c>
      <c r="U22">
        <v>508</v>
      </c>
      <c r="V22">
        <v>511</v>
      </c>
      <c r="W22">
        <v>680</v>
      </c>
      <c r="X22">
        <v>822</v>
      </c>
      <c r="Y22">
        <v>898</v>
      </c>
      <c r="Z22">
        <v>971</v>
      </c>
      <c r="AA22">
        <v>1046</v>
      </c>
      <c r="AB22">
        <v>433</v>
      </c>
      <c r="AC22">
        <v>464</v>
      </c>
      <c r="AD22">
        <v>557</v>
      </c>
      <c r="AE22">
        <v>643</v>
      </c>
      <c r="AF22">
        <v>718</v>
      </c>
      <c r="AG22">
        <v>792</v>
      </c>
      <c r="AH22">
        <v>866</v>
      </c>
      <c r="AI22">
        <v>556</v>
      </c>
      <c r="AJ22">
        <v>598</v>
      </c>
      <c r="AK22">
        <v>719</v>
      </c>
      <c r="AL22">
        <v>822</v>
      </c>
      <c r="AM22">
        <v>898</v>
      </c>
      <c r="AN22">
        <v>971</v>
      </c>
      <c r="AO22">
        <v>1046</v>
      </c>
    </row>
    <row r="23" spans="1:41">
      <c r="A23" s="859">
        <v>22</v>
      </c>
      <c r="B23" s="859" t="s">
        <v>936</v>
      </c>
      <c r="C23" s="859" t="s">
        <v>1007</v>
      </c>
      <c r="D23" s="859" t="s">
        <v>1008</v>
      </c>
      <c r="E23" s="859" t="s">
        <v>1009</v>
      </c>
      <c r="F23" t="s">
        <v>1010</v>
      </c>
      <c r="G23">
        <v>433</v>
      </c>
      <c r="H23">
        <v>464</v>
      </c>
      <c r="I23">
        <v>557</v>
      </c>
      <c r="J23">
        <v>643</v>
      </c>
      <c r="K23">
        <v>718</v>
      </c>
      <c r="L23">
        <v>792</v>
      </c>
      <c r="M23">
        <v>866</v>
      </c>
      <c r="N23">
        <v>508</v>
      </c>
      <c r="O23">
        <v>511</v>
      </c>
      <c r="P23">
        <v>680</v>
      </c>
      <c r="Q23">
        <v>853</v>
      </c>
      <c r="R23">
        <v>1023</v>
      </c>
      <c r="S23">
        <v>1176</v>
      </c>
      <c r="T23">
        <v>1330</v>
      </c>
      <c r="U23">
        <v>508</v>
      </c>
      <c r="V23">
        <v>511</v>
      </c>
      <c r="W23">
        <v>680</v>
      </c>
      <c r="X23">
        <v>822</v>
      </c>
      <c r="Y23">
        <v>898</v>
      </c>
      <c r="Z23">
        <v>971</v>
      </c>
      <c r="AA23">
        <v>1046</v>
      </c>
      <c r="AB23">
        <v>433</v>
      </c>
      <c r="AC23">
        <v>464</v>
      </c>
      <c r="AD23">
        <v>557</v>
      </c>
      <c r="AE23">
        <v>643</v>
      </c>
      <c r="AF23">
        <v>718</v>
      </c>
      <c r="AG23">
        <v>792</v>
      </c>
      <c r="AH23">
        <v>866</v>
      </c>
      <c r="AI23">
        <v>556</v>
      </c>
      <c r="AJ23">
        <v>598</v>
      </c>
      <c r="AK23">
        <v>719</v>
      </c>
      <c r="AL23">
        <v>822</v>
      </c>
      <c r="AM23">
        <v>898</v>
      </c>
      <c r="AN23">
        <v>971</v>
      </c>
      <c r="AO23">
        <v>1046</v>
      </c>
    </row>
    <row r="24" spans="1:41">
      <c r="A24" s="859">
        <v>22</v>
      </c>
      <c r="B24" s="859" t="s">
        <v>936</v>
      </c>
      <c r="C24" s="859" t="s">
        <v>1011</v>
      </c>
      <c r="D24" s="859" t="s">
        <v>1012</v>
      </c>
      <c r="E24" s="859" t="s">
        <v>1013</v>
      </c>
      <c r="F24" t="s">
        <v>1014</v>
      </c>
      <c r="G24">
        <v>485</v>
      </c>
      <c r="H24">
        <v>520</v>
      </c>
      <c r="I24">
        <v>623</v>
      </c>
      <c r="J24">
        <v>720</v>
      </c>
      <c r="K24">
        <v>803</v>
      </c>
      <c r="L24">
        <v>886</v>
      </c>
      <c r="M24">
        <v>969</v>
      </c>
      <c r="N24">
        <v>536</v>
      </c>
      <c r="O24">
        <v>600</v>
      </c>
      <c r="P24">
        <v>750</v>
      </c>
      <c r="Q24">
        <v>991</v>
      </c>
      <c r="R24">
        <v>1161</v>
      </c>
      <c r="S24">
        <v>1335</v>
      </c>
      <c r="T24">
        <v>1509</v>
      </c>
      <c r="U24">
        <v>536</v>
      </c>
      <c r="V24">
        <v>600</v>
      </c>
      <c r="W24">
        <v>750</v>
      </c>
      <c r="X24">
        <v>969</v>
      </c>
      <c r="Y24">
        <v>1061</v>
      </c>
      <c r="Z24">
        <v>1152</v>
      </c>
      <c r="AA24">
        <v>1243</v>
      </c>
      <c r="AB24">
        <v>485</v>
      </c>
      <c r="AC24">
        <v>520</v>
      </c>
      <c r="AD24">
        <v>623</v>
      </c>
      <c r="AE24">
        <v>720</v>
      </c>
      <c r="AF24">
        <v>803</v>
      </c>
      <c r="AG24">
        <v>886</v>
      </c>
      <c r="AH24">
        <v>969</v>
      </c>
      <c r="AI24">
        <v>655</v>
      </c>
      <c r="AJ24">
        <v>703</v>
      </c>
      <c r="AK24">
        <v>846</v>
      </c>
      <c r="AL24">
        <v>969</v>
      </c>
      <c r="AM24">
        <v>1061</v>
      </c>
      <c r="AN24">
        <v>1152</v>
      </c>
      <c r="AO24">
        <v>1243</v>
      </c>
    </row>
    <row r="25" spans="1:41">
      <c r="A25" s="859">
        <v>22</v>
      </c>
      <c r="B25" s="859" t="s">
        <v>936</v>
      </c>
      <c r="C25" s="859" t="s">
        <v>1015</v>
      </c>
      <c r="D25" s="859" t="s">
        <v>1016</v>
      </c>
      <c r="E25" s="859" t="s">
        <v>1017</v>
      </c>
      <c r="F25" t="s">
        <v>1018</v>
      </c>
      <c r="G25">
        <v>505</v>
      </c>
      <c r="H25">
        <v>540</v>
      </c>
      <c r="I25">
        <v>648</v>
      </c>
      <c r="J25">
        <v>749</v>
      </c>
      <c r="K25">
        <v>836</v>
      </c>
      <c r="L25">
        <v>922</v>
      </c>
      <c r="M25">
        <v>1008</v>
      </c>
      <c r="N25">
        <v>580</v>
      </c>
      <c r="O25">
        <v>584</v>
      </c>
      <c r="P25">
        <v>759</v>
      </c>
      <c r="Q25">
        <v>952</v>
      </c>
      <c r="R25">
        <v>1047</v>
      </c>
      <c r="S25">
        <v>1204</v>
      </c>
      <c r="T25">
        <v>1361</v>
      </c>
      <c r="U25">
        <v>580</v>
      </c>
      <c r="V25">
        <v>584</v>
      </c>
      <c r="W25">
        <v>759</v>
      </c>
      <c r="X25">
        <v>940</v>
      </c>
      <c r="Y25">
        <v>1029</v>
      </c>
      <c r="Z25">
        <v>1117</v>
      </c>
      <c r="AA25">
        <v>1205</v>
      </c>
      <c r="AB25">
        <v>505</v>
      </c>
      <c r="AC25">
        <v>540</v>
      </c>
      <c r="AD25">
        <v>648</v>
      </c>
      <c r="AE25">
        <v>749</v>
      </c>
      <c r="AF25">
        <v>836</v>
      </c>
      <c r="AG25">
        <v>922</v>
      </c>
      <c r="AH25">
        <v>1008</v>
      </c>
      <c r="AI25">
        <v>636</v>
      </c>
      <c r="AJ25">
        <v>683</v>
      </c>
      <c r="AK25">
        <v>822</v>
      </c>
      <c r="AL25">
        <v>940</v>
      </c>
      <c r="AM25">
        <v>1029</v>
      </c>
      <c r="AN25">
        <v>1117</v>
      </c>
      <c r="AO25">
        <v>1205</v>
      </c>
    </row>
    <row r="26" spans="1:41">
      <c r="A26" s="859">
        <v>22</v>
      </c>
      <c r="B26" s="859" t="s">
        <v>936</v>
      </c>
      <c r="C26" s="859" t="s">
        <v>1019</v>
      </c>
      <c r="D26" s="859" t="s">
        <v>1020</v>
      </c>
      <c r="E26" s="859" t="s">
        <v>1021</v>
      </c>
      <c r="F26" t="s">
        <v>1022</v>
      </c>
      <c r="G26">
        <v>510</v>
      </c>
      <c r="H26">
        <v>562</v>
      </c>
      <c r="I26">
        <v>675</v>
      </c>
      <c r="J26">
        <v>778</v>
      </c>
      <c r="K26">
        <v>868</v>
      </c>
      <c r="L26">
        <v>958</v>
      </c>
      <c r="M26">
        <v>1048</v>
      </c>
      <c r="N26">
        <v>510</v>
      </c>
      <c r="O26">
        <v>580</v>
      </c>
      <c r="P26">
        <v>708</v>
      </c>
      <c r="Q26">
        <v>888</v>
      </c>
      <c r="R26">
        <v>964</v>
      </c>
      <c r="S26">
        <v>1109</v>
      </c>
      <c r="T26">
        <v>1253</v>
      </c>
      <c r="U26">
        <v>510</v>
      </c>
      <c r="V26">
        <v>580</v>
      </c>
      <c r="W26">
        <v>708</v>
      </c>
      <c r="X26">
        <v>888</v>
      </c>
      <c r="Y26">
        <v>964</v>
      </c>
      <c r="Z26">
        <v>1109</v>
      </c>
      <c r="AA26">
        <v>1253</v>
      </c>
      <c r="AB26">
        <v>525</v>
      </c>
      <c r="AC26">
        <v>562</v>
      </c>
      <c r="AD26">
        <v>675</v>
      </c>
      <c r="AE26">
        <v>778</v>
      </c>
      <c r="AF26">
        <v>868</v>
      </c>
      <c r="AG26">
        <v>958</v>
      </c>
      <c r="AH26">
        <v>1048</v>
      </c>
      <c r="AI26">
        <v>679</v>
      </c>
      <c r="AJ26">
        <v>729</v>
      </c>
      <c r="AK26">
        <v>877</v>
      </c>
      <c r="AL26">
        <v>1004</v>
      </c>
      <c r="AM26">
        <v>1100</v>
      </c>
      <c r="AN26">
        <v>1196</v>
      </c>
      <c r="AO26">
        <v>1291</v>
      </c>
    </row>
    <row r="27" spans="1:41">
      <c r="A27" s="859">
        <v>22</v>
      </c>
      <c r="B27" s="859" t="s">
        <v>936</v>
      </c>
      <c r="C27" s="859" t="s">
        <v>1023</v>
      </c>
      <c r="D27" s="859" t="s">
        <v>1024</v>
      </c>
      <c r="E27" s="859" t="s">
        <v>1025</v>
      </c>
      <c r="F27" t="s">
        <v>1026</v>
      </c>
      <c r="G27">
        <v>466</v>
      </c>
      <c r="H27">
        <v>499</v>
      </c>
      <c r="I27">
        <v>598</v>
      </c>
      <c r="J27">
        <v>691</v>
      </c>
      <c r="K27">
        <v>772</v>
      </c>
      <c r="L27">
        <v>851</v>
      </c>
      <c r="M27">
        <v>931</v>
      </c>
      <c r="N27">
        <v>529</v>
      </c>
      <c r="O27">
        <v>532</v>
      </c>
      <c r="P27">
        <v>680</v>
      </c>
      <c r="Q27">
        <v>927</v>
      </c>
      <c r="R27">
        <v>1198</v>
      </c>
      <c r="S27">
        <v>1378</v>
      </c>
      <c r="T27">
        <v>1557</v>
      </c>
      <c r="U27">
        <v>529</v>
      </c>
      <c r="V27">
        <v>532</v>
      </c>
      <c r="W27">
        <v>680</v>
      </c>
      <c r="X27">
        <v>890</v>
      </c>
      <c r="Y27">
        <v>974</v>
      </c>
      <c r="Z27">
        <v>1056</v>
      </c>
      <c r="AA27">
        <v>1138</v>
      </c>
      <c r="AB27">
        <v>466</v>
      </c>
      <c r="AC27">
        <v>499</v>
      </c>
      <c r="AD27">
        <v>598</v>
      </c>
      <c r="AE27">
        <v>691</v>
      </c>
      <c r="AF27">
        <v>772</v>
      </c>
      <c r="AG27">
        <v>851</v>
      </c>
      <c r="AH27">
        <v>931</v>
      </c>
      <c r="AI27">
        <v>603</v>
      </c>
      <c r="AJ27">
        <v>647</v>
      </c>
      <c r="AK27">
        <v>778</v>
      </c>
      <c r="AL27">
        <v>890</v>
      </c>
      <c r="AM27">
        <v>974</v>
      </c>
      <c r="AN27">
        <v>1056</v>
      </c>
      <c r="AO27">
        <v>1138</v>
      </c>
    </row>
    <row r="28" spans="1:41">
      <c r="A28" s="859">
        <v>22</v>
      </c>
      <c r="B28" s="859" t="s">
        <v>936</v>
      </c>
      <c r="C28" s="859" t="s">
        <v>1027</v>
      </c>
      <c r="D28" s="859" t="s">
        <v>1028</v>
      </c>
      <c r="E28" s="859" t="s">
        <v>1029</v>
      </c>
      <c r="F28" t="s">
        <v>1030</v>
      </c>
      <c r="G28">
        <v>575</v>
      </c>
      <c r="H28">
        <v>615</v>
      </c>
      <c r="I28">
        <v>738</v>
      </c>
      <c r="J28">
        <v>853</v>
      </c>
      <c r="K28">
        <v>951</v>
      </c>
      <c r="L28">
        <v>1050</v>
      </c>
      <c r="M28">
        <v>1148</v>
      </c>
      <c r="N28">
        <v>708</v>
      </c>
      <c r="O28">
        <v>827</v>
      </c>
      <c r="P28">
        <v>996</v>
      </c>
      <c r="Q28">
        <v>1277</v>
      </c>
      <c r="R28">
        <v>1477</v>
      </c>
      <c r="S28">
        <v>1699</v>
      </c>
      <c r="T28">
        <v>1920</v>
      </c>
      <c r="U28">
        <v>708</v>
      </c>
      <c r="V28">
        <v>827</v>
      </c>
      <c r="W28">
        <v>996</v>
      </c>
      <c r="X28">
        <v>1147</v>
      </c>
      <c r="Y28">
        <v>1260</v>
      </c>
      <c r="Z28">
        <v>1371</v>
      </c>
      <c r="AA28">
        <v>1483</v>
      </c>
      <c r="AB28">
        <v>575</v>
      </c>
      <c r="AC28">
        <v>615</v>
      </c>
      <c r="AD28">
        <v>738</v>
      </c>
      <c r="AE28">
        <v>853</v>
      </c>
      <c r="AF28">
        <v>951</v>
      </c>
      <c r="AG28">
        <v>1050</v>
      </c>
      <c r="AH28">
        <v>1148</v>
      </c>
      <c r="AI28">
        <v>775</v>
      </c>
      <c r="AJ28">
        <v>832</v>
      </c>
      <c r="AK28">
        <v>1001</v>
      </c>
      <c r="AL28">
        <v>1147</v>
      </c>
      <c r="AM28">
        <v>1260</v>
      </c>
      <c r="AN28">
        <v>1371</v>
      </c>
      <c r="AO28">
        <v>1483</v>
      </c>
    </row>
    <row r="29" spans="1:41">
      <c r="A29" s="859">
        <v>22</v>
      </c>
      <c r="B29" s="859" t="s">
        <v>936</v>
      </c>
      <c r="C29" s="859" t="s">
        <v>1031</v>
      </c>
      <c r="D29" s="859" t="s">
        <v>1032</v>
      </c>
      <c r="E29" s="859" t="s">
        <v>1033</v>
      </c>
      <c r="F29" t="s">
        <v>1034</v>
      </c>
      <c r="G29">
        <v>492</v>
      </c>
      <c r="H29">
        <v>527</v>
      </c>
      <c r="I29">
        <v>632</v>
      </c>
      <c r="J29">
        <v>730</v>
      </c>
      <c r="K29">
        <v>815</v>
      </c>
      <c r="L29">
        <v>899</v>
      </c>
      <c r="M29">
        <v>983</v>
      </c>
      <c r="N29">
        <v>576</v>
      </c>
      <c r="O29">
        <v>592</v>
      </c>
      <c r="P29">
        <v>680</v>
      </c>
      <c r="Q29">
        <v>970</v>
      </c>
      <c r="R29">
        <v>973</v>
      </c>
      <c r="S29">
        <v>1119</v>
      </c>
      <c r="T29">
        <v>1265</v>
      </c>
      <c r="U29">
        <v>576</v>
      </c>
      <c r="V29">
        <v>592</v>
      </c>
      <c r="W29">
        <v>680</v>
      </c>
      <c r="X29">
        <v>952</v>
      </c>
      <c r="Y29">
        <v>973</v>
      </c>
      <c r="Z29">
        <v>1119</v>
      </c>
      <c r="AA29">
        <v>1221</v>
      </c>
      <c r="AB29">
        <v>492</v>
      </c>
      <c r="AC29">
        <v>527</v>
      </c>
      <c r="AD29">
        <v>632</v>
      </c>
      <c r="AE29">
        <v>730</v>
      </c>
      <c r="AF29">
        <v>815</v>
      </c>
      <c r="AG29">
        <v>899</v>
      </c>
      <c r="AH29">
        <v>983</v>
      </c>
      <c r="AI29">
        <v>644</v>
      </c>
      <c r="AJ29">
        <v>691</v>
      </c>
      <c r="AK29">
        <v>832</v>
      </c>
      <c r="AL29">
        <v>952</v>
      </c>
      <c r="AM29">
        <v>1043</v>
      </c>
      <c r="AN29">
        <v>1131</v>
      </c>
      <c r="AO29">
        <v>1221</v>
      </c>
    </row>
    <row r="30" spans="1:41">
      <c r="A30" s="859">
        <v>22</v>
      </c>
      <c r="B30" s="859" t="s">
        <v>936</v>
      </c>
      <c r="C30" s="859" t="s">
        <v>1035</v>
      </c>
      <c r="D30" s="859" t="s">
        <v>1036</v>
      </c>
      <c r="E30" s="859" t="s">
        <v>1037</v>
      </c>
      <c r="F30" t="s">
        <v>1038</v>
      </c>
      <c r="G30">
        <v>616</v>
      </c>
      <c r="H30">
        <v>660</v>
      </c>
      <c r="I30">
        <v>792</v>
      </c>
      <c r="J30">
        <v>915</v>
      </c>
      <c r="K30">
        <v>1021</v>
      </c>
      <c r="L30">
        <v>1126</v>
      </c>
      <c r="M30">
        <v>1232</v>
      </c>
      <c r="N30">
        <v>618</v>
      </c>
      <c r="O30">
        <v>751</v>
      </c>
      <c r="P30">
        <v>865</v>
      </c>
      <c r="Q30">
        <v>1127</v>
      </c>
      <c r="R30">
        <v>1259</v>
      </c>
      <c r="S30">
        <v>1448</v>
      </c>
      <c r="T30">
        <v>1637</v>
      </c>
      <c r="U30">
        <v>618</v>
      </c>
      <c r="V30">
        <v>751</v>
      </c>
      <c r="W30">
        <v>865</v>
      </c>
      <c r="X30">
        <v>1127</v>
      </c>
      <c r="Y30">
        <v>1259</v>
      </c>
      <c r="Z30">
        <v>1403</v>
      </c>
      <c r="AA30">
        <v>1518</v>
      </c>
      <c r="AB30">
        <v>616</v>
      </c>
      <c r="AC30">
        <v>660</v>
      </c>
      <c r="AD30">
        <v>792</v>
      </c>
      <c r="AE30">
        <v>915</v>
      </c>
      <c r="AF30">
        <v>1021</v>
      </c>
      <c r="AG30">
        <v>1126</v>
      </c>
      <c r="AH30">
        <v>1232</v>
      </c>
      <c r="AI30">
        <v>793</v>
      </c>
      <c r="AJ30">
        <v>851</v>
      </c>
      <c r="AK30">
        <v>1023</v>
      </c>
      <c r="AL30">
        <v>1173</v>
      </c>
      <c r="AM30">
        <v>1289</v>
      </c>
      <c r="AN30">
        <v>1403</v>
      </c>
      <c r="AO30">
        <v>1518</v>
      </c>
    </row>
    <row r="31" spans="1:41">
      <c r="A31" s="859">
        <v>22</v>
      </c>
      <c r="B31" s="859" t="s">
        <v>936</v>
      </c>
      <c r="C31" s="859" t="s">
        <v>1039</v>
      </c>
      <c r="D31" s="859" t="s">
        <v>1040</v>
      </c>
      <c r="E31" s="859" t="s">
        <v>1041</v>
      </c>
      <c r="F31" t="s">
        <v>1042</v>
      </c>
      <c r="G31">
        <v>540</v>
      </c>
      <c r="H31">
        <v>578</v>
      </c>
      <c r="I31">
        <v>693</v>
      </c>
      <c r="J31">
        <v>801</v>
      </c>
      <c r="K31">
        <v>893</v>
      </c>
      <c r="L31">
        <v>986</v>
      </c>
      <c r="M31">
        <v>1078</v>
      </c>
      <c r="N31">
        <v>646</v>
      </c>
      <c r="O31">
        <v>650</v>
      </c>
      <c r="P31">
        <v>824</v>
      </c>
      <c r="Q31">
        <v>1156</v>
      </c>
      <c r="R31">
        <v>1406</v>
      </c>
      <c r="S31">
        <v>1617</v>
      </c>
      <c r="T31">
        <v>1828</v>
      </c>
      <c r="U31">
        <v>646</v>
      </c>
      <c r="V31">
        <v>650</v>
      </c>
      <c r="W31">
        <v>824</v>
      </c>
      <c r="X31">
        <v>1062</v>
      </c>
      <c r="Y31">
        <v>1165</v>
      </c>
      <c r="Z31">
        <v>1267</v>
      </c>
      <c r="AA31">
        <v>1369</v>
      </c>
      <c r="AB31">
        <v>540</v>
      </c>
      <c r="AC31">
        <v>578</v>
      </c>
      <c r="AD31">
        <v>693</v>
      </c>
      <c r="AE31">
        <v>801</v>
      </c>
      <c r="AF31">
        <v>893</v>
      </c>
      <c r="AG31">
        <v>986</v>
      </c>
      <c r="AH31">
        <v>1078</v>
      </c>
      <c r="AI31">
        <v>719</v>
      </c>
      <c r="AJ31">
        <v>771</v>
      </c>
      <c r="AK31">
        <v>927</v>
      </c>
      <c r="AL31">
        <v>1062</v>
      </c>
      <c r="AM31">
        <v>1165</v>
      </c>
      <c r="AN31">
        <v>1267</v>
      </c>
      <c r="AO31">
        <v>1369</v>
      </c>
    </row>
    <row r="32" spans="1:41">
      <c r="A32" s="859">
        <v>22</v>
      </c>
      <c r="B32" s="859" t="s">
        <v>936</v>
      </c>
      <c r="C32" s="859" t="s">
        <v>1043</v>
      </c>
      <c r="D32" s="859" t="s">
        <v>1044</v>
      </c>
      <c r="E32" s="859" t="s">
        <v>1045</v>
      </c>
      <c r="F32" t="s">
        <v>1046</v>
      </c>
      <c r="G32">
        <v>500</v>
      </c>
      <c r="H32">
        <v>525</v>
      </c>
      <c r="I32">
        <v>642</v>
      </c>
      <c r="J32">
        <v>742</v>
      </c>
      <c r="K32">
        <v>828</v>
      </c>
      <c r="L32">
        <v>914</v>
      </c>
      <c r="M32">
        <v>999</v>
      </c>
      <c r="N32">
        <v>522</v>
      </c>
      <c r="O32">
        <v>525</v>
      </c>
      <c r="P32">
        <v>680</v>
      </c>
      <c r="Q32">
        <v>886</v>
      </c>
      <c r="R32">
        <v>1023</v>
      </c>
      <c r="S32">
        <v>1176</v>
      </c>
      <c r="T32">
        <v>1330</v>
      </c>
      <c r="U32">
        <v>522</v>
      </c>
      <c r="V32">
        <v>525</v>
      </c>
      <c r="W32">
        <v>680</v>
      </c>
      <c r="X32">
        <v>886</v>
      </c>
      <c r="Y32">
        <v>1023</v>
      </c>
      <c r="Z32">
        <v>1176</v>
      </c>
      <c r="AA32">
        <v>1305</v>
      </c>
      <c r="AB32">
        <v>500</v>
      </c>
      <c r="AC32">
        <v>535</v>
      </c>
      <c r="AD32">
        <v>642</v>
      </c>
      <c r="AE32">
        <v>742</v>
      </c>
      <c r="AF32">
        <v>828</v>
      </c>
      <c r="AG32">
        <v>914</v>
      </c>
      <c r="AH32">
        <v>999</v>
      </c>
      <c r="AI32">
        <v>686</v>
      </c>
      <c r="AJ32">
        <v>736</v>
      </c>
      <c r="AK32">
        <v>886</v>
      </c>
      <c r="AL32">
        <v>1014</v>
      </c>
      <c r="AM32">
        <v>1111</v>
      </c>
      <c r="AN32">
        <v>1208</v>
      </c>
      <c r="AO32">
        <v>1305</v>
      </c>
    </row>
    <row r="33" spans="1:41">
      <c r="A33" s="859">
        <v>22</v>
      </c>
      <c r="B33" s="859" t="s">
        <v>936</v>
      </c>
      <c r="C33" s="859" t="s">
        <v>1047</v>
      </c>
      <c r="D33" s="859" t="s">
        <v>1048</v>
      </c>
      <c r="E33" s="859" t="s">
        <v>1049</v>
      </c>
      <c r="F33" t="s">
        <v>1050</v>
      </c>
      <c r="G33">
        <v>490</v>
      </c>
      <c r="H33">
        <v>525</v>
      </c>
      <c r="I33">
        <v>630</v>
      </c>
      <c r="J33">
        <v>726</v>
      </c>
      <c r="K33">
        <v>811</v>
      </c>
      <c r="L33">
        <v>895</v>
      </c>
      <c r="M33">
        <v>978</v>
      </c>
      <c r="N33">
        <v>648</v>
      </c>
      <c r="O33">
        <v>652</v>
      </c>
      <c r="P33">
        <v>783</v>
      </c>
      <c r="Q33">
        <v>1025</v>
      </c>
      <c r="R33">
        <v>1066</v>
      </c>
      <c r="S33">
        <v>1226</v>
      </c>
      <c r="T33">
        <v>1386</v>
      </c>
      <c r="U33">
        <v>638</v>
      </c>
      <c r="V33">
        <v>652</v>
      </c>
      <c r="W33">
        <v>783</v>
      </c>
      <c r="X33">
        <v>943</v>
      </c>
      <c r="Y33">
        <v>1033</v>
      </c>
      <c r="Z33">
        <v>1121</v>
      </c>
      <c r="AA33">
        <v>1208</v>
      </c>
      <c r="AB33">
        <v>490</v>
      </c>
      <c r="AC33">
        <v>525</v>
      </c>
      <c r="AD33">
        <v>630</v>
      </c>
      <c r="AE33">
        <v>726</v>
      </c>
      <c r="AF33">
        <v>811</v>
      </c>
      <c r="AG33">
        <v>895</v>
      </c>
      <c r="AH33">
        <v>978</v>
      </c>
      <c r="AI33">
        <v>638</v>
      </c>
      <c r="AJ33">
        <v>684</v>
      </c>
      <c r="AK33">
        <v>823</v>
      </c>
      <c r="AL33">
        <v>943</v>
      </c>
      <c r="AM33">
        <v>1033</v>
      </c>
      <c r="AN33">
        <v>1121</v>
      </c>
      <c r="AO33">
        <v>1208</v>
      </c>
    </row>
    <row r="34" spans="1:41">
      <c r="A34" s="859">
        <v>22</v>
      </c>
      <c r="B34" s="859" t="s">
        <v>936</v>
      </c>
      <c r="C34" s="859" t="s">
        <v>945</v>
      </c>
      <c r="D34" s="859" t="s">
        <v>946</v>
      </c>
      <c r="E34" s="859" t="s">
        <v>1051</v>
      </c>
      <c r="F34" t="s">
        <v>1052</v>
      </c>
      <c r="G34">
        <v>647</v>
      </c>
      <c r="H34">
        <v>701</v>
      </c>
      <c r="I34">
        <v>842</v>
      </c>
      <c r="J34">
        <v>972</v>
      </c>
      <c r="K34">
        <v>1085</v>
      </c>
      <c r="L34">
        <v>1197</v>
      </c>
      <c r="M34">
        <v>1309</v>
      </c>
      <c r="N34">
        <v>647</v>
      </c>
      <c r="O34">
        <v>789</v>
      </c>
      <c r="P34">
        <v>906</v>
      </c>
      <c r="Q34">
        <v>1155</v>
      </c>
      <c r="R34">
        <v>1459</v>
      </c>
      <c r="S34">
        <v>1678</v>
      </c>
      <c r="T34">
        <v>1897</v>
      </c>
      <c r="U34">
        <v>647</v>
      </c>
      <c r="V34">
        <v>789</v>
      </c>
      <c r="W34">
        <v>906</v>
      </c>
      <c r="X34">
        <v>1155</v>
      </c>
      <c r="Y34">
        <v>1353</v>
      </c>
      <c r="Z34">
        <v>1474</v>
      </c>
      <c r="AA34">
        <v>1595</v>
      </c>
      <c r="AB34">
        <v>655</v>
      </c>
      <c r="AC34">
        <v>701</v>
      </c>
      <c r="AD34">
        <v>842</v>
      </c>
      <c r="AE34">
        <v>972</v>
      </c>
      <c r="AF34">
        <v>1085</v>
      </c>
      <c r="AG34">
        <v>1197</v>
      </c>
      <c r="AH34">
        <v>1309</v>
      </c>
      <c r="AI34">
        <v>831</v>
      </c>
      <c r="AJ34">
        <v>892</v>
      </c>
      <c r="AK34">
        <v>1072</v>
      </c>
      <c r="AL34">
        <v>1230</v>
      </c>
      <c r="AM34">
        <v>1353</v>
      </c>
      <c r="AN34">
        <v>1474</v>
      </c>
      <c r="AO34">
        <v>1595</v>
      </c>
    </row>
    <row r="35" spans="1:41">
      <c r="A35" s="859">
        <v>22</v>
      </c>
      <c r="B35" s="859" t="s">
        <v>936</v>
      </c>
      <c r="C35" s="859" t="s">
        <v>1053</v>
      </c>
      <c r="D35" s="859" t="s">
        <v>1054</v>
      </c>
      <c r="E35" s="859" t="s">
        <v>1055</v>
      </c>
      <c r="F35" t="s">
        <v>1056</v>
      </c>
      <c r="G35">
        <v>433</v>
      </c>
      <c r="H35">
        <v>464</v>
      </c>
      <c r="I35">
        <v>557</v>
      </c>
      <c r="J35">
        <v>643</v>
      </c>
      <c r="K35">
        <v>718</v>
      </c>
      <c r="L35">
        <v>792</v>
      </c>
      <c r="M35">
        <v>866</v>
      </c>
      <c r="N35">
        <v>508</v>
      </c>
      <c r="O35">
        <v>511</v>
      </c>
      <c r="P35">
        <v>680</v>
      </c>
      <c r="Q35">
        <v>853</v>
      </c>
      <c r="R35">
        <v>926</v>
      </c>
      <c r="S35">
        <v>1065</v>
      </c>
      <c r="T35">
        <v>1204</v>
      </c>
      <c r="U35">
        <v>508</v>
      </c>
      <c r="V35">
        <v>511</v>
      </c>
      <c r="W35">
        <v>680</v>
      </c>
      <c r="X35">
        <v>822</v>
      </c>
      <c r="Y35">
        <v>898</v>
      </c>
      <c r="Z35">
        <v>971</v>
      </c>
      <c r="AA35">
        <v>1046</v>
      </c>
      <c r="AB35">
        <v>433</v>
      </c>
      <c r="AC35">
        <v>464</v>
      </c>
      <c r="AD35">
        <v>557</v>
      </c>
      <c r="AE35">
        <v>643</v>
      </c>
      <c r="AF35">
        <v>718</v>
      </c>
      <c r="AG35">
        <v>792</v>
      </c>
      <c r="AH35">
        <v>866</v>
      </c>
      <c r="AI35">
        <v>556</v>
      </c>
      <c r="AJ35">
        <v>598</v>
      </c>
      <c r="AK35">
        <v>719</v>
      </c>
      <c r="AL35">
        <v>822</v>
      </c>
      <c r="AM35">
        <v>898</v>
      </c>
      <c r="AN35">
        <v>971</v>
      </c>
      <c r="AO35">
        <v>1046</v>
      </c>
    </row>
    <row r="36" spans="1:41">
      <c r="A36" s="859">
        <v>22</v>
      </c>
      <c r="B36" s="859" t="s">
        <v>936</v>
      </c>
      <c r="C36" s="859" t="s">
        <v>1057</v>
      </c>
      <c r="D36" s="859" t="s">
        <v>1058</v>
      </c>
      <c r="E36" s="859" t="s">
        <v>1059</v>
      </c>
      <c r="F36" t="s">
        <v>1060</v>
      </c>
      <c r="G36">
        <v>433</v>
      </c>
      <c r="H36">
        <v>464</v>
      </c>
      <c r="I36">
        <v>557</v>
      </c>
      <c r="J36">
        <v>643</v>
      </c>
      <c r="K36">
        <v>718</v>
      </c>
      <c r="L36">
        <v>792</v>
      </c>
      <c r="M36">
        <v>866</v>
      </c>
      <c r="N36">
        <v>576</v>
      </c>
      <c r="O36">
        <v>592</v>
      </c>
      <c r="P36">
        <v>680</v>
      </c>
      <c r="Q36">
        <v>925</v>
      </c>
      <c r="R36">
        <v>1023</v>
      </c>
      <c r="S36">
        <v>1176</v>
      </c>
      <c r="T36">
        <v>1330</v>
      </c>
      <c r="U36">
        <v>556</v>
      </c>
      <c r="V36">
        <v>592</v>
      </c>
      <c r="W36">
        <v>680</v>
      </c>
      <c r="X36">
        <v>822</v>
      </c>
      <c r="Y36">
        <v>898</v>
      </c>
      <c r="Z36">
        <v>971</v>
      </c>
      <c r="AA36">
        <v>1046</v>
      </c>
      <c r="AB36">
        <v>433</v>
      </c>
      <c r="AC36">
        <v>464</v>
      </c>
      <c r="AD36">
        <v>557</v>
      </c>
      <c r="AE36">
        <v>643</v>
      </c>
      <c r="AF36">
        <v>718</v>
      </c>
      <c r="AG36">
        <v>792</v>
      </c>
      <c r="AH36">
        <v>866</v>
      </c>
      <c r="AI36">
        <v>556</v>
      </c>
      <c r="AJ36">
        <v>598</v>
      </c>
      <c r="AK36">
        <v>719</v>
      </c>
      <c r="AL36">
        <v>822</v>
      </c>
      <c r="AM36">
        <v>898</v>
      </c>
      <c r="AN36">
        <v>971</v>
      </c>
      <c r="AO36">
        <v>1046</v>
      </c>
    </row>
    <row r="37" spans="1:41">
      <c r="A37" s="859">
        <v>22</v>
      </c>
      <c r="B37" s="859" t="s">
        <v>936</v>
      </c>
      <c r="C37" s="859" t="s">
        <v>1061</v>
      </c>
      <c r="D37" s="859" t="s">
        <v>1062</v>
      </c>
      <c r="E37" s="859" t="s">
        <v>1063</v>
      </c>
      <c r="F37" t="s">
        <v>1064</v>
      </c>
      <c r="G37">
        <v>433</v>
      </c>
      <c r="H37">
        <v>464</v>
      </c>
      <c r="I37">
        <v>557</v>
      </c>
      <c r="J37">
        <v>643</v>
      </c>
      <c r="K37">
        <v>718</v>
      </c>
      <c r="L37">
        <v>792</v>
      </c>
      <c r="M37">
        <v>866</v>
      </c>
      <c r="N37">
        <v>573</v>
      </c>
      <c r="O37">
        <v>577</v>
      </c>
      <c r="P37">
        <v>767</v>
      </c>
      <c r="Q37">
        <v>1001</v>
      </c>
      <c r="R37">
        <v>1045</v>
      </c>
      <c r="S37">
        <v>1202</v>
      </c>
      <c r="T37">
        <v>1359</v>
      </c>
      <c r="U37">
        <v>573</v>
      </c>
      <c r="V37">
        <v>577</v>
      </c>
      <c r="W37">
        <v>743</v>
      </c>
      <c r="X37">
        <v>849</v>
      </c>
      <c r="Y37">
        <v>928</v>
      </c>
      <c r="Z37">
        <v>1005</v>
      </c>
      <c r="AA37">
        <v>1082</v>
      </c>
      <c r="AB37">
        <v>433</v>
      </c>
      <c r="AC37">
        <v>464</v>
      </c>
      <c r="AD37">
        <v>557</v>
      </c>
      <c r="AE37">
        <v>643</v>
      </c>
      <c r="AF37">
        <v>718</v>
      </c>
      <c r="AG37">
        <v>792</v>
      </c>
      <c r="AH37">
        <v>866</v>
      </c>
      <c r="AI37">
        <v>575</v>
      </c>
      <c r="AJ37">
        <v>618</v>
      </c>
      <c r="AK37">
        <v>743</v>
      </c>
      <c r="AL37">
        <v>849</v>
      </c>
      <c r="AM37">
        <v>928</v>
      </c>
      <c r="AN37">
        <v>1005</v>
      </c>
      <c r="AO37">
        <v>1082</v>
      </c>
    </row>
    <row r="38" spans="1:41">
      <c r="A38" s="859">
        <v>22</v>
      </c>
      <c r="B38" s="859" t="s">
        <v>936</v>
      </c>
      <c r="C38" s="859" t="s">
        <v>1027</v>
      </c>
      <c r="D38" s="859" t="s">
        <v>1028</v>
      </c>
      <c r="E38" s="859" t="s">
        <v>1065</v>
      </c>
      <c r="F38" t="s">
        <v>1066</v>
      </c>
      <c r="G38">
        <v>575</v>
      </c>
      <c r="H38">
        <v>615</v>
      </c>
      <c r="I38">
        <v>738</v>
      </c>
      <c r="J38">
        <v>853</v>
      </c>
      <c r="K38">
        <v>951</v>
      </c>
      <c r="L38">
        <v>1050</v>
      </c>
      <c r="M38">
        <v>1148</v>
      </c>
      <c r="N38">
        <v>708</v>
      </c>
      <c r="O38">
        <v>827</v>
      </c>
      <c r="P38">
        <v>996</v>
      </c>
      <c r="Q38">
        <v>1277</v>
      </c>
      <c r="R38">
        <v>1477</v>
      </c>
      <c r="S38">
        <v>1699</v>
      </c>
      <c r="T38">
        <v>1920</v>
      </c>
      <c r="U38">
        <v>708</v>
      </c>
      <c r="V38">
        <v>827</v>
      </c>
      <c r="W38">
        <v>996</v>
      </c>
      <c r="X38">
        <v>1147</v>
      </c>
      <c r="Y38">
        <v>1260</v>
      </c>
      <c r="Z38">
        <v>1371</v>
      </c>
      <c r="AA38">
        <v>1483</v>
      </c>
      <c r="AB38">
        <v>575</v>
      </c>
      <c r="AC38">
        <v>615</v>
      </c>
      <c r="AD38">
        <v>738</v>
      </c>
      <c r="AE38">
        <v>853</v>
      </c>
      <c r="AF38">
        <v>951</v>
      </c>
      <c r="AG38">
        <v>1050</v>
      </c>
      <c r="AH38">
        <v>1148</v>
      </c>
      <c r="AI38">
        <v>775</v>
      </c>
      <c r="AJ38">
        <v>832</v>
      </c>
      <c r="AK38">
        <v>1001</v>
      </c>
      <c r="AL38">
        <v>1147</v>
      </c>
      <c r="AM38">
        <v>1260</v>
      </c>
      <c r="AN38">
        <v>1371</v>
      </c>
      <c r="AO38">
        <v>1483</v>
      </c>
    </row>
    <row r="39" spans="1:41">
      <c r="A39" s="859">
        <v>22</v>
      </c>
      <c r="B39" s="859" t="s">
        <v>936</v>
      </c>
      <c r="C39" s="859" t="s">
        <v>1067</v>
      </c>
      <c r="D39" s="859" t="s">
        <v>1068</v>
      </c>
      <c r="E39" s="859" t="s">
        <v>1069</v>
      </c>
      <c r="F39" t="s">
        <v>1070</v>
      </c>
      <c r="G39">
        <v>461</v>
      </c>
      <c r="H39">
        <v>493</v>
      </c>
      <c r="I39">
        <v>592</v>
      </c>
      <c r="J39">
        <v>684</v>
      </c>
      <c r="K39">
        <v>763</v>
      </c>
      <c r="L39">
        <v>842</v>
      </c>
      <c r="M39">
        <v>920</v>
      </c>
      <c r="N39">
        <v>563</v>
      </c>
      <c r="O39">
        <v>566</v>
      </c>
      <c r="P39">
        <v>728</v>
      </c>
      <c r="Q39">
        <v>926</v>
      </c>
      <c r="R39">
        <v>1004</v>
      </c>
      <c r="S39">
        <v>1155</v>
      </c>
      <c r="T39">
        <v>1305</v>
      </c>
      <c r="U39">
        <v>563</v>
      </c>
      <c r="V39">
        <v>566</v>
      </c>
      <c r="W39">
        <v>728</v>
      </c>
      <c r="X39">
        <v>926</v>
      </c>
      <c r="Y39">
        <v>1004</v>
      </c>
      <c r="Z39">
        <v>1127</v>
      </c>
      <c r="AA39">
        <v>1215</v>
      </c>
      <c r="AB39">
        <v>461</v>
      </c>
      <c r="AC39">
        <v>493</v>
      </c>
      <c r="AD39">
        <v>592</v>
      </c>
      <c r="AE39">
        <v>684</v>
      </c>
      <c r="AF39">
        <v>763</v>
      </c>
      <c r="AG39">
        <v>842</v>
      </c>
      <c r="AH39">
        <v>920</v>
      </c>
      <c r="AI39">
        <v>641</v>
      </c>
      <c r="AJ39">
        <v>688</v>
      </c>
      <c r="AK39">
        <v>828</v>
      </c>
      <c r="AL39">
        <v>948</v>
      </c>
      <c r="AM39">
        <v>1038</v>
      </c>
      <c r="AN39">
        <v>1127</v>
      </c>
      <c r="AO39">
        <v>1215</v>
      </c>
    </row>
    <row r="40" spans="1:41">
      <c r="A40" s="859">
        <v>22</v>
      </c>
      <c r="B40" s="859" t="s">
        <v>936</v>
      </c>
      <c r="C40" s="859" t="s">
        <v>1027</v>
      </c>
      <c r="D40" s="859" t="s">
        <v>1028</v>
      </c>
      <c r="E40" s="859" t="s">
        <v>1071</v>
      </c>
      <c r="F40" t="s">
        <v>1072</v>
      </c>
      <c r="G40">
        <v>575</v>
      </c>
      <c r="H40">
        <v>615</v>
      </c>
      <c r="I40">
        <v>738</v>
      </c>
      <c r="J40">
        <v>853</v>
      </c>
      <c r="K40">
        <v>951</v>
      </c>
      <c r="L40">
        <v>1050</v>
      </c>
      <c r="M40">
        <v>1148</v>
      </c>
      <c r="N40">
        <v>708</v>
      </c>
      <c r="O40">
        <v>827</v>
      </c>
      <c r="P40">
        <v>996</v>
      </c>
      <c r="Q40">
        <v>1277</v>
      </c>
      <c r="R40">
        <v>1477</v>
      </c>
      <c r="S40">
        <v>1699</v>
      </c>
      <c r="T40">
        <v>1920</v>
      </c>
      <c r="U40">
        <v>708</v>
      </c>
      <c r="V40">
        <v>827</v>
      </c>
      <c r="W40">
        <v>996</v>
      </c>
      <c r="X40">
        <v>1147</v>
      </c>
      <c r="Y40">
        <v>1260</v>
      </c>
      <c r="Z40">
        <v>1371</v>
      </c>
      <c r="AA40">
        <v>1483</v>
      </c>
      <c r="AB40">
        <v>575</v>
      </c>
      <c r="AC40">
        <v>615</v>
      </c>
      <c r="AD40">
        <v>738</v>
      </c>
      <c r="AE40">
        <v>853</v>
      </c>
      <c r="AF40">
        <v>951</v>
      </c>
      <c r="AG40">
        <v>1050</v>
      </c>
      <c r="AH40">
        <v>1148</v>
      </c>
      <c r="AI40">
        <v>775</v>
      </c>
      <c r="AJ40">
        <v>832</v>
      </c>
      <c r="AK40">
        <v>1001</v>
      </c>
      <c r="AL40">
        <v>1147</v>
      </c>
      <c r="AM40">
        <v>1260</v>
      </c>
      <c r="AN40">
        <v>1371</v>
      </c>
      <c r="AO40">
        <v>1483</v>
      </c>
    </row>
    <row r="41" spans="1:41">
      <c r="A41" s="859">
        <v>22</v>
      </c>
      <c r="B41" s="859" t="s">
        <v>936</v>
      </c>
      <c r="C41" s="859" t="s">
        <v>945</v>
      </c>
      <c r="D41" s="859" t="s">
        <v>946</v>
      </c>
      <c r="E41" s="859" t="s">
        <v>1073</v>
      </c>
      <c r="F41" t="s">
        <v>1074</v>
      </c>
      <c r="G41">
        <v>647</v>
      </c>
      <c r="H41">
        <v>701</v>
      </c>
      <c r="I41">
        <v>842</v>
      </c>
      <c r="J41">
        <v>972</v>
      </c>
      <c r="K41">
        <v>1085</v>
      </c>
      <c r="L41">
        <v>1197</v>
      </c>
      <c r="M41">
        <v>1309</v>
      </c>
      <c r="N41">
        <v>647</v>
      </c>
      <c r="O41">
        <v>789</v>
      </c>
      <c r="P41">
        <v>906</v>
      </c>
      <c r="Q41">
        <v>1155</v>
      </c>
      <c r="R41">
        <v>1459</v>
      </c>
      <c r="S41">
        <v>1678</v>
      </c>
      <c r="T41">
        <v>1897</v>
      </c>
      <c r="U41">
        <v>647</v>
      </c>
      <c r="V41">
        <v>789</v>
      </c>
      <c r="W41">
        <v>906</v>
      </c>
      <c r="X41">
        <v>1155</v>
      </c>
      <c r="Y41">
        <v>1353</v>
      </c>
      <c r="Z41">
        <v>1474</v>
      </c>
      <c r="AA41">
        <v>1595</v>
      </c>
      <c r="AB41">
        <v>655</v>
      </c>
      <c r="AC41">
        <v>701</v>
      </c>
      <c r="AD41">
        <v>842</v>
      </c>
      <c r="AE41">
        <v>972</v>
      </c>
      <c r="AF41">
        <v>1085</v>
      </c>
      <c r="AG41">
        <v>1197</v>
      </c>
      <c r="AH41">
        <v>1309</v>
      </c>
      <c r="AI41">
        <v>831</v>
      </c>
      <c r="AJ41">
        <v>892</v>
      </c>
      <c r="AK41">
        <v>1072</v>
      </c>
      <c r="AL41">
        <v>1230</v>
      </c>
      <c r="AM41">
        <v>1353</v>
      </c>
      <c r="AN41">
        <v>1474</v>
      </c>
      <c r="AO41">
        <v>1595</v>
      </c>
    </row>
    <row r="42" spans="1:41">
      <c r="A42" s="859">
        <v>22</v>
      </c>
      <c r="B42" s="859" t="s">
        <v>936</v>
      </c>
      <c r="C42" s="859" t="s">
        <v>1011</v>
      </c>
      <c r="D42" s="859" t="s">
        <v>1012</v>
      </c>
      <c r="E42" s="859" t="s">
        <v>1075</v>
      </c>
      <c r="F42" t="s">
        <v>1076</v>
      </c>
      <c r="G42">
        <v>485</v>
      </c>
      <c r="H42">
        <v>520</v>
      </c>
      <c r="I42">
        <v>623</v>
      </c>
      <c r="J42">
        <v>720</v>
      </c>
      <c r="K42">
        <v>803</v>
      </c>
      <c r="L42">
        <v>886</v>
      </c>
      <c r="M42">
        <v>969</v>
      </c>
      <c r="N42">
        <v>536</v>
      </c>
      <c r="O42">
        <v>600</v>
      </c>
      <c r="P42">
        <v>750</v>
      </c>
      <c r="Q42">
        <v>991</v>
      </c>
      <c r="R42">
        <v>1161</v>
      </c>
      <c r="S42">
        <v>1335</v>
      </c>
      <c r="T42">
        <v>1509</v>
      </c>
      <c r="U42">
        <v>536</v>
      </c>
      <c r="V42">
        <v>600</v>
      </c>
      <c r="W42">
        <v>750</v>
      </c>
      <c r="X42">
        <v>969</v>
      </c>
      <c r="Y42">
        <v>1061</v>
      </c>
      <c r="Z42">
        <v>1152</v>
      </c>
      <c r="AA42">
        <v>1243</v>
      </c>
      <c r="AB42">
        <v>485</v>
      </c>
      <c r="AC42">
        <v>520</v>
      </c>
      <c r="AD42">
        <v>623</v>
      </c>
      <c r="AE42">
        <v>720</v>
      </c>
      <c r="AF42">
        <v>803</v>
      </c>
      <c r="AG42">
        <v>886</v>
      </c>
      <c r="AH42">
        <v>969</v>
      </c>
      <c r="AI42">
        <v>655</v>
      </c>
      <c r="AJ42">
        <v>703</v>
      </c>
      <c r="AK42">
        <v>846</v>
      </c>
      <c r="AL42">
        <v>969</v>
      </c>
      <c r="AM42">
        <v>1061</v>
      </c>
      <c r="AN42">
        <v>1152</v>
      </c>
      <c r="AO42">
        <v>1243</v>
      </c>
    </row>
    <row r="43" spans="1:41">
      <c r="A43" s="859">
        <v>22</v>
      </c>
      <c r="B43" s="859" t="s">
        <v>936</v>
      </c>
      <c r="C43" s="859" t="s">
        <v>1077</v>
      </c>
      <c r="D43" s="859" t="s">
        <v>1078</v>
      </c>
      <c r="E43" s="859" t="s">
        <v>1079</v>
      </c>
      <c r="F43" t="s">
        <v>1080</v>
      </c>
      <c r="G43">
        <v>437</v>
      </c>
      <c r="H43">
        <v>468</v>
      </c>
      <c r="I43">
        <v>562</v>
      </c>
      <c r="J43">
        <v>648</v>
      </c>
      <c r="K43">
        <v>723</v>
      </c>
      <c r="L43">
        <v>798</v>
      </c>
      <c r="M43">
        <v>873</v>
      </c>
      <c r="N43">
        <v>568</v>
      </c>
      <c r="O43">
        <v>571</v>
      </c>
      <c r="P43">
        <v>760</v>
      </c>
      <c r="Q43">
        <v>953</v>
      </c>
      <c r="R43">
        <v>1035</v>
      </c>
      <c r="S43">
        <v>1190</v>
      </c>
      <c r="T43">
        <v>1346</v>
      </c>
      <c r="U43">
        <v>558</v>
      </c>
      <c r="V43">
        <v>571</v>
      </c>
      <c r="W43">
        <v>721</v>
      </c>
      <c r="X43">
        <v>823</v>
      </c>
      <c r="Y43">
        <v>899</v>
      </c>
      <c r="Z43">
        <v>973</v>
      </c>
      <c r="AA43">
        <v>1047</v>
      </c>
      <c r="AB43">
        <v>437</v>
      </c>
      <c r="AC43">
        <v>468</v>
      </c>
      <c r="AD43">
        <v>562</v>
      </c>
      <c r="AE43">
        <v>648</v>
      </c>
      <c r="AF43">
        <v>723</v>
      </c>
      <c r="AG43">
        <v>798</v>
      </c>
      <c r="AH43">
        <v>873</v>
      </c>
      <c r="AI43">
        <v>558</v>
      </c>
      <c r="AJ43">
        <v>599</v>
      </c>
      <c r="AK43">
        <v>721</v>
      </c>
      <c r="AL43">
        <v>823</v>
      </c>
      <c r="AM43">
        <v>899</v>
      </c>
      <c r="AN43">
        <v>973</v>
      </c>
      <c r="AO43">
        <v>1047</v>
      </c>
    </row>
    <row r="44" spans="1:41">
      <c r="A44" s="859">
        <v>22</v>
      </c>
      <c r="B44" s="859" t="s">
        <v>936</v>
      </c>
      <c r="C44" s="859" t="s">
        <v>1081</v>
      </c>
      <c r="D44" s="859" t="s">
        <v>1082</v>
      </c>
      <c r="E44" s="859" t="s">
        <v>1083</v>
      </c>
      <c r="F44" t="s">
        <v>1084</v>
      </c>
      <c r="G44">
        <v>433</v>
      </c>
      <c r="H44">
        <v>464</v>
      </c>
      <c r="I44">
        <v>557</v>
      </c>
      <c r="J44">
        <v>643</v>
      </c>
      <c r="K44">
        <v>718</v>
      </c>
      <c r="L44">
        <v>792</v>
      </c>
      <c r="M44">
        <v>866</v>
      </c>
      <c r="N44">
        <v>508</v>
      </c>
      <c r="O44">
        <v>511</v>
      </c>
      <c r="P44">
        <v>680</v>
      </c>
      <c r="Q44">
        <v>853</v>
      </c>
      <c r="R44">
        <v>1198</v>
      </c>
      <c r="S44">
        <v>1378</v>
      </c>
      <c r="T44">
        <v>1557</v>
      </c>
      <c r="U44">
        <v>508</v>
      </c>
      <c r="V44">
        <v>511</v>
      </c>
      <c r="W44">
        <v>680</v>
      </c>
      <c r="X44">
        <v>822</v>
      </c>
      <c r="Y44">
        <v>898</v>
      </c>
      <c r="Z44">
        <v>971</v>
      </c>
      <c r="AA44">
        <v>1046</v>
      </c>
      <c r="AB44">
        <v>433</v>
      </c>
      <c r="AC44">
        <v>464</v>
      </c>
      <c r="AD44">
        <v>557</v>
      </c>
      <c r="AE44">
        <v>643</v>
      </c>
      <c r="AF44">
        <v>718</v>
      </c>
      <c r="AG44">
        <v>792</v>
      </c>
      <c r="AH44">
        <v>866</v>
      </c>
      <c r="AI44">
        <v>556</v>
      </c>
      <c r="AJ44">
        <v>598</v>
      </c>
      <c r="AK44">
        <v>719</v>
      </c>
      <c r="AL44">
        <v>822</v>
      </c>
      <c r="AM44">
        <v>898</v>
      </c>
      <c r="AN44">
        <v>971</v>
      </c>
      <c r="AO44">
        <v>1046</v>
      </c>
    </row>
    <row r="45" spans="1:41">
      <c r="A45" s="859">
        <v>22</v>
      </c>
      <c r="B45" s="859" t="s">
        <v>936</v>
      </c>
      <c r="C45" s="859" t="s">
        <v>1085</v>
      </c>
      <c r="D45" s="859" t="s">
        <v>1086</v>
      </c>
      <c r="E45" s="859" t="s">
        <v>1087</v>
      </c>
      <c r="F45" t="s">
        <v>1088</v>
      </c>
      <c r="G45">
        <v>470</v>
      </c>
      <c r="H45">
        <v>503</v>
      </c>
      <c r="I45">
        <v>603</v>
      </c>
      <c r="J45">
        <v>696</v>
      </c>
      <c r="K45">
        <v>777</v>
      </c>
      <c r="L45">
        <v>858</v>
      </c>
      <c r="M45">
        <v>938</v>
      </c>
      <c r="N45">
        <v>553</v>
      </c>
      <c r="O45">
        <v>592</v>
      </c>
      <c r="P45">
        <v>680</v>
      </c>
      <c r="Q45">
        <v>889</v>
      </c>
      <c r="R45">
        <v>1198</v>
      </c>
      <c r="S45">
        <v>1378</v>
      </c>
      <c r="T45">
        <v>1557</v>
      </c>
      <c r="U45">
        <v>553</v>
      </c>
      <c r="V45">
        <v>592</v>
      </c>
      <c r="W45">
        <v>680</v>
      </c>
      <c r="X45">
        <v>872</v>
      </c>
      <c r="Y45">
        <v>954</v>
      </c>
      <c r="Z45">
        <v>1034</v>
      </c>
      <c r="AA45">
        <v>1114</v>
      </c>
      <c r="AB45">
        <v>470</v>
      </c>
      <c r="AC45">
        <v>503</v>
      </c>
      <c r="AD45">
        <v>603</v>
      </c>
      <c r="AE45">
        <v>696</v>
      </c>
      <c r="AF45">
        <v>777</v>
      </c>
      <c r="AG45">
        <v>858</v>
      </c>
      <c r="AH45">
        <v>938</v>
      </c>
      <c r="AI45">
        <v>590</v>
      </c>
      <c r="AJ45">
        <v>634</v>
      </c>
      <c r="AK45">
        <v>763</v>
      </c>
      <c r="AL45">
        <v>872</v>
      </c>
      <c r="AM45">
        <v>954</v>
      </c>
      <c r="AN45">
        <v>1034</v>
      </c>
      <c r="AO45">
        <v>1114</v>
      </c>
    </row>
    <row r="46" spans="1:41">
      <c r="A46" s="859">
        <v>22</v>
      </c>
      <c r="B46" s="859" t="s">
        <v>936</v>
      </c>
      <c r="C46" s="859" t="s">
        <v>1027</v>
      </c>
      <c r="D46" s="859" t="s">
        <v>1028</v>
      </c>
      <c r="E46" s="859" t="s">
        <v>1089</v>
      </c>
      <c r="F46" t="s">
        <v>1090</v>
      </c>
      <c r="G46">
        <v>575</v>
      </c>
      <c r="H46">
        <v>615</v>
      </c>
      <c r="I46">
        <v>738</v>
      </c>
      <c r="J46">
        <v>853</v>
      </c>
      <c r="K46">
        <v>951</v>
      </c>
      <c r="L46">
        <v>1050</v>
      </c>
      <c r="M46">
        <v>1148</v>
      </c>
      <c r="N46">
        <v>708</v>
      </c>
      <c r="O46">
        <v>827</v>
      </c>
      <c r="P46">
        <v>996</v>
      </c>
      <c r="Q46">
        <v>1277</v>
      </c>
      <c r="R46">
        <v>1477</v>
      </c>
      <c r="S46">
        <v>1699</v>
      </c>
      <c r="T46">
        <v>1920</v>
      </c>
      <c r="U46">
        <v>708</v>
      </c>
      <c r="V46">
        <v>827</v>
      </c>
      <c r="W46">
        <v>996</v>
      </c>
      <c r="X46">
        <v>1147</v>
      </c>
      <c r="Y46">
        <v>1260</v>
      </c>
      <c r="Z46">
        <v>1371</v>
      </c>
      <c r="AA46">
        <v>1483</v>
      </c>
      <c r="AB46">
        <v>575</v>
      </c>
      <c r="AC46">
        <v>615</v>
      </c>
      <c r="AD46">
        <v>738</v>
      </c>
      <c r="AE46">
        <v>853</v>
      </c>
      <c r="AF46">
        <v>951</v>
      </c>
      <c r="AG46">
        <v>1050</v>
      </c>
      <c r="AH46">
        <v>1148</v>
      </c>
      <c r="AI46">
        <v>775</v>
      </c>
      <c r="AJ46">
        <v>832</v>
      </c>
      <c r="AK46">
        <v>1001</v>
      </c>
      <c r="AL46">
        <v>1147</v>
      </c>
      <c r="AM46">
        <v>1260</v>
      </c>
      <c r="AN46">
        <v>1371</v>
      </c>
      <c r="AO46">
        <v>1483</v>
      </c>
    </row>
    <row r="47" spans="1:41">
      <c r="A47" s="859">
        <v>22</v>
      </c>
      <c r="B47" s="859" t="s">
        <v>936</v>
      </c>
      <c r="C47" s="859" t="s">
        <v>1027</v>
      </c>
      <c r="D47" s="859" t="s">
        <v>1028</v>
      </c>
      <c r="E47" s="859" t="s">
        <v>1091</v>
      </c>
      <c r="F47" t="s">
        <v>1092</v>
      </c>
      <c r="G47">
        <v>575</v>
      </c>
      <c r="H47">
        <v>615</v>
      </c>
      <c r="I47">
        <v>738</v>
      </c>
      <c r="J47">
        <v>853</v>
      </c>
      <c r="K47">
        <v>951</v>
      </c>
      <c r="L47">
        <v>1050</v>
      </c>
      <c r="M47">
        <v>1148</v>
      </c>
      <c r="N47">
        <v>708</v>
      </c>
      <c r="O47">
        <v>827</v>
      </c>
      <c r="P47">
        <v>996</v>
      </c>
      <c r="Q47">
        <v>1277</v>
      </c>
      <c r="R47">
        <v>1477</v>
      </c>
      <c r="S47">
        <v>1699</v>
      </c>
      <c r="T47">
        <v>1920</v>
      </c>
      <c r="U47">
        <v>708</v>
      </c>
      <c r="V47">
        <v>827</v>
      </c>
      <c r="W47">
        <v>996</v>
      </c>
      <c r="X47">
        <v>1147</v>
      </c>
      <c r="Y47">
        <v>1260</v>
      </c>
      <c r="Z47">
        <v>1371</v>
      </c>
      <c r="AA47">
        <v>1483</v>
      </c>
      <c r="AB47">
        <v>575</v>
      </c>
      <c r="AC47">
        <v>615</v>
      </c>
      <c r="AD47">
        <v>738</v>
      </c>
      <c r="AE47">
        <v>853</v>
      </c>
      <c r="AF47">
        <v>951</v>
      </c>
      <c r="AG47">
        <v>1050</v>
      </c>
      <c r="AH47">
        <v>1148</v>
      </c>
      <c r="AI47">
        <v>775</v>
      </c>
      <c r="AJ47">
        <v>832</v>
      </c>
      <c r="AK47">
        <v>1001</v>
      </c>
      <c r="AL47">
        <v>1147</v>
      </c>
      <c r="AM47">
        <v>1260</v>
      </c>
      <c r="AN47">
        <v>1371</v>
      </c>
      <c r="AO47">
        <v>1483</v>
      </c>
    </row>
    <row r="48" spans="1:41">
      <c r="A48" s="859">
        <v>22</v>
      </c>
      <c r="B48" s="859" t="s">
        <v>936</v>
      </c>
      <c r="C48" s="859" t="s">
        <v>945</v>
      </c>
      <c r="D48" s="859" t="s">
        <v>946</v>
      </c>
      <c r="E48" s="859" t="s">
        <v>1093</v>
      </c>
      <c r="F48" t="s">
        <v>1094</v>
      </c>
      <c r="G48">
        <v>647</v>
      </c>
      <c r="H48">
        <v>701</v>
      </c>
      <c r="I48">
        <v>842</v>
      </c>
      <c r="J48">
        <v>972</v>
      </c>
      <c r="K48">
        <v>1085</v>
      </c>
      <c r="L48">
        <v>1197</v>
      </c>
      <c r="M48">
        <v>1309</v>
      </c>
      <c r="N48">
        <v>647</v>
      </c>
      <c r="O48">
        <v>789</v>
      </c>
      <c r="P48">
        <v>906</v>
      </c>
      <c r="Q48">
        <v>1155</v>
      </c>
      <c r="R48">
        <v>1459</v>
      </c>
      <c r="S48">
        <v>1678</v>
      </c>
      <c r="T48">
        <v>1897</v>
      </c>
      <c r="U48">
        <v>647</v>
      </c>
      <c r="V48">
        <v>789</v>
      </c>
      <c r="W48">
        <v>906</v>
      </c>
      <c r="X48">
        <v>1155</v>
      </c>
      <c r="Y48">
        <v>1353</v>
      </c>
      <c r="Z48">
        <v>1474</v>
      </c>
      <c r="AA48">
        <v>1595</v>
      </c>
      <c r="AB48">
        <v>655</v>
      </c>
      <c r="AC48">
        <v>701</v>
      </c>
      <c r="AD48">
        <v>842</v>
      </c>
      <c r="AE48">
        <v>972</v>
      </c>
      <c r="AF48">
        <v>1085</v>
      </c>
      <c r="AG48">
        <v>1197</v>
      </c>
      <c r="AH48">
        <v>1309</v>
      </c>
      <c r="AI48">
        <v>831</v>
      </c>
      <c r="AJ48">
        <v>892</v>
      </c>
      <c r="AK48">
        <v>1072</v>
      </c>
      <c r="AL48">
        <v>1230</v>
      </c>
      <c r="AM48">
        <v>1353</v>
      </c>
      <c r="AN48">
        <v>1474</v>
      </c>
      <c r="AO48">
        <v>1595</v>
      </c>
    </row>
    <row r="49" spans="1:41">
      <c r="A49" s="859">
        <v>22</v>
      </c>
      <c r="B49" s="859" t="s">
        <v>936</v>
      </c>
      <c r="C49" s="859" t="s">
        <v>1095</v>
      </c>
      <c r="D49" s="859" t="s">
        <v>1096</v>
      </c>
      <c r="E49" s="859" t="s">
        <v>1097</v>
      </c>
      <c r="F49" t="s">
        <v>1098</v>
      </c>
      <c r="G49">
        <v>484</v>
      </c>
      <c r="H49">
        <v>592</v>
      </c>
      <c r="I49">
        <v>680</v>
      </c>
      <c r="J49">
        <v>870</v>
      </c>
      <c r="K49">
        <v>971</v>
      </c>
      <c r="L49">
        <v>1071</v>
      </c>
      <c r="M49">
        <v>1170</v>
      </c>
      <c r="N49">
        <v>484</v>
      </c>
      <c r="O49">
        <v>592</v>
      </c>
      <c r="P49">
        <v>680</v>
      </c>
      <c r="Q49">
        <v>982</v>
      </c>
      <c r="R49">
        <v>1198</v>
      </c>
      <c r="S49">
        <v>1378</v>
      </c>
      <c r="T49">
        <v>1557</v>
      </c>
      <c r="U49">
        <v>484</v>
      </c>
      <c r="V49">
        <v>592</v>
      </c>
      <c r="W49">
        <v>680</v>
      </c>
      <c r="X49">
        <v>982</v>
      </c>
      <c r="Y49">
        <v>1198</v>
      </c>
      <c r="Z49">
        <v>1378</v>
      </c>
      <c r="AA49">
        <v>1508</v>
      </c>
      <c r="AB49">
        <v>586</v>
      </c>
      <c r="AC49">
        <v>628</v>
      </c>
      <c r="AD49">
        <v>753</v>
      </c>
      <c r="AE49">
        <v>870</v>
      </c>
      <c r="AF49">
        <v>971</v>
      </c>
      <c r="AG49">
        <v>1071</v>
      </c>
      <c r="AH49">
        <v>1170</v>
      </c>
      <c r="AI49">
        <v>788</v>
      </c>
      <c r="AJ49">
        <v>845</v>
      </c>
      <c r="AK49">
        <v>1016</v>
      </c>
      <c r="AL49">
        <v>1165</v>
      </c>
      <c r="AM49">
        <v>1280</v>
      </c>
      <c r="AN49">
        <v>1394</v>
      </c>
      <c r="AO49">
        <v>1508</v>
      </c>
    </row>
    <row r="50" spans="1:41">
      <c r="A50" s="859">
        <v>22</v>
      </c>
      <c r="B50" s="859" t="s">
        <v>936</v>
      </c>
      <c r="C50" s="859" t="s">
        <v>1027</v>
      </c>
      <c r="D50" s="859" t="s">
        <v>1028</v>
      </c>
      <c r="E50" s="859" t="s">
        <v>1099</v>
      </c>
      <c r="F50" t="s">
        <v>1100</v>
      </c>
      <c r="G50">
        <v>575</v>
      </c>
      <c r="H50">
        <v>615</v>
      </c>
      <c r="I50">
        <v>738</v>
      </c>
      <c r="J50">
        <v>853</v>
      </c>
      <c r="K50">
        <v>951</v>
      </c>
      <c r="L50">
        <v>1050</v>
      </c>
      <c r="M50">
        <v>1148</v>
      </c>
      <c r="N50">
        <v>708</v>
      </c>
      <c r="O50">
        <v>827</v>
      </c>
      <c r="P50">
        <v>996</v>
      </c>
      <c r="Q50">
        <v>1277</v>
      </c>
      <c r="R50">
        <v>1477</v>
      </c>
      <c r="S50">
        <v>1699</v>
      </c>
      <c r="T50">
        <v>1920</v>
      </c>
      <c r="U50">
        <v>708</v>
      </c>
      <c r="V50">
        <v>827</v>
      </c>
      <c r="W50">
        <v>996</v>
      </c>
      <c r="X50">
        <v>1147</v>
      </c>
      <c r="Y50">
        <v>1260</v>
      </c>
      <c r="Z50">
        <v>1371</v>
      </c>
      <c r="AA50">
        <v>1483</v>
      </c>
      <c r="AB50">
        <v>575</v>
      </c>
      <c r="AC50">
        <v>615</v>
      </c>
      <c r="AD50">
        <v>738</v>
      </c>
      <c r="AE50">
        <v>853</v>
      </c>
      <c r="AF50">
        <v>951</v>
      </c>
      <c r="AG50">
        <v>1050</v>
      </c>
      <c r="AH50">
        <v>1148</v>
      </c>
      <c r="AI50">
        <v>775</v>
      </c>
      <c r="AJ50">
        <v>832</v>
      </c>
      <c r="AK50">
        <v>1001</v>
      </c>
      <c r="AL50">
        <v>1147</v>
      </c>
      <c r="AM50">
        <v>1260</v>
      </c>
      <c r="AN50">
        <v>1371</v>
      </c>
      <c r="AO50">
        <v>1483</v>
      </c>
    </row>
    <row r="51" spans="1:41">
      <c r="A51" s="859">
        <v>22</v>
      </c>
      <c r="B51" s="859" t="s">
        <v>936</v>
      </c>
      <c r="C51" s="859" t="s">
        <v>1101</v>
      </c>
      <c r="D51" s="859" t="s">
        <v>1102</v>
      </c>
      <c r="E51" s="859" t="s">
        <v>1103</v>
      </c>
      <c r="F51" t="s">
        <v>1104</v>
      </c>
      <c r="G51">
        <v>433</v>
      </c>
      <c r="H51">
        <v>464</v>
      </c>
      <c r="I51">
        <v>557</v>
      </c>
      <c r="J51">
        <v>643</v>
      </c>
      <c r="K51">
        <v>718</v>
      </c>
      <c r="L51">
        <v>792</v>
      </c>
      <c r="M51">
        <v>866</v>
      </c>
      <c r="N51">
        <v>496</v>
      </c>
      <c r="O51">
        <v>529</v>
      </c>
      <c r="P51">
        <v>704</v>
      </c>
      <c r="Q51">
        <v>891</v>
      </c>
      <c r="R51">
        <v>959</v>
      </c>
      <c r="S51">
        <v>1103</v>
      </c>
      <c r="T51">
        <v>1247</v>
      </c>
      <c r="U51">
        <v>496</v>
      </c>
      <c r="V51">
        <v>529</v>
      </c>
      <c r="W51">
        <v>704</v>
      </c>
      <c r="X51">
        <v>822</v>
      </c>
      <c r="Y51">
        <v>898</v>
      </c>
      <c r="Z51">
        <v>971</v>
      </c>
      <c r="AA51">
        <v>1046</v>
      </c>
      <c r="AB51">
        <v>433</v>
      </c>
      <c r="AC51">
        <v>464</v>
      </c>
      <c r="AD51">
        <v>557</v>
      </c>
      <c r="AE51">
        <v>643</v>
      </c>
      <c r="AF51">
        <v>718</v>
      </c>
      <c r="AG51">
        <v>792</v>
      </c>
      <c r="AH51">
        <v>866</v>
      </c>
      <c r="AI51">
        <v>556</v>
      </c>
      <c r="AJ51">
        <v>598</v>
      </c>
      <c r="AK51">
        <v>719</v>
      </c>
      <c r="AL51">
        <v>822</v>
      </c>
      <c r="AM51">
        <v>898</v>
      </c>
      <c r="AN51">
        <v>971</v>
      </c>
      <c r="AO51">
        <v>1046</v>
      </c>
    </row>
    <row r="52" spans="1:41">
      <c r="A52" s="859">
        <v>22</v>
      </c>
      <c r="B52" s="859" t="s">
        <v>936</v>
      </c>
      <c r="C52" s="859" t="s">
        <v>1035</v>
      </c>
      <c r="D52" s="859" t="s">
        <v>1036</v>
      </c>
      <c r="E52" s="859" t="s">
        <v>1105</v>
      </c>
      <c r="F52" t="s">
        <v>1106</v>
      </c>
      <c r="G52">
        <v>616</v>
      </c>
      <c r="H52">
        <v>660</v>
      </c>
      <c r="I52">
        <v>792</v>
      </c>
      <c r="J52">
        <v>915</v>
      </c>
      <c r="K52">
        <v>1021</v>
      </c>
      <c r="L52">
        <v>1126</v>
      </c>
      <c r="M52">
        <v>1232</v>
      </c>
      <c r="N52">
        <v>618</v>
      </c>
      <c r="O52">
        <v>751</v>
      </c>
      <c r="P52">
        <v>865</v>
      </c>
      <c r="Q52">
        <v>1127</v>
      </c>
      <c r="R52">
        <v>1259</v>
      </c>
      <c r="S52">
        <v>1448</v>
      </c>
      <c r="T52">
        <v>1637</v>
      </c>
      <c r="U52">
        <v>618</v>
      </c>
      <c r="V52">
        <v>751</v>
      </c>
      <c r="W52">
        <v>865</v>
      </c>
      <c r="X52">
        <v>1127</v>
      </c>
      <c r="Y52">
        <v>1259</v>
      </c>
      <c r="Z52">
        <v>1403</v>
      </c>
      <c r="AA52">
        <v>1518</v>
      </c>
      <c r="AB52">
        <v>616</v>
      </c>
      <c r="AC52">
        <v>660</v>
      </c>
      <c r="AD52">
        <v>792</v>
      </c>
      <c r="AE52">
        <v>915</v>
      </c>
      <c r="AF52">
        <v>1021</v>
      </c>
      <c r="AG52">
        <v>1126</v>
      </c>
      <c r="AH52">
        <v>1232</v>
      </c>
      <c r="AI52">
        <v>793</v>
      </c>
      <c r="AJ52">
        <v>851</v>
      </c>
      <c r="AK52">
        <v>1023</v>
      </c>
      <c r="AL52">
        <v>1173</v>
      </c>
      <c r="AM52">
        <v>1289</v>
      </c>
      <c r="AN52">
        <v>1403</v>
      </c>
      <c r="AO52">
        <v>1518</v>
      </c>
    </row>
    <row r="53" spans="1:41">
      <c r="A53" s="859">
        <v>22</v>
      </c>
      <c r="B53" s="859" t="s">
        <v>936</v>
      </c>
      <c r="C53" s="859" t="s">
        <v>1107</v>
      </c>
      <c r="D53" s="859" t="s">
        <v>1108</v>
      </c>
      <c r="E53" s="859" t="s">
        <v>1109</v>
      </c>
      <c r="F53" t="s">
        <v>1110</v>
      </c>
      <c r="G53">
        <v>452</v>
      </c>
      <c r="H53">
        <v>484</v>
      </c>
      <c r="I53">
        <v>581</v>
      </c>
      <c r="J53">
        <v>671</v>
      </c>
      <c r="K53">
        <v>748</v>
      </c>
      <c r="L53">
        <v>826</v>
      </c>
      <c r="M53">
        <v>903</v>
      </c>
      <c r="N53">
        <v>595</v>
      </c>
      <c r="O53">
        <v>598</v>
      </c>
      <c r="P53">
        <v>786</v>
      </c>
      <c r="Q53">
        <v>1040</v>
      </c>
      <c r="R53">
        <v>1213</v>
      </c>
      <c r="S53">
        <v>1395</v>
      </c>
      <c r="T53">
        <v>1577</v>
      </c>
      <c r="U53">
        <v>595</v>
      </c>
      <c r="V53">
        <v>598</v>
      </c>
      <c r="W53">
        <v>782</v>
      </c>
      <c r="X53">
        <v>895</v>
      </c>
      <c r="Y53">
        <v>979</v>
      </c>
      <c r="Z53">
        <v>1061</v>
      </c>
      <c r="AA53">
        <v>1144</v>
      </c>
      <c r="AB53">
        <v>452</v>
      </c>
      <c r="AC53">
        <v>484</v>
      </c>
      <c r="AD53">
        <v>581</v>
      </c>
      <c r="AE53">
        <v>671</v>
      </c>
      <c r="AF53">
        <v>748</v>
      </c>
      <c r="AG53">
        <v>826</v>
      </c>
      <c r="AH53">
        <v>903</v>
      </c>
      <c r="AI53">
        <v>605</v>
      </c>
      <c r="AJ53">
        <v>650</v>
      </c>
      <c r="AK53">
        <v>782</v>
      </c>
      <c r="AL53">
        <v>895</v>
      </c>
      <c r="AM53">
        <v>979</v>
      </c>
      <c r="AN53">
        <v>1061</v>
      </c>
      <c r="AO53">
        <v>1144</v>
      </c>
    </row>
    <row r="54" spans="1:41">
      <c r="A54" s="859">
        <v>22</v>
      </c>
      <c r="B54" s="859" t="s">
        <v>936</v>
      </c>
      <c r="C54" s="859" t="s">
        <v>1027</v>
      </c>
      <c r="D54" s="859" t="s">
        <v>1028</v>
      </c>
      <c r="E54" s="859" t="s">
        <v>1111</v>
      </c>
      <c r="F54" t="s">
        <v>1112</v>
      </c>
      <c r="G54">
        <v>575</v>
      </c>
      <c r="H54">
        <v>615</v>
      </c>
      <c r="I54">
        <v>738</v>
      </c>
      <c r="J54">
        <v>853</v>
      </c>
      <c r="K54">
        <v>951</v>
      </c>
      <c r="L54">
        <v>1050</v>
      </c>
      <c r="M54">
        <v>1148</v>
      </c>
      <c r="N54">
        <v>708</v>
      </c>
      <c r="O54">
        <v>827</v>
      </c>
      <c r="P54">
        <v>996</v>
      </c>
      <c r="Q54">
        <v>1277</v>
      </c>
      <c r="R54">
        <v>1477</v>
      </c>
      <c r="S54">
        <v>1699</v>
      </c>
      <c r="T54">
        <v>1920</v>
      </c>
      <c r="U54">
        <v>708</v>
      </c>
      <c r="V54">
        <v>827</v>
      </c>
      <c r="W54">
        <v>996</v>
      </c>
      <c r="X54">
        <v>1147</v>
      </c>
      <c r="Y54">
        <v>1260</v>
      </c>
      <c r="Z54">
        <v>1371</v>
      </c>
      <c r="AA54">
        <v>1483</v>
      </c>
      <c r="AB54">
        <v>575</v>
      </c>
      <c r="AC54">
        <v>615</v>
      </c>
      <c r="AD54">
        <v>738</v>
      </c>
      <c r="AE54">
        <v>853</v>
      </c>
      <c r="AF54">
        <v>951</v>
      </c>
      <c r="AG54">
        <v>1050</v>
      </c>
      <c r="AH54">
        <v>1148</v>
      </c>
      <c r="AI54">
        <v>775</v>
      </c>
      <c r="AJ54">
        <v>832</v>
      </c>
      <c r="AK54">
        <v>1001</v>
      </c>
      <c r="AL54">
        <v>1147</v>
      </c>
      <c r="AM54">
        <v>1260</v>
      </c>
      <c r="AN54">
        <v>1371</v>
      </c>
      <c r="AO54">
        <v>1483</v>
      </c>
    </row>
    <row r="55" spans="1:41">
      <c r="A55" s="859">
        <v>22</v>
      </c>
      <c r="B55" s="859" t="s">
        <v>936</v>
      </c>
      <c r="C55" s="859" t="s">
        <v>1113</v>
      </c>
      <c r="D55" s="859" t="s">
        <v>1114</v>
      </c>
      <c r="E55" s="859" t="s">
        <v>1115</v>
      </c>
      <c r="F55" t="s">
        <v>1116</v>
      </c>
      <c r="G55">
        <v>537</v>
      </c>
      <c r="H55">
        <v>575</v>
      </c>
      <c r="I55">
        <v>690</v>
      </c>
      <c r="J55">
        <v>797</v>
      </c>
      <c r="K55">
        <v>890</v>
      </c>
      <c r="L55">
        <v>981</v>
      </c>
      <c r="M55">
        <v>1072</v>
      </c>
      <c r="N55">
        <v>631</v>
      </c>
      <c r="O55">
        <v>635</v>
      </c>
      <c r="P55">
        <v>831</v>
      </c>
      <c r="Q55">
        <v>1042</v>
      </c>
      <c r="R55">
        <v>1132</v>
      </c>
      <c r="S55">
        <v>1302</v>
      </c>
      <c r="T55">
        <v>1472</v>
      </c>
      <c r="U55">
        <v>631</v>
      </c>
      <c r="V55">
        <v>635</v>
      </c>
      <c r="W55">
        <v>831</v>
      </c>
      <c r="X55">
        <v>1002</v>
      </c>
      <c r="Y55">
        <v>1099</v>
      </c>
      <c r="Z55">
        <v>1194</v>
      </c>
      <c r="AA55">
        <v>1289</v>
      </c>
      <c r="AB55">
        <v>537</v>
      </c>
      <c r="AC55">
        <v>575</v>
      </c>
      <c r="AD55">
        <v>690</v>
      </c>
      <c r="AE55">
        <v>797</v>
      </c>
      <c r="AF55">
        <v>890</v>
      </c>
      <c r="AG55">
        <v>981</v>
      </c>
      <c r="AH55">
        <v>1072</v>
      </c>
      <c r="AI55">
        <v>678</v>
      </c>
      <c r="AJ55">
        <v>728</v>
      </c>
      <c r="AK55">
        <v>876</v>
      </c>
      <c r="AL55">
        <v>1002</v>
      </c>
      <c r="AM55">
        <v>1099</v>
      </c>
      <c r="AN55">
        <v>1194</v>
      </c>
      <c r="AO55">
        <v>1289</v>
      </c>
    </row>
    <row r="56" spans="1:41">
      <c r="A56" s="859">
        <v>22</v>
      </c>
      <c r="B56" s="859" t="s">
        <v>936</v>
      </c>
      <c r="C56" s="859" t="s">
        <v>1117</v>
      </c>
      <c r="D56" s="859" t="s">
        <v>1118</v>
      </c>
      <c r="E56" s="859" t="s">
        <v>1119</v>
      </c>
      <c r="F56" t="s">
        <v>1120</v>
      </c>
      <c r="G56">
        <v>433</v>
      </c>
      <c r="H56">
        <v>464</v>
      </c>
      <c r="I56">
        <v>557</v>
      </c>
      <c r="J56">
        <v>643</v>
      </c>
      <c r="K56">
        <v>718</v>
      </c>
      <c r="L56">
        <v>792</v>
      </c>
      <c r="M56">
        <v>866</v>
      </c>
      <c r="N56">
        <v>521</v>
      </c>
      <c r="O56">
        <v>525</v>
      </c>
      <c r="P56">
        <v>680</v>
      </c>
      <c r="Q56">
        <v>989</v>
      </c>
      <c r="R56">
        <v>1023</v>
      </c>
      <c r="S56">
        <v>1176</v>
      </c>
      <c r="T56">
        <v>1330</v>
      </c>
      <c r="U56">
        <v>521</v>
      </c>
      <c r="V56">
        <v>525</v>
      </c>
      <c r="W56">
        <v>680</v>
      </c>
      <c r="X56">
        <v>822</v>
      </c>
      <c r="Y56">
        <v>898</v>
      </c>
      <c r="Z56">
        <v>971</v>
      </c>
      <c r="AA56">
        <v>1046</v>
      </c>
      <c r="AB56">
        <v>433</v>
      </c>
      <c r="AC56">
        <v>464</v>
      </c>
      <c r="AD56">
        <v>557</v>
      </c>
      <c r="AE56">
        <v>643</v>
      </c>
      <c r="AF56">
        <v>718</v>
      </c>
      <c r="AG56">
        <v>792</v>
      </c>
      <c r="AH56">
        <v>866</v>
      </c>
      <c r="AI56">
        <v>556</v>
      </c>
      <c r="AJ56">
        <v>598</v>
      </c>
      <c r="AK56">
        <v>719</v>
      </c>
      <c r="AL56">
        <v>822</v>
      </c>
      <c r="AM56">
        <v>898</v>
      </c>
      <c r="AN56">
        <v>971</v>
      </c>
      <c r="AO56">
        <v>1046</v>
      </c>
    </row>
    <row r="57" spans="1:41">
      <c r="A57" s="859">
        <v>22</v>
      </c>
      <c r="B57" s="859" t="s">
        <v>936</v>
      </c>
      <c r="C57" s="859" t="s">
        <v>1039</v>
      </c>
      <c r="D57" s="859" t="s">
        <v>1040</v>
      </c>
      <c r="E57" s="859" t="s">
        <v>1121</v>
      </c>
      <c r="F57" t="s">
        <v>1122</v>
      </c>
      <c r="G57">
        <v>540</v>
      </c>
      <c r="H57">
        <v>578</v>
      </c>
      <c r="I57">
        <v>693</v>
      </c>
      <c r="J57">
        <v>801</v>
      </c>
      <c r="K57">
        <v>893</v>
      </c>
      <c r="L57">
        <v>986</v>
      </c>
      <c r="M57">
        <v>1078</v>
      </c>
      <c r="N57">
        <v>646</v>
      </c>
      <c r="O57">
        <v>650</v>
      </c>
      <c r="P57">
        <v>824</v>
      </c>
      <c r="Q57">
        <v>1156</v>
      </c>
      <c r="R57">
        <v>1406</v>
      </c>
      <c r="S57">
        <v>1617</v>
      </c>
      <c r="T57">
        <v>1828</v>
      </c>
      <c r="U57">
        <v>646</v>
      </c>
      <c r="V57">
        <v>650</v>
      </c>
      <c r="W57">
        <v>824</v>
      </c>
      <c r="X57">
        <v>1062</v>
      </c>
      <c r="Y57">
        <v>1165</v>
      </c>
      <c r="Z57">
        <v>1267</v>
      </c>
      <c r="AA57">
        <v>1369</v>
      </c>
      <c r="AB57">
        <v>540</v>
      </c>
      <c r="AC57">
        <v>578</v>
      </c>
      <c r="AD57">
        <v>693</v>
      </c>
      <c r="AE57">
        <v>801</v>
      </c>
      <c r="AF57">
        <v>893</v>
      </c>
      <c r="AG57">
        <v>986</v>
      </c>
      <c r="AH57">
        <v>1078</v>
      </c>
      <c r="AI57">
        <v>719</v>
      </c>
      <c r="AJ57">
        <v>771</v>
      </c>
      <c r="AK57">
        <v>927</v>
      </c>
      <c r="AL57">
        <v>1062</v>
      </c>
      <c r="AM57">
        <v>1165</v>
      </c>
      <c r="AN57">
        <v>1267</v>
      </c>
      <c r="AO57">
        <v>1369</v>
      </c>
    </row>
    <row r="58" spans="1:41">
      <c r="A58" s="859">
        <v>22</v>
      </c>
      <c r="B58" s="859" t="s">
        <v>936</v>
      </c>
      <c r="C58" s="859" t="s">
        <v>1067</v>
      </c>
      <c r="D58" s="859" t="s">
        <v>1068</v>
      </c>
      <c r="E58" s="859" t="s">
        <v>1123</v>
      </c>
      <c r="F58" t="s">
        <v>1124</v>
      </c>
      <c r="G58">
        <v>461</v>
      </c>
      <c r="H58">
        <v>493</v>
      </c>
      <c r="I58">
        <v>592</v>
      </c>
      <c r="J58">
        <v>684</v>
      </c>
      <c r="K58">
        <v>763</v>
      </c>
      <c r="L58">
        <v>842</v>
      </c>
      <c r="M58">
        <v>920</v>
      </c>
      <c r="N58">
        <v>563</v>
      </c>
      <c r="O58">
        <v>566</v>
      </c>
      <c r="P58">
        <v>728</v>
      </c>
      <c r="Q58">
        <v>926</v>
      </c>
      <c r="R58">
        <v>1004</v>
      </c>
      <c r="S58">
        <v>1155</v>
      </c>
      <c r="T58">
        <v>1305</v>
      </c>
      <c r="U58">
        <v>563</v>
      </c>
      <c r="V58">
        <v>566</v>
      </c>
      <c r="W58">
        <v>728</v>
      </c>
      <c r="X58">
        <v>926</v>
      </c>
      <c r="Y58">
        <v>1004</v>
      </c>
      <c r="Z58">
        <v>1127</v>
      </c>
      <c r="AA58">
        <v>1215</v>
      </c>
      <c r="AB58">
        <v>461</v>
      </c>
      <c r="AC58">
        <v>493</v>
      </c>
      <c r="AD58">
        <v>592</v>
      </c>
      <c r="AE58">
        <v>684</v>
      </c>
      <c r="AF58">
        <v>763</v>
      </c>
      <c r="AG58">
        <v>842</v>
      </c>
      <c r="AH58">
        <v>920</v>
      </c>
      <c r="AI58">
        <v>641</v>
      </c>
      <c r="AJ58">
        <v>688</v>
      </c>
      <c r="AK58">
        <v>828</v>
      </c>
      <c r="AL58">
        <v>948</v>
      </c>
      <c r="AM58">
        <v>1038</v>
      </c>
      <c r="AN58">
        <v>1127</v>
      </c>
      <c r="AO58">
        <v>1215</v>
      </c>
    </row>
    <row r="59" spans="1:41">
      <c r="A59" s="859">
        <v>22</v>
      </c>
      <c r="B59" s="859" t="s">
        <v>936</v>
      </c>
      <c r="C59" s="859" t="s">
        <v>1125</v>
      </c>
      <c r="D59" s="859" t="s">
        <v>1126</v>
      </c>
      <c r="E59" s="859" t="s">
        <v>1127</v>
      </c>
      <c r="F59" t="s">
        <v>1128</v>
      </c>
      <c r="G59">
        <v>484</v>
      </c>
      <c r="H59">
        <v>566</v>
      </c>
      <c r="I59">
        <v>678</v>
      </c>
      <c r="J59">
        <v>784</v>
      </c>
      <c r="K59">
        <v>875</v>
      </c>
      <c r="L59">
        <v>965</v>
      </c>
      <c r="M59">
        <v>1055</v>
      </c>
      <c r="N59">
        <v>484</v>
      </c>
      <c r="O59">
        <v>592</v>
      </c>
      <c r="P59">
        <v>680</v>
      </c>
      <c r="Q59">
        <v>984</v>
      </c>
      <c r="R59">
        <v>987</v>
      </c>
      <c r="S59">
        <v>1135</v>
      </c>
      <c r="T59">
        <v>1283</v>
      </c>
      <c r="U59">
        <v>484</v>
      </c>
      <c r="V59">
        <v>592</v>
      </c>
      <c r="W59">
        <v>680</v>
      </c>
      <c r="X59">
        <v>984</v>
      </c>
      <c r="Y59">
        <v>987</v>
      </c>
      <c r="Z59">
        <v>1135</v>
      </c>
      <c r="AA59">
        <v>1283</v>
      </c>
      <c r="AB59">
        <v>528</v>
      </c>
      <c r="AC59">
        <v>566</v>
      </c>
      <c r="AD59">
        <v>678</v>
      </c>
      <c r="AE59">
        <v>784</v>
      </c>
      <c r="AF59">
        <v>875</v>
      </c>
      <c r="AG59">
        <v>965</v>
      </c>
      <c r="AH59">
        <v>1055</v>
      </c>
      <c r="AI59">
        <v>678</v>
      </c>
      <c r="AJ59">
        <v>728</v>
      </c>
      <c r="AK59">
        <v>876</v>
      </c>
      <c r="AL59">
        <v>1002</v>
      </c>
      <c r="AM59">
        <v>1099</v>
      </c>
      <c r="AN59">
        <v>1194</v>
      </c>
      <c r="AO59">
        <v>1289</v>
      </c>
    </row>
    <row r="60" spans="1:41">
      <c r="A60" s="859">
        <v>22</v>
      </c>
      <c r="B60" s="859" t="s">
        <v>936</v>
      </c>
      <c r="C60" s="859" t="s">
        <v>1129</v>
      </c>
      <c r="D60" s="859" t="s">
        <v>1130</v>
      </c>
      <c r="E60" s="859" t="s">
        <v>1131</v>
      </c>
      <c r="F60" t="s">
        <v>1132</v>
      </c>
      <c r="G60">
        <v>522</v>
      </c>
      <c r="H60">
        <v>560</v>
      </c>
      <c r="I60">
        <v>672</v>
      </c>
      <c r="J60">
        <v>776</v>
      </c>
      <c r="K60">
        <v>866</v>
      </c>
      <c r="L60">
        <v>956</v>
      </c>
      <c r="M60">
        <v>1044</v>
      </c>
      <c r="N60">
        <v>653</v>
      </c>
      <c r="O60">
        <v>770</v>
      </c>
      <c r="P60">
        <v>1024</v>
      </c>
      <c r="Q60">
        <v>1284</v>
      </c>
      <c r="R60">
        <v>1472</v>
      </c>
      <c r="S60">
        <v>1693</v>
      </c>
      <c r="T60">
        <v>1914</v>
      </c>
      <c r="U60">
        <v>653</v>
      </c>
      <c r="V60">
        <v>708</v>
      </c>
      <c r="W60">
        <v>852</v>
      </c>
      <c r="X60">
        <v>975</v>
      </c>
      <c r="Y60">
        <v>1069</v>
      </c>
      <c r="Z60">
        <v>1161</v>
      </c>
      <c r="AA60">
        <v>1252</v>
      </c>
      <c r="AB60">
        <v>522</v>
      </c>
      <c r="AC60">
        <v>560</v>
      </c>
      <c r="AD60">
        <v>672</v>
      </c>
      <c r="AE60">
        <v>776</v>
      </c>
      <c r="AF60">
        <v>866</v>
      </c>
      <c r="AG60">
        <v>956</v>
      </c>
      <c r="AH60">
        <v>1044</v>
      </c>
      <c r="AI60">
        <v>660</v>
      </c>
      <c r="AJ60">
        <v>708</v>
      </c>
      <c r="AK60">
        <v>852</v>
      </c>
      <c r="AL60">
        <v>975</v>
      </c>
      <c r="AM60">
        <v>1069</v>
      </c>
      <c r="AN60">
        <v>1161</v>
      </c>
      <c r="AO60">
        <v>1252</v>
      </c>
    </row>
    <row r="61" spans="1:41">
      <c r="A61" s="859">
        <v>22</v>
      </c>
      <c r="B61" s="859" t="s">
        <v>936</v>
      </c>
      <c r="C61" s="859" t="s">
        <v>1133</v>
      </c>
      <c r="D61" s="859" t="s">
        <v>1134</v>
      </c>
      <c r="E61" s="859" t="s">
        <v>1135</v>
      </c>
      <c r="F61" t="s">
        <v>1136</v>
      </c>
      <c r="G61">
        <v>433</v>
      </c>
      <c r="H61">
        <v>464</v>
      </c>
      <c r="I61">
        <v>557</v>
      </c>
      <c r="J61">
        <v>643</v>
      </c>
      <c r="K61">
        <v>718</v>
      </c>
      <c r="L61">
        <v>792</v>
      </c>
      <c r="M61">
        <v>866</v>
      </c>
      <c r="N61">
        <v>508</v>
      </c>
      <c r="O61">
        <v>511</v>
      </c>
      <c r="P61">
        <v>680</v>
      </c>
      <c r="Q61">
        <v>893</v>
      </c>
      <c r="R61">
        <v>1093</v>
      </c>
      <c r="S61">
        <v>1257</v>
      </c>
      <c r="T61">
        <v>1421</v>
      </c>
      <c r="U61">
        <v>508</v>
      </c>
      <c r="V61">
        <v>511</v>
      </c>
      <c r="W61">
        <v>680</v>
      </c>
      <c r="X61">
        <v>822</v>
      </c>
      <c r="Y61">
        <v>898</v>
      </c>
      <c r="Z61">
        <v>971</v>
      </c>
      <c r="AA61">
        <v>1046</v>
      </c>
      <c r="AB61">
        <v>433</v>
      </c>
      <c r="AC61">
        <v>464</v>
      </c>
      <c r="AD61">
        <v>557</v>
      </c>
      <c r="AE61">
        <v>643</v>
      </c>
      <c r="AF61">
        <v>718</v>
      </c>
      <c r="AG61">
        <v>792</v>
      </c>
      <c r="AH61">
        <v>866</v>
      </c>
      <c r="AI61">
        <v>556</v>
      </c>
      <c r="AJ61">
        <v>598</v>
      </c>
      <c r="AK61">
        <v>719</v>
      </c>
      <c r="AL61">
        <v>822</v>
      </c>
      <c r="AM61">
        <v>898</v>
      </c>
      <c r="AN61">
        <v>971</v>
      </c>
      <c r="AO61">
        <v>1046</v>
      </c>
    </row>
    <row r="62" spans="1:41">
      <c r="A62" s="859">
        <v>22</v>
      </c>
      <c r="B62" s="859" t="s">
        <v>936</v>
      </c>
      <c r="C62" s="859" t="s">
        <v>1137</v>
      </c>
      <c r="D62" s="859" t="s">
        <v>1138</v>
      </c>
      <c r="E62" s="859" t="s">
        <v>1139</v>
      </c>
      <c r="F62" t="s">
        <v>1140</v>
      </c>
      <c r="G62">
        <v>433</v>
      </c>
      <c r="H62">
        <v>464</v>
      </c>
      <c r="I62">
        <v>557</v>
      </c>
      <c r="J62">
        <v>643</v>
      </c>
      <c r="K62">
        <v>718</v>
      </c>
      <c r="L62">
        <v>792</v>
      </c>
      <c r="M62">
        <v>866</v>
      </c>
      <c r="N62">
        <v>477</v>
      </c>
      <c r="O62">
        <v>592</v>
      </c>
      <c r="P62">
        <v>680</v>
      </c>
      <c r="Q62">
        <v>931</v>
      </c>
      <c r="R62">
        <v>973</v>
      </c>
      <c r="S62">
        <v>1119</v>
      </c>
      <c r="T62">
        <v>1265</v>
      </c>
      <c r="U62">
        <v>477</v>
      </c>
      <c r="V62">
        <v>592</v>
      </c>
      <c r="W62">
        <v>680</v>
      </c>
      <c r="X62">
        <v>822</v>
      </c>
      <c r="Y62">
        <v>898</v>
      </c>
      <c r="Z62">
        <v>971</v>
      </c>
      <c r="AA62">
        <v>1046</v>
      </c>
      <c r="AB62">
        <v>433</v>
      </c>
      <c r="AC62">
        <v>464</v>
      </c>
      <c r="AD62">
        <v>557</v>
      </c>
      <c r="AE62">
        <v>643</v>
      </c>
      <c r="AF62">
        <v>718</v>
      </c>
      <c r="AG62">
        <v>792</v>
      </c>
      <c r="AH62">
        <v>866</v>
      </c>
      <c r="AI62">
        <v>556</v>
      </c>
      <c r="AJ62">
        <v>598</v>
      </c>
      <c r="AK62">
        <v>719</v>
      </c>
      <c r="AL62">
        <v>822</v>
      </c>
      <c r="AM62">
        <v>898</v>
      </c>
      <c r="AN62">
        <v>971</v>
      </c>
      <c r="AO62">
        <v>1046</v>
      </c>
    </row>
    <row r="63" spans="1:41">
      <c r="A63" s="859">
        <v>22</v>
      </c>
      <c r="B63" s="859" t="s">
        <v>936</v>
      </c>
      <c r="C63" s="859" t="s">
        <v>945</v>
      </c>
      <c r="D63" s="859" t="s">
        <v>946</v>
      </c>
      <c r="E63" s="859" t="s">
        <v>1141</v>
      </c>
      <c r="F63" t="s">
        <v>1142</v>
      </c>
      <c r="G63">
        <v>647</v>
      </c>
      <c r="H63">
        <v>701</v>
      </c>
      <c r="I63">
        <v>842</v>
      </c>
      <c r="J63">
        <v>972</v>
      </c>
      <c r="K63">
        <v>1085</v>
      </c>
      <c r="L63">
        <v>1197</v>
      </c>
      <c r="M63">
        <v>1309</v>
      </c>
      <c r="N63">
        <v>647</v>
      </c>
      <c r="O63">
        <v>789</v>
      </c>
      <c r="P63">
        <v>906</v>
      </c>
      <c r="Q63">
        <v>1155</v>
      </c>
      <c r="R63">
        <v>1459</v>
      </c>
      <c r="S63">
        <v>1678</v>
      </c>
      <c r="T63">
        <v>1897</v>
      </c>
      <c r="U63">
        <v>647</v>
      </c>
      <c r="V63">
        <v>789</v>
      </c>
      <c r="W63">
        <v>906</v>
      </c>
      <c r="X63">
        <v>1155</v>
      </c>
      <c r="Y63">
        <v>1353</v>
      </c>
      <c r="Z63">
        <v>1474</v>
      </c>
      <c r="AA63">
        <v>1595</v>
      </c>
      <c r="AB63">
        <v>655</v>
      </c>
      <c r="AC63">
        <v>701</v>
      </c>
      <c r="AD63">
        <v>842</v>
      </c>
      <c r="AE63">
        <v>972</v>
      </c>
      <c r="AF63">
        <v>1085</v>
      </c>
      <c r="AG63">
        <v>1197</v>
      </c>
      <c r="AH63">
        <v>1309</v>
      </c>
      <c r="AI63">
        <v>831</v>
      </c>
      <c r="AJ63">
        <v>892</v>
      </c>
      <c r="AK63">
        <v>1072</v>
      </c>
      <c r="AL63">
        <v>1230</v>
      </c>
      <c r="AM63">
        <v>1353</v>
      </c>
      <c r="AN63">
        <v>1474</v>
      </c>
      <c r="AO63">
        <v>1595</v>
      </c>
    </row>
    <row r="64" spans="1:41">
      <c r="A64" s="859">
        <v>22</v>
      </c>
      <c r="B64" s="859" t="s">
        <v>936</v>
      </c>
      <c r="C64" s="859" t="s">
        <v>1143</v>
      </c>
      <c r="D64" s="859" t="s">
        <v>1144</v>
      </c>
      <c r="E64" s="859" t="s">
        <v>1145</v>
      </c>
      <c r="F64" t="s">
        <v>1146</v>
      </c>
      <c r="G64">
        <v>433</v>
      </c>
      <c r="H64">
        <v>464</v>
      </c>
      <c r="I64">
        <v>557</v>
      </c>
      <c r="J64">
        <v>643</v>
      </c>
      <c r="K64">
        <v>718</v>
      </c>
      <c r="L64">
        <v>792</v>
      </c>
      <c r="M64">
        <v>866</v>
      </c>
      <c r="N64">
        <v>508</v>
      </c>
      <c r="O64">
        <v>511</v>
      </c>
      <c r="P64">
        <v>680</v>
      </c>
      <c r="Q64">
        <v>863</v>
      </c>
      <c r="R64">
        <v>926</v>
      </c>
      <c r="S64">
        <v>1065</v>
      </c>
      <c r="T64">
        <v>1204</v>
      </c>
      <c r="U64">
        <v>508</v>
      </c>
      <c r="V64">
        <v>511</v>
      </c>
      <c r="W64">
        <v>680</v>
      </c>
      <c r="X64">
        <v>822</v>
      </c>
      <c r="Y64">
        <v>898</v>
      </c>
      <c r="Z64">
        <v>971</v>
      </c>
      <c r="AA64">
        <v>1046</v>
      </c>
      <c r="AB64">
        <v>433</v>
      </c>
      <c r="AC64">
        <v>464</v>
      </c>
      <c r="AD64">
        <v>557</v>
      </c>
      <c r="AE64">
        <v>643</v>
      </c>
      <c r="AF64">
        <v>718</v>
      </c>
      <c r="AG64">
        <v>792</v>
      </c>
      <c r="AH64">
        <v>866</v>
      </c>
      <c r="AI64">
        <v>556</v>
      </c>
      <c r="AJ64">
        <v>598</v>
      </c>
      <c r="AK64">
        <v>719</v>
      </c>
      <c r="AL64">
        <v>822</v>
      </c>
      <c r="AM64">
        <v>898</v>
      </c>
      <c r="AN64">
        <v>971</v>
      </c>
      <c r="AO64">
        <v>1046</v>
      </c>
    </row>
    <row r="65" spans="1:44">
      <c r="A65" s="859">
        <v>22</v>
      </c>
      <c r="B65" s="859" t="s">
        <v>936</v>
      </c>
      <c r="C65" s="859" t="s">
        <v>945</v>
      </c>
      <c r="D65" s="859" t="s">
        <v>946</v>
      </c>
      <c r="E65" s="859" t="s">
        <v>1147</v>
      </c>
      <c r="F65" t="s">
        <v>1148</v>
      </c>
      <c r="G65">
        <v>647</v>
      </c>
      <c r="H65">
        <v>701</v>
      </c>
      <c r="I65">
        <v>842</v>
      </c>
      <c r="J65">
        <v>972</v>
      </c>
      <c r="K65">
        <v>1085</v>
      </c>
      <c r="L65">
        <v>1197</v>
      </c>
      <c r="M65">
        <v>1309</v>
      </c>
      <c r="N65">
        <v>647</v>
      </c>
      <c r="O65">
        <v>789</v>
      </c>
      <c r="P65">
        <v>906</v>
      </c>
      <c r="Q65">
        <v>1155</v>
      </c>
      <c r="R65">
        <v>1459</v>
      </c>
      <c r="S65">
        <v>1678</v>
      </c>
      <c r="T65">
        <v>1897</v>
      </c>
      <c r="U65">
        <v>647</v>
      </c>
      <c r="V65">
        <v>789</v>
      </c>
      <c r="W65">
        <v>906</v>
      </c>
      <c r="X65">
        <v>1155</v>
      </c>
      <c r="Y65">
        <v>1353</v>
      </c>
      <c r="Z65">
        <v>1474</v>
      </c>
      <c r="AA65">
        <v>1595</v>
      </c>
      <c r="AB65">
        <v>655</v>
      </c>
      <c r="AC65">
        <v>701</v>
      </c>
      <c r="AD65">
        <v>842</v>
      </c>
      <c r="AE65">
        <v>972</v>
      </c>
      <c r="AF65">
        <v>1085</v>
      </c>
      <c r="AG65">
        <v>1197</v>
      </c>
      <c r="AH65">
        <v>1309</v>
      </c>
      <c r="AI65">
        <v>831</v>
      </c>
      <c r="AJ65">
        <v>892</v>
      </c>
      <c r="AK65">
        <v>1072</v>
      </c>
      <c r="AL65">
        <v>1230</v>
      </c>
      <c r="AM65">
        <v>1353</v>
      </c>
      <c r="AN65">
        <v>1474</v>
      </c>
      <c r="AO65">
        <v>1595</v>
      </c>
    </row>
    <row r="66" spans="1:44">
      <c r="A66" s="859">
        <v>22</v>
      </c>
      <c r="B66" s="859" t="s">
        <v>936</v>
      </c>
      <c r="C66" s="859" t="s">
        <v>1149</v>
      </c>
      <c r="D66" s="859" t="s">
        <v>1150</v>
      </c>
      <c r="E66" s="859" t="s">
        <v>1151</v>
      </c>
      <c r="F66" t="s">
        <v>1152</v>
      </c>
      <c r="G66">
        <v>433</v>
      </c>
      <c r="H66">
        <v>464</v>
      </c>
      <c r="I66">
        <v>557</v>
      </c>
      <c r="J66">
        <v>643</v>
      </c>
      <c r="K66">
        <v>718</v>
      </c>
      <c r="L66">
        <v>792</v>
      </c>
      <c r="M66">
        <v>866</v>
      </c>
      <c r="N66">
        <v>576</v>
      </c>
      <c r="O66">
        <v>580</v>
      </c>
      <c r="P66">
        <v>680</v>
      </c>
      <c r="Q66">
        <v>989</v>
      </c>
      <c r="R66">
        <v>1069</v>
      </c>
      <c r="S66">
        <v>1229</v>
      </c>
      <c r="T66">
        <v>1390</v>
      </c>
      <c r="U66">
        <v>556</v>
      </c>
      <c r="V66">
        <v>580</v>
      </c>
      <c r="W66">
        <v>680</v>
      </c>
      <c r="X66">
        <v>822</v>
      </c>
      <c r="Y66">
        <v>898</v>
      </c>
      <c r="Z66">
        <v>971</v>
      </c>
      <c r="AA66">
        <v>1046</v>
      </c>
      <c r="AB66">
        <v>433</v>
      </c>
      <c r="AC66">
        <v>464</v>
      </c>
      <c r="AD66">
        <v>557</v>
      </c>
      <c r="AE66">
        <v>643</v>
      </c>
      <c r="AF66">
        <v>718</v>
      </c>
      <c r="AG66">
        <v>792</v>
      </c>
      <c r="AH66">
        <v>866</v>
      </c>
      <c r="AI66">
        <v>556</v>
      </c>
      <c r="AJ66">
        <v>598</v>
      </c>
      <c r="AK66">
        <v>719</v>
      </c>
      <c r="AL66">
        <v>822</v>
      </c>
      <c r="AM66">
        <v>898</v>
      </c>
      <c r="AN66">
        <v>971</v>
      </c>
      <c r="AO66">
        <v>1046</v>
      </c>
    </row>
    <row r="70" spans="1:44">
      <c r="F70" s="859" t="s">
        <v>1153</v>
      </c>
    </row>
    <row r="71" spans="1:44">
      <c r="E71" s="861" t="e">
        <f>IF(Cover!$E$10="",0, VLOOKUP('Primary Input'!E8:G8,$E$2:$AL$66,1))</f>
        <v>#N/A</v>
      </c>
      <c r="F71" s="862" t="s">
        <v>143</v>
      </c>
      <c r="G71" s="862" t="s">
        <v>144</v>
      </c>
      <c r="H71" s="862" t="s">
        <v>145</v>
      </c>
      <c r="I71" s="862" t="s">
        <v>146</v>
      </c>
      <c r="J71" s="862" t="s">
        <v>147</v>
      </c>
      <c r="K71" s="862" t="s">
        <v>148</v>
      </c>
      <c r="L71" s="862" t="s">
        <v>1154</v>
      </c>
      <c r="AI71" s="862"/>
      <c r="AJ71" s="862"/>
      <c r="AK71" s="862"/>
      <c r="AL71" s="862"/>
      <c r="AM71" s="862"/>
      <c r="AN71" s="862"/>
      <c r="AO71" s="862"/>
      <c r="AP71" s="862"/>
      <c r="AQ71" s="862"/>
      <c r="AR71" s="862"/>
    </row>
    <row r="72" spans="1:44">
      <c r="E72" s="859" t="s">
        <v>704</v>
      </c>
      <c r="F72" s="861" t="e">
        <f>IF(Cover!$E$10="",0, VLOOKUP(Cover!$E$10,$E$2:$AO$66,3))</f>
        <v>#N/A</v>
      </c>
      <c r="G72" s="861" t="e">
        <f>IF(Cover!$E$10="",0, VLOOKUP(Cover!$E$10,$E$2:$AO$66,4))</f>
        <v>#N/A</v>
      </c>
      <c r="H72" s="861" t="e">
        <f>IF(Cover!$E$10="",0, VLOOKUP(Cover!$E$10,$E$2:$AO$66,5))</f>
        <v>#N/A</v>
      </c>
      <c r="I72" s="861" t="e">
        <f>IF(Cover!$E$10="",0, VLOOKUP(Cover!$E$10,$E$2:$AO$66,6))</f>
        <v>#N/A</v>
      </c>
      <c r="J72" s="861" t="e">
        <f>IF(Cover!$E$10="",0, VLOOKUP(Cover!$E$10,$E$2:$AO$66,7))</f>
        <v>#N/A</v>
      </c>
      <c r="K72" s="861" t="e">
        <f>IF(Cover!$E$10="",0, VLOOKUP(Cover!$E$10,$E$2:$AO$66,8))</f>
        <v>#N/A</v>
      </c>
      <c r="L72" s="861" t="e">
        <f>IF(Cover!$E$10="",0, VLOOKUP(Cover!$E$10,$E$2:$AO$66,9))</f>
        <v>#N/A</v>
      </c>
      <c r="AI72" s="861"/>
      <c r="AJ72" s="861"/>
      <c r="AK72" s="861"/>
      <c r="AL72" s="861"/>
      <c r="AM72" s="861"/>
      <c r="AN72" s="861"/>
      <c r="AO72" s="861"/>
      <c r="AP72" s="861"/>
      <c r="AQ72" s="861"/>
      <c r="AR72" s="861"/>
    </row>
    <row r="73" spans="1:44">
      <c r="E73" s="859" t="s">
        <v>705</v>
      </c>
      <c r="F73" s="861" t="e">
        <f>IF(Cover!$E$10="",0, VLOOKUP(Cover!$E$10,$E$2:$AO$66,17))</f>
        <v>#N/A</v>
      </c>
      <c r="G73" s="861" t="e">
        <f>IF(Cover!$E$10="",0, VLOOKUP(Cover!$E$10,$E$2:$AO$66,18))</f>
        <v>#N/A</v>
      </c>
      <c r="H73" s="861" t="e">
        <f>IF(Cover!$E$10="",0, VLOOKUP(Cover!$E$10,$E$2:$AO$66,19))</f>
        <v>#N/A</v>
      </c>
      <c r="I73" s="861" t="e">
        <f>IF(Cover!$E$10="",0, VLOOKUP(Cover!$E$10,$E$2:$AO$66,20))</f>
        <v>#N/A</v>
      </c>
      <c r="J73" s="861" t="e">
        <f>IF(Cover!$E$10="",0, VLOOKUP(Cover!$E$10,$E$2:$AO$66,21))</f>
        <v>#N/A</v>
      </c>
      <c r="K73" s="861" t="e">
        <f>IF(Cover!$E$10="",0, VLOOKUP(Cover!$E$10,$E$2:$AO$66,22))</f>
        <v>#N/A</v>
      </c>
      <c r="L73" s="861" t="e">
        <f>IF(Cover!$E$10="",0, VLOOKUP(Cover!$E$10,$E$2:$AO$66,23))</f>
        <v>#N/A</v>
      </c>
      <c r="AI73" s="861"/>
      <c r="AJ73" s="861"/>
      <c r="AK73" s="861"/>
      <c r="AL73" s="861"/>
      <c r="AM73" s="861"/>
      <c r="AN73" s="861"/>
      <c r="AO73" s="861"/>
      <c r="AP73" s="861"/>
      <c r="AQ73" s="861"/>
      <c r="AR73" s="861"/>
    </row>
    <row r="74" spans="1:44">
      <c r="E74" s="859" t="s">
        <v>1155</v>
      </c>
      <c r="F74" s="861" t="e">
        <f>IF(Cover!$E$10="",0, VLOOKUP(Cover!$E$10,$E$2:$AO$66,24))</f>
        <v>#N/A</v>
      </c>
      <c r="G74" s="861" t="e">
        <f>IF(Cover!$E$10="",0, VLOOKUP(Cover!$E$10,$E$2:$AO$66,25))</f>
        <v>#N/A</v>
      </c>
      <c r="H74" s="861" t="e">
        <f>IF(Cover!$E$10="",0, VLOOKUP(Cover!$E$10,$E$2:$AO$66,26))</f>
        <v>#N/A</v>
      </c>
      <c r="I74" s="861" t="e">
        <f>IF(Cover!$E$10="",0, VLOOKUP(Cover!$E$10,$E$2:$AO$66,27))</f>
        <v>#N/A</v>
      </c>
      <c r="J74" s="861" t="e">
        <f>IF(Cover!$E$10="",0, VLOOKUP(Cover!$E$10,$E$2:$AO$66,28))</f>
        <v>#N/A</v>
      </c>
      <c r="K74" s="861" t="e">
        <f>IF(Cover!$E$10="",0, VLOOKUP(Cover!$E$10,$E$2:$AO$66,29))</f>
        <v>#N/A</v>
      </c>
      <c r="L74" s="861" t="e">
        <f>IF(Cover!$E$10="",0, VLOOKUP(Cover!$E$10,$E$2:$AO$66,30))</f>
        <v>#N/A</v>
      </c>
      <c r="AI74" s="861"/>
      <c r="AJ74" s="861"/>
      <c r="AK74" s="861"/>
      <c r="AL74" s="861"/>
      <c r="AM74" s="861"/>
      <c r="AN74" s="861"/>
      <c r="AO74" s="861"/>
      <c r="AP74" s="861"/>
      <c r="AQ74" s="861"/>
      <c r="AR74" s="861"/>
    </row>
    <row r="75" spans="1:44">
      <c r="E75" s="859" t="s">
        <v>1156</v>
      </c>
      <c r="F75" s="861" t="e">
        <f>IF(Cover!$E$10="",0, VLOOKUP(Cover!$E$10,$E$2:$AO$66,31))</f>
        <v>#N/A</v>
      </c>
      <c r="G75" s="861" t="e">
        <f>IF(Cover!$E$10="",0, VLOOKUP(Cover!$E$10,$E$2:$AO$66,32))</f>
        <v>#N/A</v>
      </c>
      <c r="H75" s="861" t="e">
        <f>IF(Cover!$E$10="",0, VLOOKUP(Cover!$E$10,$E$2:$AO$66,33))</f>
        <v>#N/A</v>
      </c>
      <c r="I75" s="861" t="e">
        <f>IF(Cover!$E$10="",0, VLOOKUP(Cover!$E$10,$E$2:$AO$66,34))</f>
        <v>#N/A</v>
      </c>
      <c r="J75" s="861" t="e">
        <f>IF(Cover!$E$10="",0, VLOOKUP(Cover!$E$10,$E$2:$AO$66,35))</f>
        <v>#N/A</v>
      </c>
      <c r="K75" s="861" t="e">
        <f>IF(Cover!$E$10="",0, VLOOKUP(Cover!$E$10,$E$2:$AO$66,36))</f>
        <v>#N/A</v>
      </c>
      <c r="L75" s="861" t="e">
        <f>IF(Cover!$E$10="",0, VLOOKUP(Cover!$E$10,$E$2:$AO$66,37))</f>
        <v>#N/A</v>
      </c>
      <c r="AI75" s="861"/>
      <c r="AJ75" s="861"/>
      <c r="AK75" s="861"/>
      <c r="AL75" s="861"/>
      <c r="AM75" s="861"/>
      <c r="AN75" s="861"/>
      <c r="AO75" s="861"/>
      <c r="AP75" s="861"/>
      <c r="AQ75" s="861"/>
      <c r="AR75" s="861"/>
    </row>
    <row r="76" spans="1:44">
      <c r="E76" s="859" t="s">
        <v>1157</v>
      </c>
      <c r="F76" s="861" t="e">
        <f>IF(Cover!$E$10="",0, VLOOKUP(Cover!$E$10,$E$2:$AO$66,10))</f>
        <v>#N/A</v>
      </c>
      <c r="G76" s="861" t="e">
        <f>IF(Cover!$E$10="",0, VLOOKUP(Cover!$E$10,$E$2:$AO$66,11))</f>
        <v>#N/A</v>
      </c>
      <c r="H76" s="861" t="e">
        <f>IF(Cover!$E$10="",0,VLOOKUP(Cover!$E$10,$E$2:$AO$66,12))</f>
        <v>#N/A</v>
      </c>
      <c r="I76" s="861" t="e">
        <f>IF(Cover!$E$10="",0, VLOOKUP(Cover!$E$10,$E$2:$AO$66,13))</f>
        <v>#N/A</v>
      </c>
      <c r="J76" s="861" t="e">
        <f>IF(Cover!$E$10="",0, VLOOKUP(Cover!$E$10,$E$2:$AO$66,14))</f>
        <v>#N/A</v>
      </c>
      <c r="K76" s="861" t="e">
        <f>IF(Cover!$E$10="",0, VLOOKUP(Cover!$E$10,$E$2:$AO$66,15))</f>
        <v>#N/A</v>
      </c>
      <c r="L76" s="861" t="e">
        <f>IF(Cover!$E$10="",0, VLOOKUP(Cover!$E$10,$E$2:$AO$66,16))</f>
        <v>#N/A</v>
      </c>
    </row>
    <row r="80" spans="1:44">
      <c r="E80" s="861"/>
      <c r="AI80" s="861"/>
      <c r="AJ80" s="861"/>
      <c r="AK80" s="861"/>
      <c r="AL80" s="861"/>
      <c r="AM80" s="861"/>
      <c r="AN80" s="861"/>
      <c r="AO80" s="861"/>
      <c r="AP80" s="861"/>
      <c r="AQ80" s="861"/>
      <c r="AR80" s="861"/>
    </row>
    <row r="81" spans="3:15">
      <c r="E81" s="861"/>
      <c r="F81" s="862"/>
      <c r="G81" s="862"/>
      <c r="H81" s="862"/>
      <c r="I81" s="862"/>
      <c r="J81" s="862"/>
      <c r="K81" s="862"/>
      <c r="L81" s="862"/>
    </row>
    <row r="82" spans="3:15">
      <c r="F82" s="861"/>
      <c r="G82" s="861"/>
      <c r="H82" s="861"/>
      <c r="I82" s="861"/>
      <c r="J82" s="861"/>
      <c r="K82" s="861"/>
      <c r="L82" s="861"/>
      <c r="N82" s="863"/>
      <c r="O82" s="861"/>
    </row>
    <row r="83" spans="3:15">
      <c r="C83" s="861" t="e">
        <f>+F75</f>
        <v>#N/A</v>
      </c>
      <c r="F83" s="861"/>
      <c r="G83" s="861"/>
      <c r="H83" s="861"/>
      <c r="I83" s="861"/>
      <c r="J83" s="861"/>
      <c r="K83" s="861"/>
      <c r="L83" s="861"/>
      <c r="N83" s="863"/>
      <c r="O83" s="861"/>
    </row>
    <row r="84" spans="3:15">
      <c r="F84" s="861"/>
      <c r="G84" s="861"/>
      <c r="H84" s="861"/>
      <c r="I84" s="861"/>
      <c r="J84" s="861"/>
      <c r="K84" s="861"/>
      <c r="L84" s="861"/>
      <c r="O84" s="861"/>
    </row>
    <row r="85" spans="3:15">
      <c r="F85" s="861"/>
      <c r="G85" s="861"/>
      <c r="H85" s="861"/>
      <c r="I85" s="861"/>
      <c r="J85" s="861"/>
      <c r="K85" s="861"/>
      <c r="L85" s="861"/>
      <c r="N85" s="864"/>
      <c r="O85" s="861"/>
    </row>
    <row r="86" spans="3:15">
      <c r="E86" s="865"/>
      <c r="F86" s="861"/>
      <c r="G86" s="861"/>
      <c r="H86" s="861"/>
      <c r="I86" s="861"/>
      <c r="J86" s="861"/>
      <c r="K86" s="861"/>
      <c r="L86" s="861"/>
      <c r="N86" s="864"/>
      <c r="O86" s="861"/>
    </row>
    <row r="87" spans="3:15">
      <c r="N87" s="864"/>
      <c r="O87" s="861"/>
    </row>
    <row r="88" spans="3:15">
      <c r="N88" s="864"/>
      <c r="O88" s="861"/>
    </row>
    <row r="89" spans="3:15">
      <c r="E89" s="861"/>
    </row>
    <row r="90" spans="3:15">
      <c r="E90" s="861"/>
      <c r="F90" s="862"/>
      <c r="G90" s="862"/>
      <c r="H90" s="862"/>
      <c r="I90" s="862"/>
      <c r="J90" s="862"/>
      <c r="K90" s="862"/>
      <c r="L90" s="862"/>
    </row>
    <row r="91" spans="3:15">
      <c r="F91" s="861"/>
      <c r="G91" s="861"/>
      <c r="H91" s="861"/>
      <c r="I91" s="861"/>
      <c r="J91" s="861"/>
      <c r="K91" s="861"/>
      <c r="L91" s="861"/>
    </row>
    <row r="92" spans="3:15">
      <c r="F92" s="861"/>
      <c r="G92" s="861"/>
      <c r="H92" s="861"/>
      <c r="I92" s="861"/>
      <c r="J92" s="861"/>
      <c r="K92" s="861"/>
      <c r="L92" s="861"/>
    </row>
    <row r="93" spans="3:15">
      <c r="F93" s="861"/>
      <c r="G93" s="861"/>
      <c r="H93" s="861"/>
      <c r="I93" s="861"/>
      <c r="J93" s="861"/>
      <c r="K93" s="861"/>
      <c r="L93" s="861"/>
    </row>
    <row r="94" spans="3:15">
      <c r="F94" s="861"/>
      <c r="G94" s="861"/>
      <c r="H94" s="861"/>
      <c r="I94" s="861"/>
      <c r="J94" s="861"/>
      <c r="K94" s="861"/>
      <c r="L94" s="861"/>
    </row>
    <row r="95" spans="3:15">
      <c r="E95" s="865"/>
      <c r="F95" s="861"/>
      <c r="G95" s="861"/>
      <c r="H95" s="861"/>
      <c r="I95" s="861"/>
      <c r="J95" s="861"/>
      <c r="K95" s="861"/>
      <c r="L95" s="861"/>
      <c r="N95" s="863"/>
      <c r="O95" s="861"/>
    </row>
    <row r="96" spans="3:15">
      <c r="N96" s="863"/>
      <c r="O96" s="861"/>
    </row>
    <row r="97" spans="14:15">
      <c r="O97" s="861"/>
    </row>
    <row r="98" spans="14:15">
      <c r="N98" s="864"/>
      <c r="O98" s="861"/>
    </row>
    <row r="99" spans="14:15">
      <c r="N99" s="864"/>
      <c r="O99" s="861"/>
    </row>
    <row r="100" spans="14:15">
      <c r="N100" s="864"/>
      <c r="O100" s="861"/>
    </row>
    <row r="101" spans="14:15">
      <c r="N101" s="864"/>
      <c r="O101" s="86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29"/>
    <pageSetUpPr fitToPage="1"/>
  </sheetPr>
  <dimension ref="A1:X48"/>
  <sheetViews>
    <sheetView topLeftCell="A22" zoomScaleNormal="100" zoomScaleSheetLayoutView="100" workbookViewId="0">
      <selection activeCell="Z44" sqref="Z44"/>
    </sheetView>
  </sheetViews>
  <sheetFormatPr baseColWidth="10" defaultColWidth="8.83203125" defaultRowHeight="13"/>
  <cols>
    <col min="1" max="1" width="2.6640625" customWidth="1"/>
    <col min="4" max="4" width="34.6640625" customWidth="1"/>
    <col min="5" max="5" width="10.83203125" customWidth="1"/>
    <col min="6" max="6" width="2.1640625" customWidth="1"/>
    <col min="7" max="7" width="7.83203125" customWidth="1"/>
    <col min="8" max="8" width="25.83203125" style="85" customWidth="1"/>
    <col min="9" max="9" width="0.1640625" hidden="1" customWidth="1"/>
    <col min="10" max="10" width="16.33203125" customWidth="1"/>
    <col min="11" max="11" width="3.33203125" customWidth="1"/>
    <col min="12" max="22" width="0" hidden="1" customWidth="1"/>
    <col min="23" max="23" width="48.5" hidden="1" customWidth="1"/>
    <col min="24" max="24" width="0" hidden="1" customWidth="1"/>
  </cols>
  <sheetData>
    <row r="1" spans="1:24" ht="14" thickBot="1">
      <c r="A1" s="1" t="s">
        <v>550</v>
      </c>
      <c r="B1" s="24"/>
      <c r="C1" s="820">
        <f>+Cover!D6</f>
        <v>91818</v>
      </c>
      <c r="D1" s="984">
        <f>+Cover!E9</f>
        <v>0</v>
      </c>
      <c r="E1" s="984"/>
      <c r="F1" s="24"/>
      <c r="G1" s="24"/>
      <c r="H1" s="89"/>
      <c r="I1" s="24"/>
      <c r="J1" s="24"/>
      <c r="K1" s="20"/>
    </row>
    <row r="2" spans="1:24" ht="15" thickTop="1" thickBot="1">
      <c r="A2" s="24"/>
      <c r="B2" s="1032" t="s">
        <v>611</v>
      </c>
      <c r="C2" s="1033"/>
      <c r="D2" s="1034"/>
      <c r="E2" s="1035"/>
      <c r="F2" s="1036"/>
      <c r="G2" s="1036"/>
      <c r="H2" s="1042"/>
      <c r="I2" s="1043"/>
      <c r="J2" s="1043"/>
      <c r="K2" s="90"/>
      <c r="X2" t="s">
        <v>30</v>
      </c>
    </row>
    <row r="3" spans="1:24" ht="14" thickTop="1">
      <c r="A3" s="24"/>
      <c r="B3" s="1037" t="s">
        <v>447</v>
      </c>
      <c r="C3" s="1038"/>
      <c r="D3" s="1039"/>
      <c r="E3" s="1040" t="str">
        <f>IF('Primary Input'!E24="","",'Primary Input'!E24)</f>
        <v/>
      </c>
      <c r="F3" s="1041"/>
      <c r="G3" s="1041"/>
      <c r="H3" s="997" t="str">
        <f>IF(E3="","Ineligible As Submitted", "OK")</f>
        <v>Ineligible As Submitted</v>
      </c>
      <c r="I3" s="998"/>
      <c r="J3" s="998"/>
      <c r="K3" s="90"/>
      <c r="X3" t="s">
        <v>24</v>
      </c>
    </row>
    <row r="4" spans="1:24">
      <c r="A4" s="24"/>
      <c r="B4" s="1006" t="s">
        <v>612</v>
      </c>
      <c r="C4" s="1007"/>
      <c r="D4" s="1008"/>
      <c r="E4" s="999"/>
      <c r="F4" s="1000"/>
      <c r="G4" s="1000"/>
      <c r="H4" s="997" t="str">
        <f>IF(E4="Yes","OK",(IF(E4="N/A","OK","Ineligible As Submitted")))</f>
        <v>Ineligible As Submitted</v>
      </c>
      <c r="I4" s="998"/>
      <c r="J4" s="998"/>
      <c r="K4" s="90"/>
      <c r="X4" s="106" t="s">
        <v>759</v>
      </c>
    </row>
    <row r="5" spans="1:24">
      <c r="A5" s="24"/>
      <c r="B5" s="1006" t="s">
        <v>480</v>
      </c>
      <c r="C5" s="1007"/>
      <c r="D5" s="1008"/>
      <c r="E5" s="999"/>
      <c r="F5" s="1000"/>
      <c r="G5" s="1000"/>
      <c r="H5" s="997" t="str">
        <f>IF(E5="Yes","OK",(IF(E5="N/A","OK","Ineligible As Submitted")))</f>
        <v>Ineligible As Submitted</v>
      </c>
      <c r="I5" s="998"/>
      <c r="J5" s="998"/>
      <c r="K5" s="90"/>
    </row>
    <row r="6" spans="1:24">
      <c r="A6" s="24"/>
      <c r="B6" s="1006" t="s">
        <v>613</v>
      </c>
      <c r="C6" s="1007"/>
      <c r="D6" s="1008"/>
      <c r="E6" s="999"/>
      <c r="F6" s="1000"/>
      <c r="G6" s="1000"/>
      <c r="H6" s="997" t="str">
        <f>IF(E6="Yes","OK",(IF(E6="N/A","OK","Ineligible as Submitted")))</f>
        <v>Ineligible as Submitted</v>
      </c>
      <c r="I6" s="998"/>
      <c r="J6" s="998"/>
      <c r="K6" s="90"/>
    </row>
    <row r="7" spans="1:24">
      <c r="A7" s="24"/>
      <c r="B7" s="1006" t="s">
        <v>448</v>
      </c>
      <c r="C7" s="1007"/>
      <c r="D7" s="1008"/>
      <c r="E7" s="999"/>
      <c r="F7" s="1000"/>
      <c r="G7" s="1000"/>
      <c r="H7" s="997" t="str">
        <f>IF(E7="Yes","OK",(IF(E7="N/A","OK","Ineligible As Submitted")))</f>
        <v>Ineligible As Submitted</v>
      </c>
      <c r="I7" s="998"/>
      <c r="J7" s="998"/>
      <c r="K7" s="90"/>
    </row>
    <row r="8" spans="1:24">
      <c r="A8" s="24"/>
      <c r="B8" s="1006" t="s">
        <v>449</v>
      </c>
      <c r="C8" s="1007"/>
      <c r="D8" s="1008"/>
      <c r="E8" s="999"/>
      <c r="F8" s="1000"/>
      <c r="G8" s="1000"/>
      <c r="H8" s="997" t="str">
        <f>IF(E8="Yes","OK",(IF(E8="N/A","OK","Ineligible As Submitted")))</f>
        <v>Ineligible As Submitted</v>
      </c>
      <c r="I8" s="998"/>
      <c r="J8" s="998"/>
      <c r="K8" s="90"/>
    </row>
    <row r="9" spans="1:24">
      <c r="A9" s="24"/>
      <c r="B9" s="1009" t="s">
        <v>895</v>
      </c>
      <c r="C9" s="1007"/>
      <c r="D9" s="1008"/>
      <c r="E9" s="1021">
        <f>+'Primary Input'!E30:G30</f>
        <v>0</v>
      </c>
      <c r="F9" s="1024"/>
      <c r="G9" s="1024"/>
      <c r="H9" s="997" t="str">
        <f>IF(E9&gt;400000,"Ineligible As Submitted", "OK")</f>
        <v>OK</v>
      </c>
      <c r="I9" s="998"/>
      <c r="J9" s="998"/>
      <c r="K9" s="90"/>
    </row>
    <row r="10" spans="1:24">
      <c r="A10" s="24"/>
      <c r="B10" s="1009" t="s">
        <v>711</v>
      </c>
      <c r="C10" s="1007"/>
      <c r="D10" s="1008"/>
      <c r="E10" s="1021" t="e">
        <f>+E9/'Primary Input'!E27</f>
        <v>#DIV/0!</v>
      </c>
      <c r="F10" s="1020"/>
      <c r="G10" s="1020"/>
      <c r="H10" s="997" t="e">
        <f>+IF(SLR!E21="Yes","OK","Ineligible As Submitted")</f>
        <v>#DIV/0!</v>
      </c>
      <c r="I10" s="998"/>
      <c r="J10" s="998"/>
      <c r="K10" s="90"/>
    </row>
    <row r="11" spans="1:24">
      <c r="A11" s="24"/>
      <c r="B11" s="1009" t="s">
        <v>868</v>
      </c>
      <c r="C11" s="1007"/>
      <c r="D11" s="1008"/>
      <c r="E11" s="999"/>
      <c r="F11" s="1000"/>
      <c r="G11" s="1000"/>
      <c r="H11" s="997" t="str">
        <f>IF(E11="Yes","OK",(IF(E11="N/A","OK","Ineligible As Submitted")))</f>
        <v>Ineligible As Submitted</v>
      </c>
      <c r="I11" s="998"/>
      <c r="J11" s="998"/>
      <c r="K11" s="90"/>
    </row>
    <row r="12" spans="1:24">
      <c r="A12" s="24"/>
      <c r="B12" s="1006" t="s">
        <v>451</v>
      </c>
      <c r="C12" s="1007"/>
      <c r="D12" s="1008"/>
      <c r="E12" s="999"/>
      <c r="F12" s="1000"/>
      <c r="G12" s="1000"/>
      <c r="H12" s="997" t="str">
        <f>IF(E12="Yes","OK",(IF(E12="N/A","OK","Ineligible As Submitted")))</f>
        <v>Ineligible As Submitted</v>
      </c>
      <c r="I12" s="998"/>
      <c r="J12" s="998"/>
      <c r="K12" s="90"/>
    </row>
    <row r="13" spans="1:24">
      <c r="A13" s="24"/>
      <c r="B13" s="1006" t="s">
        <v>452</v>
      </c>
      <c r="C13" s="1007"/>
      <c r="D13" s="1008"/>
      <c r="E13" s="999"/>
      <c r="F13" s="1000"/>
      <c r="G13" s="1000"/>
      <c r="H13" s="997" t="str">
        <f>IF(E13="Yes","OK",(IF(E13="N/A","OK","Ineligible As Submitted")))</f>
        <v>Ineligible As Submitted</v>
      </c>
      <c r="I13" s="998"/>
      <c r="J13" s="998"/>
      <c r="K13" s="90"/>
    </row>
    <row r="14" spans="1:24">
      <c r="A14" s="24"/>
      <c r="B14" s="1006" t="s">
        <v>551</v>
      </c>
      <c r="C14" s="1007"/>
      <c r="D14" s="1008"/>
      <c r="E14" s="999"/>
      <c r="F14" s="1000"/>
      <c r="G14" s="1000"/>
      <c r="H14" s="997" t="str">
        <f>IF(E14="Yes","OK",(IF(E14="N/A","OK","Ineligible As Submitted")))</f>
        <v>Ineligible As Submitted</v>
      </c>
      <c r="I14" s="998"/>
      <c r="J14" s="998"/>
      <c r="K14" s="90"/>
    </row>
    <row r="15" spans="1:24">
      <c r="A15" s="24"/>
      <c r="B15" s="1009" t="s">
        <v>741</v>
      </c>
      <c r="C15" s="1007"/>
      <c r="D15" s="1008"/>
      <c r="E15" s="1022"/>
      <c r="F15" s="1023"/>
      <c r="G15" s="1023"/>
      <c r="H15" s="997" t="str">
        <f ca="1">IF(E15&gt;K15,"OK","Not Required at Submission")</f>
        <v>Not Required at Submission</v>
      </c>
      <c r="I15" s="998"/>
      <c r="J15" s="998"/>
      <c r="K15" s="91">
        <f ca="1">NOW()-60</f>
        <v>43301.664810648152</v>
      </c>
    </row>
    <row r="16" spans="1:24">
      <c r="A16" s="24"/>
      <c r="B16" s="1009" t="s">
        <v>712</v>
      </c>
      <c r="C16" s="1007"/>
      <c r="D16" s="1008"/>
      <c r="E16" s="1019">
        <f>IF('Types of Housing'!D31=0,0,(1-'Types of Housing'!D31))</f>
        <v>0</v>
      </c>
      <c r="F16" s="1020"/>
      <c r="G16" s="1020"/>
      <c r="H16" s="997" t="str">
        <f>IF(E16&lt;0.15,"Ineligible As Submitted", "OK")</f>
        <v>Ineligible As Submitted</v>
      </c>
      <c r="I16" s="998"/>
      <c r="J16" s="998"/>
      <c r="K16" s="90"/>
    </row>
    <row r="17" spans="1:11">
      <c r="A17" s="24"/>
      <c r="B17" s="1006" t="s">
        <v>614</v>
      </c>
      <c r="C17" s="1007"/>
      <c r="D17" s="1008"/>
      <c r="E17" s="999"/>
      <c r="F17" s="1000"/>
      <c r="G17" s="1000"/>
      <c r="H17" s="997" t="str">
        <f>IF(E17="Yes","OK",(IF(E17="N/A","OK","Ineligible As Submitted")))</f>
        <v>Ineligible As Submitted</v>
      </c>
      <c r="I17" s="998"/>
      <c r="J17" s="998"/>
      <c r="K17" s="90"/>
    </row>
    <row r="18" spans="1:11">
      <c r="A18" s="24"/>
      <c r="B18" s="1006" t="s">
        <v>453</v>
      </c>
      <c r="C18" s="1007"/>
      <c r="D18" s="1008"/>
      <c r="E18" s="999"/>
      <c r="F18" s="1000"/>
      <c r="G18" s="1000"/>
      <c r="H18" s="997" t="str">
        <f>IF(E18="Yes","OK",(IF(E18="N/A","OK","Ineligible As Submitted")))</f>
        <v>Ineligible As Submitted</v>
      </c>
      <c r="I18" s="998"/>
      <c r="J18" s="998"/>
      <c r="K18" s="90"/>
    </row>
    <row r="19" spans="1:11" ht="25.5" customHeight="1">
      <c r="A19" s="24"/>
      <c r="B19" s="1029" t="s">
        <v>548</v>
      </c>
      <c r="C19" s="1030"/>
      <c r="D19" s="1031"/>
      <c r="E19" s="1019">
        <f>IF('Sources and Uses'!F41=0,0,+'Sources and Uses'!I32/'Sources and Uses'!F41)</f>
        <v>0</v>
      </c>
      <c r="F19" s="1020"/>
      <c r="G19" s="1020"/>
      <c r="H19" s="997" t="str">
        <f>IF(E19&gt;0.15,"Ineligible As Submitted", "OK")</f>
        <v>OK</v>
      </c>
      <c r="I19" s="998"/>
      <c r="J19" s="998"/>
      <c r="K19" s="90"/>
    </row>
    <row r="20" spans="1:11">
      <c r="A20" s="24"/>
      <c r="B20" s="1006" t="s">
        <v>615</v>
      </c>
      <c r="C20" s="1007"/>
      <c r="D20" s="1008"/>
      <c r="E20" s="1019">
        <f>IF('Sources and Uses'!F47=0,0,+'Sources and Uses'!I47/'Sources and Uses'!F47)</f>
        <v>0</v>
      </c>
      <c r="F20" s="1020"/>
      <c r="G20" s="1020"/>
      <c r="H20" s="997" t="str">
        <f>IF(E20&gt;0.2,"Ineligible As Submitted", "OK")</f>
        <v>OK</v>
      </c>
      <c r="I20" s="998"/>
      <c r="J20" s="998"/>
      <c r="K20" s="90"/>
    </row>
    <row r="21" spans="1:11">
      <c r="A21" s="24"/>
      <c r="B21" s="1006" t="s">
        <v>454</v>
      </c>
      <c r="C21" s="1007"/>
      <c r="D21" s="1008"/>
      <c r="E21" s="1021">
        <f>+'Sources and Uses'!F23-'Sources and Uses'!F47</f>
        <v>0</v>
      </c>
      <c r="F21" s="1020"/>
      <c r="G21" s="1020"/>
      <c r="H21" s="997" t="str">
        <f>IF(E21=0,"OK","Ineligible As Submitted")</f>
        <v>OK</v>
      </c>
      <c r="I21" s="998"/>
      <c r="J21" s="1017"/>
      <c r="K21" s="90"/>
    </row>
    <row r="22" spans="1:11">
      <c r="A22" s="24"/>
      <c r="B22" s="1006" t="s">
        <v>616</v>
      </c>
      <c r="C22" s="1007"/>
      <c r="D22" s="1008"/>
      <c r="E22" s="999"/>
      <c r="F22" s="1000"/>
      <c r="G22" s="1000"/>
      <c r="H22" s="997" t="str">
        <f>IF(E22="Yes","Ineligible As Submitted", "OK")</f>
        <v>OK</v>
      </c>
      <c r="I22" s="998"/>
      <c r="J22" s="998"/>
      <c r="K22" s="90"/>
    </row>
    <row r="23" spans="1:11" ht="12.75" customHeight="1">
      <c r="A23" s="24"/>
      <c r="B23" s="1006" t="s">
        <v>455</v>
      </c>
      <c r="C23" s="1007"/>
      <c r="D23" s="1008"/>
      <c r="E23" s="1013" t="e">
        <f>+#REF!</f>
        <v>#REF!</v>
      </c>
      <c r="F23" s="1014"/>
      <c r="G23" s="1014"/>
      <c r="H23" s="997" t="e">
        <f>IF(E23=0,"OK",IF(E23&lt;1.15,"Ineligible As Submitted","OK"))</f>
        <v>#REF!</v>
      </c>
      <c r="I23" s="998"/>
      <c r="J23" s="1017"/>
      <c r="K23" s="90"/>
    </row>
    <row r="24" spans="1:11" hidden="1">
      <c r="A24" s="24" t="s">
        <v>108</v>
      </c>
      <c r="B24" s="1006" t="s">
        <v>456</v>
      </c>
      <c r="C24" s="1007"/>
      <c r="D24" s="1008"/>
      <c r="E24" s="1027"/>
      <c r="F24" s="1028"/>
      <c r="G24" s="1028"/>
      <c r="H24" s="997" t="str">
        <f>IF(E24=0,"OK",IF(E24&lt;250,"Waiver Required","OK"))</f>
        <v>OK</v>
      </c>
      <c r="I24" s="998"/>
      <c r="J24" s="1017"/>
      <c r="K24" s="90"/>
    </row>
    <row r="25" spans="1:11" hidden="1">
      <c r="A25" s="24"/>
      <c r="B25" s="151" t="s">
        <v>457</v>
      </c>
      <c r="C25" s="152"/>
      <c r="D25" s="153"/>
      <c r="E25" s="102"/>
      <c r="F25" s="101"/>
      <c r="G25" s="101"/>
      <c r="H25" s="997" t="str">
        <f>IF(E2&gt;400,"Waiver Required",IF(E25&lt;250,"Waiver Required","OK"))</f>
        <v>Waiver Required</v>
      </c>
      <c r="I25" s="998"/>
      <c r="J25" s="1017"/>
      <c r="K25" s="90"/>
    </row>
    <row r="26" spans="1:11" ht="7.5" customHeight="1">
      <c r="A26" s="24"/>
      <c r="B26" s="1025"/>
      <c r="C26" s="1026"/>
      <c r="D26" s="1026"/>
      <c r="E26" s="1018"/>
      <c r="F26" s="1018"/>
      <c r="G26" s="1018"/>
      <c r="H26" s="1015"/>
      <c r="I26" s="1015"/>
      <c r="J26" s="1016"/>
      <c r="K26" s="90"/>
    </row>
    <row r="27" spans="1:11">
      <c r="A27" s="24"/>
      <c r="B27" s="1006" t="s">
        <v>458</v>
      </c>
      <c r="C27" s="1007"/>
      <c r="D27" s="1008"/>
      <c r="E27" s="999"/>
      <c r="F27" s="1000"/>
      <c r="G27" s="1000"/>
      <c r="H27" s="997" t="str">
        <f>IF(E27="Yes","OK",(IF(E27="N/A","OK","Ineligible As Submitted")))</f>
        <v>Ineligible As Submitted</v>
      </c>
      <c r="I27" s="998"/>
      <c r="J27" s="998"/>
      <c r="K27" s="90"/>
    </row>
    <row r="28" spans="1:11">
      <c r="A28" s="24"/>
      <c r="B28" s="1006" t="s">
        <v>459</v>
      </c>
      <c r="C28" s="1007"/>
      <c r="D28" s="1008"/>
      <c r="E28" s="999"/>
      <c r="F28" s="1000"/>
      <c r="G28" s="1000"/>
      <c r="H28" s="997" t="str">
        <f>IF(E28="Yes","OK",(IF(E28="N/A","OK","Ineligible As Submitted")))</f>
        <v>Ineligible As Submitted</v>
      </c>
      <c r="I28" s="998"/>
      <c r="J28" s="998"/>
      <c r="K28" s="90"/>
    </row>
    <row r="29" spans="1:11">
      <c r="A29" s="24"/>
      <c r="B29" s="1006" t="s">
        <v>460</v>
      </c>
      <c r="C29" s="1007"/>
      <c r="D29" s="1008"/>
      <c r="E29" s="999"/>
      <c r="F29" s="1000"/>
      <c r="G29" s="1000"/>
      <c r="H29" s="997" t="str">
        <f>IF(E29="Yes","OK",(IF(E29="N/A","OK","Ineligible As Submitted")))</f>
        <v>Ineligible As Submitted</v>
      </c>
      <c r="I29" s="998"/>
      <c r="J29" s="998"/>
      <c r="K29" s="90"/>
    </row>
    <row r="30" spans="1:11">
      <c r="A30" s="24"/>
      <c r="B30" s="1006" t="s">
        <v>461</v>
      </c>
      <c r="C30" s="1007"/>
      <c r="D30" s="1008"/>
      <c r="E30" s="999"/>
      <c r="F30" s="1000"/>
      <c r="G30" s="1000"/>
      <c r="H30" s="997" t="str">
        <f>IF(E30="Yes","OK",(IF(E30="N/A","OK","Ineligible As Submitted")))</f>
        <v>Ineligible As Submitted</v>
      </c>
      <c r="I30" s="998"/>
      <c r="J30" s="998"/>
      <c r="K30" s="90"/>
    </row>
    <row r="31" spans="1:11">
      <c r="A31" s="24"/>
      <c r="B31" s="154" t="s">
        <v>462</v>
      </c>
      <c r="C31" s="152"/>
      <c r="D31" s="153"/>
      <c r="E31" s="999"/>
      <c r="F31" s="1000"/>
      <c r="G31" s="1000"/>
      <c r="H31" s="997" t="str">
        <f t="shared" ref="H31:H39" si="0">IF(E31="Yes","OK",(IF(E31="N/A","OK","Ineligible as Submitted")))</f>
        <v>Ineligible as Submitted</v>
      </c>
      <c r="I31" s="998"/>
      <c r="J31" s="998"/>
      <c r="K31" s="90"/>
    </row>
    <row r="32" spans="1:11">
      <c r="A32" s="24"/>
      <c r="B32" s="154" t="s">
        <v>549</v>
      </c>
      <c r="C32" s="152"/>
      <c r="D32" s="153"/>
      <c r="E32" s="999"/>
      <c r="F32" s="1000"/>
      <c r="G32" s="1000"/>
      <c r="H32" s="997" t="str">
        <f t="shared" si="0"/>
        <v>Ineligible as Submitted</v>
      </c>
      <c r="I32" s="998"/>
      <c r="J32" s="998"/>
      <c r="K32" s="90"/>
    </row>
    <row r="33" spans="1:24">
      <c r="A33" s="24"/>
      <c r="B33" s="154" t="s">
        <v>463</v>
      </c>
      <c r="C33" s="152"/>
      <c r="D33" s="153"/>
      <c r="E33" s="999"/>
      <c r="F33" s="1000"/>
      <c r="G33" s="1000"/>
      <c r="H33" s="997" t="str">
        <f t="shared" si="0"/>
        <v>Ineligible as Submitted</v>
      </c>
      <c r="I33" s="998"/>
      <c r="J33" s="998"/>
      <c r="K33" s="90"/>
    </row>
    <row r="34" spans="1:24">
      <c r="A34" s="24"/>
      <c r="B34" s="1006" t="s">
        <v>464</v>
      </c>
      <c r="C34" s="1007"/>
      <c r="D34" s="1008"/>
      <c r="E34" s="999"/>
      <c r="F34" s="1000"/>
      <c r="G34" s="1000"/>
      <c r="H34" s="997" t="str">
        <f t="shared" si="0"/>
        <v>Ineligible as Submitted</v>
      </c>
      <c r="I34" s="998"/>
      <c r="J34" s="998"/>
      <c r="K34" s="90"/>
    </row>
    <row r="35" spans="1:24">
      <c r="A35" s="24"/>
      <c r="B35" s="1009" t="s">
        <v>465</v>
      </c>
      <c r="C35" s="1010"/>
      <c r="D35" s="1011"/>
      <c r="E35" s="999"/>
      <c r="F35" s="1000"/>
      <c r="G35" s="1000"/>
      <c r="H35" s="997" t="str">
        <f t="shared" si="0"/>
        <v>Ineligible as Submitted</v>
      </c>
      <c r="I35" s="998"/>
      <c r="J35" s="998"/>
      <c r="K35" s="90"/>
    </row>
    <row r="36" spans="1:24">
      <c r="A36" s="24"/>
      <c r="B36" s="181" t="s">
        <v>740</v>
      </c>
      <c r="C36" s="182"/>
      <c r="D36" s="183"/>
      <c r="E36" s="999"/>
      <c r="F36" s="1000"/>
      <c r="G36" s="1012"/>
      <c r="H36" s="997" t="str">
        <f>IF(E36="Yes","OK",(IF(E36="N/A","OK","Ineligible as Submitted")))</f>
        <v>Ineligible as Submitted</v>
      </c>
      <c r="I36" s="998"/>
      <c r="J36" s="998"/>
      <c r="K36" s="90"/>
    </row>
    <row r="37" spans="1:24">
      <c r="A37" s="24"/>
      <c r="B37" s="181" t="s">
        <v>758</v>
      </c>
      <c r="C37" s="182"/>
      <c r="D37" s="183"/>
      <c r="E37" s="999"/>
      <c r="F37" s="1000"/>
      <c r="G37" s="1012"/>
      <c r="H37" s="997" t="str">
        <f>IF(E37="No","OK",(IF(E37="Yes","Ineligible to apply",(IF(E37="","Ineligible as Submitted")))))</f>
        <v>Ineligible as Submitted</v>
      </c>
      <c r="I37" s="998"/>
      <c r="J37" s="998"/>
      <c r="K37" s="90"/>
    </row>
    <row r="38" spans="1:24">
      <c r="A38" s="24"/>
      <c r="B38" s="181" t="s">
        <v>863</v>
      </c>
      <c r="C38" s="182"/>
      <c r="D38" s="183"/>
      <c r="E38" s="999"/>
      <c r="F38" s="1000"/>
      <c r="G38" s="1012"/>
      <c r="H38" s="997" t="str">
        <f>IF(E38="Yes","OK",(IF(E38="N/A","OK","Not Required Under NOAH")))</f>
        <v>Not Required Under NOAH</v>
      </c>
      <c r="I38" s="998"/>
      <c r="J38" s="998"/>
      <c r="K38" s="90"/>
    </row>
    <row r="39" spans="1:24" ht="25.5" customHeight="1" thickBot="1">
      <c r="A39" s="24"/>
      <c r="B39" s="994" t="s">
        <v>466</v>
      </c>
      <c r="C39" s="995"/>
      <c r="D39" s="996"/>
      <c r="E39" s="1001"/>
      <c r="F39" s="1002"/>
      <c r="G39" s="1002"/>
      <c r="H39" s="1003" t="str">
        <f t="shared" si="0"/>
        <v>Ineligible as Submitted</v>
      </c>
      <c r="I39" s="1004"/>
      <c r="J39" s="1005"/>
      <c r="K39" s="90"/>
    </row>
    <row r="40" spans="1:24" ht="25.5" hidden="1" customHeight="1" thickBot="1">
      <c r="A40" s="24"/>
      <c r="B40" s="985" t="s">
        <v>467</v>
      </c>
      <c r="C40" s="986"/>
      <c r="D40" s="987"/>
      <c r="E40" s="988"/>
      <c r="F40" s="989"/>
      <c r="G40" s="990"/>
      <c r="H40" s="991" t="str">
        <f>IF(E40="Yes","OK",(IF(E40="N/A","OK","Waiver Required")))</f>
        <v>Waiver Required</v>
      </c>
      <c r="I40" s="992"/>
      <c r="J40" s="993"/>
      <c r="K40" s="90"/>
    </row>
    <row r="41" spans="1:24" ht="14" thickTop="1">
      <c r="A41" s="24"/>
      <c r="B41" s="24"/>
      <c r="C41" s="24"/>
      <c r="D41" s="24"/>
      <c r="E41" s="24"/>
      <c r="F41" s="24"/>
      <c r="G41" s="24"/>
      <c r="H41" s="92"/>
      <c r="I41" s="92"/>
      <c r="J41" s="92"/>
      <c r="K41" s="24"/>
    </row>
    <row r="42" spans="1:24" ht="14" thickBot="1">
      <c r="A42" s="24"/>
      <c r="B42" s="24"/>
      <c r="C42" s="24"/>
      <c r="D42" s="984"/>
      <c r="E42" s="984"/>
      <c r="F42" s="24"/>
      <c r="G42" s="24"/>
      <c r="H42" s="89"/>
      <c r="I42" s="24"/>
      <c r="J42" s="24"/>
      <c r="K42" s="20"/>
    </row>
    <row r="43" spans="1:24" ht="15" thickTop="1" thickBot="1">
      <c r="A43" s="24"/>
      <c r="B43" s="1053" t="s">
        <v>717</v>
      </c>
      <c r="C43" s="1054"/>
      <c r="D43" s="1055"/>
      <c r="E43" s="1050"/>
      <c r="F43" s="1051"/>
      <c r="G43" s="1051"/>
      <c r="H43" s="1051"/>
      <c r="I43" s="1051"/>
      <c r="J43" s="1052"/>
      <c r="K43" s="24"/>
    </row>
    <row r="44" spans="1:24" ht="29.25" customHeight="1" thickTop="1" thickBot="1">
      <c r="A44" s="24"/>
      <c r="B44" s="1056" t="s">
        <v>721</v>
      </c>
      <c r="C44" s="1057"/>
      <c r="D44" s="1057"/>
      <c r="E44" s="1058"/>
      <c r="F44" s="1058"/>
      <c r="G44" s="1059"/>
      <c r="H44" s="1046" t="b">
        <f>IF(E44="Not Included","Ineligible as Submitted",(IF(E44="Included","Ok",(IF(E44="No Change","Ok")))))</f>
        <v>0</v>
      </c>
      <c r="I44" s="1046"/>
      <c r="J44" s="1047"/>
      <c r="K44" s="24"/>
      <c r="X44" t="s">
        <v>567</v>
      </c>
    </row>
    <row r="45" spans="1:24" ht="15" thickTop="1" thickBot="1">
      <c r="B45" s="166" t="s">
        <v>718</v>
      </c>
      <c r="C45" s="170"/>
      <c r="D45" s="171"/>
      <c r="E45" s="1044"/>
      <c r="F45" s="1044"/>
      <c r="G45" s="1045"/>
      <c r="H45" s="1046" t="b">
        <f>IF(E45="Not Included","Ineligible as Submitted",(IF(E45="Included","Ok",(IF(E45="No Change","Ok")))))</f>
        <v>0</v>
      </c>
      <c r="I45" s="1046"/>
      <c r="J45" s="1047"/>
      <c r="X45" s="106" t="s">
        <v>739</v>
      </c>
    </row>
    <row r="46" spans="1:24" ht="15" thickTop="1" thickBot="1">
      <c r="B46" s="166" t="s">
        <v>720</v>
      </c>
      <c r="C46" s="167"/>
      <c r="D46" s="167"/>
      <c r="E46" s="1044"/>
      <c r="F46" s="1044"/>
      <c r="G46" s="1045"/>
      <c r="H46" s="1046" t="b">
        <f>IF(E46="Not Included","Ineligible as Submitted",(IF(E46="Included","Ok",(IF(E46="No Change","Ok")))))</f>
        <v>0</v>
      </c>
      <c r="I46" s="1046"/>
      <c r="J46" s="1047"/>
      <c r="X46" t="s">
        <v>722</v>
      </c>
    </row>
    <row r="47" spans="1:24" ht="15" thickTop="1" thickBot="1">
      <c r="B47" s="168" t="s">
        <v>719</v>
      </c>
      <c r="C47" s="169"/>
      <c r="D47" s="169"/>
      <c r="E47" s="1048"/>
      <c r="F47" s="1048"/>
      <c r="G47" s="1049"/>
      <c r="H47" s="1046" t="b">
        <f>IF(E47="Not Included","Ineligible as Submitted",(IF(E47="Included","Ok",(IF(E47="No Change","Ok")))))</f>
        <v>0</v>
      </c>
      <c r="I47" s="1046"/>
      <c r="J47" s="1047"/>
    </row>
    <row r="48" spans="1:24" ht="14" thickTop="1"/>
  </sheetData>
  <sheetProtection algorithmName="SHA-512" hashValue="z/JbmdrNoLTYhzkgnVVM7zoPJ8ED1CKgb75LP5gbBfRlL7ezK/Aja7+1fsPdMe3o8IV1rbPztFDMSRqGnbx74A==" saltValue="/LHvXchq3gFiBRQmyoB4xg==" spinCount="100000" sheet="1" objects="1" scenarios="1"/>
  <mergeCells count="123">
    <mergeCell ref="E46:G46"/>
    <mergeCell ref="H46:J46"/>
    <mergeCell ref="E47:G47"/>
    <mergeCell ref="H47:J47"/>
    <mergeCell ref="E43:G43"/>
    <mergeCell ref="H43:J43"/>
    <mergeCell ref="B43:D43"/>
    <mergeCell ref="B44:D44"/>
    <mergeCell ref="E44:G44"/>
    <mergeCell ref="H44:J44"/>
    <mergeCell ref="E45:G45"/>
    <mergeCell ref="H45:J45"/>
    <mergeCell ref="B2:D2"/>
    <mergeCell ref="E2:G2"/>
    <mergeCell ref="B3:D3"/>
    <mergeCell ref="E3:G3"/>
    <mergeCell ref="B4:D4"/>
    <mergeCell ref="E4:G4"/>
    <mergeCell ref="B6:D6"/>
    <mergeCell ref="E6:G6"/>
    <mergeCell ref="H25:J25"/>
    <mergeCell ref="B5:D5"/>
    <mergeCell ref="B7:D7"/>
    <mergeCell ref="E7:G7"/>
    <mergeCell ref="B8:D8"/>
    <mergeCell ref="E8:G8"/>
    <mergeCell ref="B9:D9"/>
    <mergeCell ref="B10:D10"/>
    <mergeCell ref="B11:D11"/>
    <mergeCell ref="E11:G11"/>
    <mergeCell ref="B12:D12"/>
    <mergeCell ref="E12:G12"/>
    <mergeCell ref="B13:D13"/>
    <mergeCell ref="E13:G13"/>
    <mergeCell ref="H7:J7"/>
    <mergeCell ref="H2:J2"/>
    <mergeCell ref="B14:D14"/>
    <mergeCell ref="E14:G14"/>
    <mergeCell ref="B16:D16"/>
    <mergeCell ref="E16:G16"/>
    <mergeCell ref="B15:D15"/>
    <mergeCell ref="B26:D26"/>
    <mergeCell ref="E22:G22"/>
    <mergeCell ref="E18:G18"/>
    <mergeCell ref="B17:D17"/>
    <mergeCell ref="E17:G17"/>
    <mergeCell ref="E24:G24"/>
    <mergeCell ref="B18:D18"/>
    <mergeCell ref="B19:D19"/>
    <mergeCell ref="B20:D20"/>
    <mergeCell ref="H3:J3"/>
    <mergeCell ref="H4:J4"/>
    <mergeCell ref="H5:J5"/>
    <mergeCell ref="H6:J6"/>
    <mergeCell ref="E5:G5"/>
    <mergeCell ref="E10:G10"/>
    <mergeCell ref="E15:G15"/>
    <mergeCell ref="H8:J8"/>
    <mergeCell ref="H9:J9"/>
    <mergeCell ref="H10:J10"/>
    <mergeCell ref="H11:J11"/>
    <mergeCell ref="H12:J12"/>
    <mergeCell ref="H13:J13"/>
    <mergeCell ref="E9:G9"/>
    <mergeCell ref="H14:J14"/>
    <mergeCell ref="H15:J15"/>
    <mergeCell ref="B30:D30"/>
    <mergeCell ref="B27:D27"/>
    <mergeCell ref="B21:D21"/>
    <mergeCell ref="B22:D22"/>
    <mergeCell ref="B23:D23"/>
    <mergeCell ref="B24:D24"/>
    <mergeCell ref="E29:G29"/>
    <mergeCell ref="H16:J16"/>
    <mergeCell ref="H33:J33"/>
    <mergeCell ref="H17:J17"/>
    <mergeCell ref="H23:J23"/>
    <mergeCell ref="H22:J22"/>
    <mergeCell ref="H18:J18"/>
    <mergeCell ref="E19:G19"/>
    <mergeCell ref="H19:J19"/>
    <mergeCell ref="H21:J21"/>
    <mergeCell ref="H20:J20"/>
    <mergeCell ref="E20:G20"/>
    <mergeCell ref="E21:G21"/>
    <mergeCell ref="H37:J37"/>
    <mergeCell ref="E37:G37"/>
    <mergeCell ref="H38:J38"/>
    <mergeCell ref="H36:J36"/>
    <mergeCell ref="H26:J26"/>
    <mergeCell ref="H27:J27"/>
    <mergeCell ref="H24:J24"/>
    <mergeCell ref="E36:G36"/>
    <mergeCell ref="E32:G32"/>
    <mergeCell ref="E31:G31"/>
    <mergeCell ref="H31:J31"/>
    <mergeCell ref="H28:J28"/>
    <mergeCell ref="E26:G26"/>
    <mergeCell ref="E27:G27"/>
    <mergeCell ref="D42:E42"/>
    <mergeCell ref="B40:D40"/>
    <mergeCell ref="E40:G40"/>
    <mergeCell ref="H40:J40"/>
    <mergeCell ref="B39:D39"/>
    <mergeCell ref="D1:E1"/>
    <mergeCell ref="H29:J29"/>
    <mergeCell ref="E30:G30"/>
    <mergeCell ref="E39:G39"/>
    <mergeCell ref="H39:J39"/>
    <mergeCell ref="B34:D34"/>
    <mergeCell ref="E34:G34"/>
    <mergeCell ref="H34:J34"/>
    <mergeCell ref="B35:D35"/>
    <mergeCell ref="E35:G35"/>
    <mergeCell ref="E38:G38"/>
    <mergeCell ref="E23:G23"/>
    <mergeCell ref="B29:D29"/>
    <mergeCell ref="H30:J30"/>
    <mergeCell ref="B28:D28"/>
    <mergeCell ref="E28:G28"/>
    <mergeCell ref="H35:J35"/>
    <mergeCell ref="H32:J32"/>
    <mergeCell ref="E33:G33"/>
  </mergeCells>
  <phoneticPr fontId="25" type="noConversion"/>
  <dataValidations count="3">
    <dataValidation type="list" allowBlank="1" showInputMessage="1" showErrorMessage="1" sqref="E40 E32:E33 E18:G18 E5:G5 E30 F30:G30 F32:G33 F40:G40" xr:uid="{00000000-0002-0000-0200-000000000000}">
      <formula1>$X$1:$X$4</formula1>
    </dataValidation>
    <dataValidation type="list" allowBlank="1" showInputMessage="1" showErrorMessage="1" sqref="E44:G47" xr:uid="{00000000-0002-0000-0200-000001000000}">
      <formula1>$X$44:$X$46</formula1>
    </dataValidation>
    <dataValidation type="list" allowBlank="1" showInputMessage="1" showErrorMessage="1" sqref="E6:G6 E7:G7 E4:G4 E8:G8 E11:G11 E12:G12 E13:G13 E14:G14 E17:G17 E22:G22 E26:G26 E27:G27 E28:G28 E29:G29 E31:G31 E34:G34 E35:G35 E36:G36 E37:G37 E38:G38 E39:G39" xr:uid="{00000000-0002-0000-0200-000002000000}">
      <formula1>$X$1:$X$3</formula1>
    </dataValidation>
  </dataValidations>
  <printOptions horizontalCentered="1"/>
  <pageMargins left="0.75" right="0.75" top="1" bottom="1" header="0.5" footer="0.5"/>
  <pageSetup scale="74" orientation="portrait" r:id="rId1"/>
  <headerFooter alignWithMargins="0">
    <oddFooter>&amp;C&amp;P</oddFooter>
  </headerFooter>
  <rowBreaks count="1" manualBreakCount="1">
    <brk id="41" max="10"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pageSetUpPr fitToPage="1"/>
  </sheetPr>
  <dimension ref="A1:M43"/>
  <sheetViews>
    <sheetView topLeftCell="A16" zoomScaleNormal="100" workbookViewId="0">
      <selection activeCell="H21" sqref="H21"/>
    </sheetView>
  </sheetViews>
  <sheetFormatPr baseColWidth="10" defaultColWidth="9.1640625" defaultRowHeight="13"/>
  <cols>
    <col min="1" max="1" width="3.5" style="21" customWidth="1"/>
    <col min="2" max="9" width="9.1640625" style="21"/>
    <col min="10" max="10" width="3.6640625" style="21" customWidth="1"/>
    <col min="11" max="11" width="2.6640625" style="21" customWidth="1"/>
    <col min="12" max="16384" width="9.1640625" style="21"/>
  </cols>
  <sheetData>
    <row r="1" spans="1:13">
      <c r="A1" s="200" t="s">
        <v>109</v>
      </c>
      <c r="B1" s="224"/>
      <c r="C1" s="224"/>
      <c r="D1" s="224">
        <f>+Cover!E9</f>
        <v>0</v>
      </c>
      <c r="E1" s="224"/>
      <c r="F1" s="224"/>
      <c r="G1" s="1067"/>
      <c r="H1" s="1067"/>
      <c r="I1" s="224"/>
      <c r="J1" s="224"/>
      <c r="K1" s="224"/>
      <c r="L1" s="224"/>
      <c r="M1" s="224"/>
    </row>
    <row r="2" spans="1:13">
      <c r="A2" s="1081">
        <f>+Cover!D6</f>
        <v>91818</v>
      </c>
      <c r="B2" s="1081"/>
      <c r="C2" s="224"/>
      <c r="D2" s="224"/>
      <c r="E2" s="224"/>
      <c r="F2" s="224"/>
      <c r="G2" s="224"/>
      <c r="H2" s="224"/>
      <c r="I2" s="224"/>
      <c r="J2" s="224"/>
      <c r="K2" s="224"/>
      <c r="L2" s="224"/>
      <c r="M2" s="224"/>
    </row>
    <row r="3" spans="1:13" ht="84" customHeight="1">
      <c r="A3" s="224"/>
      <c r="B3" s="1068" t="s">
        <v>864</v>
      </c>
      <c r="C3" s="1069"/>
      <c r="D3" s="1069"/>
      <c r="E3" s="1069"/>
      <c r="F3" s="1069"/>
      <c r="G3" s="1069"/>
      <c r="H3" s="1069"/>
      <c r="I3" s="1070"/>
      <c r="J3" s="224"/>
      <c r="K3" s="224"/>
      <c r="L3" s="224"/>
      <c r="M3" s="224"/>
    </row>
    <row r="4" spans="1:13">
      <c r="A4" s="224"/>
      <c r="B4" s="224"/>
      <c r="C4" s="224"/>
      <c r="D4" s="224"/>
      <c r="E4" s="224"/>
      <c r="F4" s="224"/>
      <c r="G4" s="224"/>
      <c r="H4" s="224"/>
      <c r="I4" s="224"/>
      <c r="J4" s="224"/>
      <c r="K4" s="224"/>
      <c r="L4" s="224"/>
      <c r="M4" s="224"/>
    </row>
    <row r="5" spans="1:13">
      <c r="A5" s="224"/>
      <c r="B5" s="224"/>
      <c r="C5" s="224"/>
      <c r="D5" s="224"/>
      <c r="E5" s="224"/>
      <c r="F5" s="224"/>
      <c r="G5" s="224"/>
      <c r="H5" s="224"/>
      <c r="I5" s="224"/>
      <c r="J5" s="224"/>
      <c r="K5" s="224"/>
      <c r="L5" s="224"/>
      <c r="M5" s="224"/>
    </row>
    <row r="6" spans="1:13" ht="42" customHeight="1">
      <c r="A6" s="224"/>
      <c r="B6" s="1071"/>
      <c r="C6" s="1060"/>
      <c r="D6" s="1060"/>
      <c r="E6" s="1060"/>
      <c r="F6" s="1060"/>
      <c r="G6" s="1060"/>
      <c r="H6" s="1060"/>
      <c r="I6" s="1060"/>
      <c r="J6" s="224"/>
      <c r="K6" s="224"/>
      <c r="L6" s="224"/>
      <c r="M6" s="224"/>
    </row>
    <row r="7" spans="1:13">
      <c r="A7" s="224"/>
      <c r="B7" s="224"/>
      <c r="C7" s="224"/>
      <c r="D7" s="224"/>
      <c r="E7" s="224"/>
      <c r="F7" s="224"/>
      <c r="G7" s="224"/>
      <c r="H7" s="224"/>
      <c r="I7" s="224"/>
      <c r="J7" s="224"/>
      <c r="K7" s="224"/>
      <c r="L7" s="224"/>
      <c r="M7" s="224"/>
    </row>
    <row r="8" spans="1:13">
      <c r="A8" s="224"/>
      <c r="B8" s="225" t="s">
        <v>110</v>
      </c>
      <c r="C8" s="225"/>
      <c r="D8" s="1072">
        <f>+'Primary Input'!E26</f>
        <v>0</v>
      </c>
      <c r="E8" s="1073"/>
      <c r="F8" s="1074"/>
      <c r="G8" s="225"/>
      <c r="H8" s="1075" t="str">
        <f>IF(D8&gt;0,"OK","Invalid Entry")</f>
        <v>Invalid Entry</v>
      </c>
      <c r="I8" s="1076"/>
      <c r="J8" s="224"/>
      <c r="K8" s="224"/>
      <c r="L8" s="224"/>
      <c r="M8" s="224"/>
    </row>
    <row r="9" spans="1:13">
      <c r="A9" s="224"/>
      <c r="B9" s="225"/>
      <c r="C9" s="225"/>
      <c r="D9" s="225"/>
      <c r="E9" s="225"/>
      <c r="F9" s="225"/>
      <c r="G9" s="225"/>
      <c r="H9" s="225"/>
      <c r="I9" s="225"/>
      <c r="J9" s="224"/>
      <c r="K9" s="224"/>
      <c r="L9" s="224"/>
      <c r="M9" s="224"/>
    </row>
    <row r="10" spans="1:13">
      <c r="A10" s="224"/>
      <c r="B10" s="225"/>
      <c r="C10" s="225"/>
      <c r="D10" s="225"/>
      <c r="E10" s="225"/>
      <c r="F10" s="225"/>
      <c r="G10" s="225"/>
      <c r="H10" s="225"/>
      <c r="I10" s="225"/>
      <c r="J10" s="224"/>
      <c r="K10" s="224"/>
      <c r="L10" s="224"/>
      <c r="M10" s="224"/>
    </row>
    <row r="11" spans="1:13" ht="15.75" customHeight="1">
      <c r="A11" s="224"/>
      <c r="B11" s="1060" t="s">
        <v>299</v>
      </c>
      <c r="C11" s="1060"/>
      <c r="D11" s="1060"/>
      <c r="E11" s="1060"/>
      <c r="F11" s="1060"/>
      <c r="G11" s="1060"/>
      <c r="H11" s="1060"/>
      <c r="I11" s="1060"/>
      <c r="J11" s="224"/>
      <c r="K11" s="224"/>
      <c r="L11" s="224"/>
      <c r="M11" s="224"/>
    </row>
    <row r="12" spans="1:13" ht="18.75" customHeight="1" thickBot="1">
      <c r="A12" s="224"/>
      <c r="B12" s="225"/>
      <c r="C12" s="225"/>
      <c r="D12" s="225"/>
      <c r="E12" s="225"/>
      <c r="F12" s="225"/>
      <c r="G12" s="225"/>
      <c r="H12" s="226"/>
      <c r="I12" s="224"/>
      <c r="J12" s="224"/>
      <c r="K12" s="224"/>
      <c r="L12" s="224"/>
      <c r="M12" s="224"/>
    </row>
    <row r="13" spans="1:13" ht="19.5" customHeight="1" thickTop="1" thickBot="1">
      <c r="A13" s="585"/>
      <c r="B13" s="584" t="s">
        <v>111</v>
      </c>
      <c r="C13" s="584"/>
      <c r="D13" s="1061">
        <f>+'Primary Input'!E8</f>
        <v>0</v>
      </c>
      <c r="E13" s="1062"/>
      <c r="F13" s="1063"/>
      <c r="G13" s="584"/>
      <c r="H13" s="1077" t="s">
        <v>115</v>
      </c>
      <c r="I13" s="496"/>
      <c r="J13" s="496"/>
      <c r="K13" s="496"/>
      <c r="L13" s="496"/>
      <c r="M13" s="497"/>
    </row>
    <row r="14" spans="1:13" ht="26.25" customHeight="1" thickTop="1" thickBot="1">
      <c r="A14" s="224"/>
      <c r="B14" s="225" t="s">
        <v>112</v>
      </c>
      <c r="C14" s="225"/>
      <c r="D14" s="1064">
        <f>IF('Primary Input'!E8= "",0, VLOOKUP('Primary Input'!E8,'Primary Input'!AI5:AJ76,2))</f>
        <v>0</v>
      </c>
      <c r="E14" s="1065"/>
      <c r="F14" s="1066"/>
      <c r="G14" s="225"/>
      <c r="H14" s="1078"/>
      <c r="I14" s="1079" t="str">
        <f>+IF(SUM(H15:H25)&lt;&gt;D8,"Invalid Entry. Number of Units on Primary Input must equal Sum of units below", "OK")</f>
        <v>OK</v>
      </c>
      <c r="J14" s="1079"/>
      <c r="K14" s="1079"/>
      <c r="L14" s="1079"/>
      <c r="M14" s="1080"/>
    </row>
    <row r="15" spans="1:13" ht="14" thickTop="1">
      <c r="A15" s="224"/>
      <c r="B15" s="225" t="s">
        <v>177</v>
      </c>
      <c r="C15" s="225"/>
      <c r="D15" s="1082">
        <f>0.3*D$14</f>
        <v>0</v>
      </c>
      <c r="E15" s="1065"/>
      <c r="F15" s="1066"/>
      <c r="G15" s="225"/>
      <c r="H15" s="116"/>
      <c r="I15" s="225"/>
      <c r="J15" s="224"/>
      <c r="K15" s="224"/>
      <c r="L15" s="224"/>
      <c r="M15" s="224"/>
    </row>
    <row r="16" spans="1:13">
      <c r="A16" s="224"/>
      <c r="B16" s="225" t="s">
        <v>74</v>
      </c>
      <c r="C16" s="225"/>
      <c r="D16" s="1082">
        <f>0.35*D$14</f>
        <v>0</v>
      </c>
      <c r="E16" s="1065"/>
      <c r="F16" s="1066"/>
      <c r="G16" s="225"/>
      <c r="H16" s="118"/>
      <c r="I16" s="225"/>
      <c r="J16" s="224"/>
      <c r="K16" s="224"/>
      <c r="L16" s="224"/>
      <c r="M16" s="224"/>
    </row>
    <row r="17" spans="1:13">
      <c r="A17" s="224"/>
      <c r="B17" s="225" t="s">
        <v>75</v>
      </c>
      <c r="C17" s="225"/>
      <c r="D17" s="1082">
        <f>0.4*D$14</f>
        <v>0</v>
      </c>
      <c r="E17" s="1065"/>
      <c r="F17" s="1066"/>
      <c r="G17" s="225"/>
      <c r="H17" s="118"/>
      <c r="I17" s="225"/>
      <c r="J17" s="224"/>
      <c r="K17" s="224"/>
      <c r="L17" s="224"/>
      <c r="M17" s="224"/>
    </row>
    <row r="18" spans="1:13">
      <c r="A18" s="224"/>
      <c r="B18" s="225" t="s">
        <v>76</v>
      </c>
      <c r="C18" s="225"/>
      <c r="D18" s="1082">
        <f>0.45*D$14</f>
        <v>0</v>
      </c>
      <c r="E18" s="1065"/>
      <c r="F18" s="1066"/>
      <c r="G18" s="225"/>
      <c r="H18" s="118"/>
      <c r="I18" s="225"/>
      <c r="J18" s="224"/>
      <c r="K18" s="224"/>
      <c r="L18" s="224"/>
      <c r="M18" s="224"/>
    </row>
    <row r="19" spans="1:13">
      <c r="A19" s="224"/>
      <c r="B19" s="225" t="s">
        <v>481</v>
      </c>
      <c r="C19" s="225"/>
      <c r="D19" s="1082">
        <f>0.5*D$14</f>
        <v>0</v>
      </c>
      <c r="E19" s="1065"/>
      <c r="F19" s="1066"/>
      <c r="G19" s="225"/>
      <c r="H19" s="118"/>
      <c r="I19" s="225"/>
      <c r="J19" s="224"/>
      <c r="K19" s="224"/>
      <c r="L19" s="224"/>
      <c r="M19" s="224"/>
    </row>
    <row r="20" spans="1:13">
      <c r="A20" s="224"/>
      <c r="B20" s="225" t="s">
        <v>77</v>
      </c>
      <c r="C20" s="225"/>
      <c r="D20" s="1082">
        <f>0.55*D$14</f>
        <v>0</v>
      </c>
      <c r="E20" s="1065"/>
      <c r="F20" s="1066"/>
      <c r="G20" s="225"/>
      <c r="H20" s="118"/>
      <c r="I20" s="225"/>
      <c r="J20" s="224"/>
      <c r="K20" s="224"/>
      <c r="L20" s="224"/>
      <c r="M20" s="224"/>
    </row>
    <row r="21" spans="1:13">
      <c r="A21" s="224"/>
      <c r="B21" s="225" t="s">
        <v>78</v>
      </c>
      <c r="C21" s="225"/>
      <c r="D21" s="1082">
        <f>0.6*D$14</f>
        <v>0</v>
      </c>
      <c r="E21" s="1065"/>
      <c r="F21" s="1066"/>
      <c r="G21" s="225"/>
      <c r="H21" s="118"/>
      <c r="I21" s="225"/>
      <c r="J21" s="224"/>
      <c r="K21" s="224"/>
      <c r="L21" s="224"/>
      <c r="M21" s="224"/>
    </row>
    <row r="22" spans="1:13">
      <c r="A22" s="224"/>
      <c r="B22" s="225" t="s">
        <v>79</v>
      </c>
      <c r="C22" s="225"/>
      <c r="D22" s="1082">
        <f>0.65*D$14</f>
        <v>0</v>
      </c>
      <c r="E22" s="1065"/>
      <c r="F22" s="1066"/>
      <c r="G22" s="225"/>
      <c r="H22" s="118"/>
      <c r="I22" s="225"/>
      <c r="J22" s="224"/>
      <c r="K22" s="224"/>
      <c r="L22" s="224"/>
      <c r="M22" s="224"/>
    </row>
    <row r="23" spans="1:13">
      <c r="A23" s="224"/>
      <c r="B23" s="225" t="s">
        <v>80</v>
      </c>
      <c r="C23" s="225"/>
      <c r="D23" s="1082">
        <f>0.7*D$14</f>
        <v>0</v>
      </c>
      <c r="E23" s="1065"/>
      <c r="F23" s="1066"/>
      <c r="G23" s="225"/>
      <c r="H23" s="118"/>
      <c r="I23" s="225"/>
      <c r="J23" s="224"/>
      <c r="K23" s="224"/>
      <c r="L23" s="224"/>
      <c r="M23" s="224"/>
    </row>
    <row r="24" spans="1:13">
      <c r="A24" s="224"/>
      <c r="B24" s="225" t="s">
        <v>81</v>
      </c>
      <c r="C24" s="225"/>
      <c r="D24" s="1082">
        <f>0.75*D$14</f>
        <v>0</v>
      </c>
      <c r="E24" s="1065"/>
      <c r="F24" s="1066"/>
      <c r="G24" s="225"/>
      <c r="H24" s="118"/>
      <c r="I24" s="225"/>
      <c r="J24" s="224"/>
      <c r="K24" s="224"/>
      <c r="L24" s="224"/>
      <c r="M24" s="224"/>
    </row>
    <row r="25" spans="1:13">
      <c r="A25" s="224"/>
      <c r="B25" s="225" t="s">
        <v>482</v>
      </c>
      <c r="C25" s="225"/>
      <c r="D25" s="1082">
        <f>0.8*D$14</f>
        <v>0</v>
      </c>
      <c r="E25" s="1065"/>
      <c r="F25" s="1066"/>
      <c r="G25" s="225"/>
      <c r="H25" s="118"/>
      <c r="I25" s="225"/>
      <c r="J25" s="224"/>
      <c r="K25" s="224"/>
      <c r="L25" s="224"/>
      <c r="M25" s="224"/>
    </row>
    <row r="26" spans="1:13">
      <c r="A26" s="224"/>
      <c r="B26" s="225"/>
      <c r="C26" s="225"/>
      <c r="D26" s="225"/>
      <c r="E26" s="225"/>
      <c r="F26" s="225"/>
      <c r="G26" s="225"/>
      <c r="H26" s="225"/>
      <c r="I26" s="225"/>
      <c r="J26" s="224"/>
      <c r="K26" s="224"/>
      <c r="L26" s="224"/>
      <c r="M26" s="224"/>
    </row>
    <row r="27" spans="1:13" ht="83.25" customHeight="1">
      <c r="A27" s="224"/>
      <c r="B27" s="1085" t="s">
        <v>865</v>
      </c>
      <c r="C27" s="1060"/>
      <c r="D27" s="1060"/>
      <c r="E27" s="1060"/>
      <c r="F27" s="1060"/>
      <c r="G27" s="1060"/>
      <c r="H27" s="1060"/>
      <c r="I27" s="1060"/>
      <c r="J27" s="224"/>
      <c r="K27" s="224"/>
      <c r="L27" s="224"/>
      <c r="M27" s="224"/>
    </row>
    <row r="28" spans="1:13">
      <c r="A28" s="224"/>
      <c r="B28" s="224"/>
      <c r="C28" s="224"/>
      <c r="D28" s="224"/>
      <c r="E28" s="224"/>
      <c r="F28" s="224"/>
      <c r="G28" s="224"/>
      <c r="H28" s="224"/>
      <c r="I28" s="224"/>
      <c r="J28" s="224"/>
      <c r="K28" s="224"/>
      <c r="L28" s="224"/>
      <c r="M28" s="224"/>
    </row>
    <row r="29" spans="1:13">
      <c r="A29" s="224"/>
      <c r="B29" s="225" t="s">
        <v>113</v>
      </c>
      <c r="C29" s="225"/>
      <c r="D29" s="1082">
        <f>+'Sources and Uses'!F41</f>
        <v>0</v>
      </c>
      <c r="E29" s="1065"/>
      <c r="F29" s="1066"/>
      <c r="G29" s="224"/>
      <c r="H29" s="224"/>
      <c r="I29" s="224"/>
      <c r="J29" s="224"/>
      <c r="K29" s="224"/>
      <c r="L29" s="224"/>
      <c r="M29" s="224"/>
    </row>
    <row r="30" spans="1:13">
      <c r="A30" s="224"/>
      <c r="B30" s="225" t="s">
        <v>617</v>
      </c>
      <c r="C30" s="225"/>
      <c r="D30" s="1082">
        <f>+'Primary Input'!E30</f>
        <v>0</v>
      </c>
      <c r="E30" s="1065"/>
      <c r="F30" s="1066"/>
      <c r="G30" s="224"/>
      <c r="H30" s="224"/>
      <c r="I30" s="224"/>
      <c r="J30" s="224"/>
      <c r="K30" s="224"/>
      <c r="L30" s="224"/>
      <c r="M30" s="224"/>
    </row>
    <row r="31" spans="1:13">
      <c r="A31" s="224"/>
      <c r="B31" s="225" t="s">
        <v>114</v>
      </c>
      <c r="C31" s="225"/>
      <c r="D31" s="1086">
        <f>IF(D29=0,0,D30/D29)</f>
        <v>0</v>
      </c>
      <c r="E31" s="1087"/>
      <c r="F31" s="1088"/>
      <c r="G31" s="224"/>
      <c r="H31" s="1083" t="str">
        <f>IF(D31&lt;=0.85,"OK","Ineligible As Submitted")</f>
        <v>OK</v>
      </c>
      <c r="I31" s="1084"/>
      <c r="J31" s="224"/>
      <c r="K31" s="224"/>
      <c r="L31" s="224"/>
      <c r="M31" s="224"/>
    </row>
    <row r="32" spans="1:13">
      <c r="A32" s="224"/>
      <c r="B32" s="224"/>
      <c r="C32" s="224"/>
      <c r="D32" s="224"/>
      <c r="E32" s="224"/>
      <c r="F32" s="224"/>
      <c r="G32" s="224"/>
      <c r="H32" s="224"/>
      <c r="I32" s="224"/>
      <c r="J32" s="224"/>
      <c r="K32" s="224"/>
      <c r="L32" s="224"/>
      <c r="M32" s="224"/>
    </row>
    <row r="33" spans="1:13">
      <c r="A33" s="224"/>
      <c r="B33" s="224"/>
      <c r="C33" s="224"/>
      <c r="D33" s="224"/>
      <c r="E33" s="224"/>
      <c r="F33" s="224"/>
      <c r="G33" s="224"/>
      <c r="H33" s="224"/>
      <c r="I33" s="224"/>
      <c r="J33" s="224"/>
      <c r="K33" s="224"/>
      <c r="L33" s="224"/>
      <c r="M33" s="224"/>
    </row>
    <row r="34" spans="1:13">
      <c r="A34" s="224"/>
      <c r="B34" s="224"/>
      <c r="C34" s="224"/>
      <c r="D34" s="224"/>
      <c r="E34" s="224"/>
      <c r="F34" s="224"/>
      <c r="G34" s="224"/>
      <c r="H34" s="224"/>
      <c r="I34" s="224"/>
      <c r="J34" s="224"/>
      <c r="K34" s="224"/>
      <c r="L34" s="224"/>
      <c r="M34" s="224"/>
    </row>
    <row r="35" spans="1:13">
      <c r="A35" s="224"/>
      <c r="B35" s="115"/>
      <c r="C35" s="115"/>
      <c r="G35" s="115"/>
      <c r="H35" s="115"/>
      <c r="I35" s="115"/>
      <c r="J35" s="115"/>
      <c r="K35" s="224"/>
      <c r="L35" s="224"/>
      <c r="M35" s="224"/>
    </row>
    <row r="36" spans="1:13">
      <c r="A36" s="224"/>
      <c r="B36" s="115"/>
      <c r="C36" s="115"/>
      <c r="G36" s="115"/>
      <c r="H36" s="115"/>
      <c r="I36" s="115"/>
      <c r="J36" s="115"/>
      <c r="K36" s="224"/>
      <c r="L36" s="224"/>
      <c r="M36" s="224"/>
    </row>
    <row r="37" spans="1:13">
      <c r="A37" s="224"/>
      <c r="B37" s="115"/>
      <c r="C37" s="115"/>
      <c r="G37" s="115"/>
      <c r="H37" s="115"/>
      <c r="I37" s="115"/>
      <c r="J37" s="115"/>
      <c r="K37" s="224"/>
      <c r="L37" s="224"/>
      <c r="M37" s="224"/>
    </row>
    <row r="38" spans="1:13">
      <c r="A38" s="224"/>
      <c r="B38" s="115"/>
      <c r="C38" s="115"/>
      <c r="G38" s="115"/>
      <c r="H38" s="115"/>
      <c r="I38" s="115"/>
      <c r="J38" s="115"/>
      <c r="K38" s="224"/>
      <c r="L38" s="224"/>
      <c r="M38" s="224"/>
    </row>
    <row r="39" spans="1:13">
      <c r="A39" s="224"/>
      <c r="B39" s="115"/>
      <c r="C39" s="115"/>
      <c r="G39" s="115"/>
      <c r="H39" s="115"/>
      <c r="I39" s="115"/>
      <c r="J39" s="115"/>
      <c r="K39" s="224"/>
      <c r="L39" s="224"/>
      <c r="M39" s="224"/>
    </row>
    <row r="40" spans="1:13">
      <c r="A40" s="224"/>
      <c r="B40" s="115"/>
      <c r="C40" s="115"/>
      <c r="G40" s="115"/>
      <c r="H40" s="115"/>
      <c r="I40" s="115"/>
      <c r="J40" s="115"/>
      <c r="K40" s="224"/>
      <c r="L40" s="224"/>
      <c r="M40" s="224"/>
    </row>
    <row r="41" spans="1:13">
      <c r="A41" s="224"/>
      <c r="B41" s="115"/>
      <c r="C41" s="115"/>
      <c r="G41" s="115"/>
      <c r="H41" s="115"/>
      <c r="I41" s="115"/>
      <c r="J41" s="115"/>
      <c r="K41" s="224"/>
      <c r="L41" s="224"/>
      <c r="M41" s="224"/>
    </row>
    <row r="42" spans="1:13">
      <c r="A42" s="224"/>
      <c r="B42" s="115"/>
      <c r="C42" s="115"/>
      <c r="G42" s="115"/>
      <c r="H42" s="115"/>
      <c r="I42" s="115"/>
      <c r="J42" s="115"/>
      <c r="K42" s="224"/>
      <c r="L42" s="224"/>
      <c r="M42" s="224"/>
    </row>
    <row r="43" spans="1:13">
      <c r="J43" s="138"/>
      <c r="K43" s="138"/>
    </row>
  </sheetData>
  <sheetProtection algorithmName="SHA-512" hashValue="sU13fPEfA1z9Uu55XK85piCG4mlUsyTCGF0KeHXUvOwKzOnVkenn1Yl+rlluBB+KMfTci2z4MxaiHMLR0isQ/w==" saltValue="mUzP0PUwhlB80fTTNP/xjg==" spinCount="100000" sheet="1" objects="1" scenarios="1"/>
  <mergeCells count="27">
    <mergeCell ref="H31:I31"/>
    <mergeCell ref="B27:I27"/>
    <mergeCell ref="D29:F29"/>
    <mergeCell ref="D30:F30"/>
    <mergeCell ref="D31:F31"/>
    <mergeCell ref="D15:F15"/>
    <mergeCell ref="D19:F19"/>
    <mergeCell ref="D25:F25"/>
    <mergeCell ref="D16:F16"/>
    <mergeCell ref="D17:F17"/>
    <mergeCell ref="D18:F18"/>
    <mergeCell ref="D22:F22"/>
    <mergeCell ref="D23:F23"/>
    <mergeCell ref="D24:F24"/>
    <mergeCell ref="D20:F20"/>
    <mergeCell ref="D21:F21"/>
    <mergeCell ref="B11:I11"/>
    <mergeCell ref="D13:F13"/>
    <mergeCell ref="D14:F14"/>
    <mergeCell ref="G1:H1"/>
    <mergeCell ref="B3:I3"/>
    <mergeCell ref="B6:I6"/>
    <mergeCell ref="D8:F8"/>
    <mergeCell ref="H8:I8"/>
    <mergeCell ref="H13:H14"/>
    <mergeCell ref="I14:M14"/>
    <mergeCell ref="A2:B2"/>
  </mergeCells>
  <phoneticPr fontId="25" type="noConversion"/>
  <printOptions horizontalCentered="1"/>
  <pageMargins left="0.75" right="0.75" top="1" bottom="1" header="0.5" footer="0.5"/>
  <pageSetup scale="88"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pageSetUpPr fitToPage="1"/>
  </sheetPr>
  <dimension ref="A1:AJ56"/>
  <sheetViews>
    <sheetView zoomScaleNormal="100" workbookViewId="0">
      <selection activeCell="B11" sqref="B11"/>
    </sheetView>
  </sheetViews>
  <sheetFormatPr baseColWidth="10" defaultColWidth="8.83203125" defaultRowHeight="13"/>
  <cols>
    <col min="1" max="1" width="3.1640625" customWidth="1"/>
    <col min="11" max="11" width="5.1640625" customWidth="1"/>
    <col min="12" max="12" width="14.1640625" style="159" customWidth="1"/>
  </cols>
  <sheetData>
    <row r="1" spans="1:36" ht="15" thickTop="1" thickBot="1">
      <c r="A1" s="227" t="s">
        <v>116</v>
      </c>
      <c r="B1" s="228"/>
      <c r="C1" s="229"/>
      <c r="D1" s="229"/>
      <c r="E1" s="229"/>
      <c r="F1" s="821">
        <f>+Cover!D6</f>
        <v>91818</v>
      </c>
      <c r="G1" s="229"/>
      <c r="H1" s="870">
        <f>+Cover!E9</f>
        <v>0</v>
      </c>
      <c r="I1" s="870"/>
      <c r="J1" s="229"/>
      <c r="K1" s="230"/>
      <c r="L1" s="231"/>
      <c r="M1" s="232"/>
      <c r="N1" s="233"/>
      <c r="O1" s="234"/>
      <c r="P1" s="232"/>
      <c r="Q1" s="232"/>
      <c r="R1" s="232"/>
      <c r="S1" s="232"/>
      <c r="T1" s="233"/>
    </row>
    <row r="2" spans="1:36" ht="128.25" customHeight="1" thickTop="1" thickBot="1">
      <c r="A2" s="245"/>
      <c r="B2" s="1095" t="s">
        <v>866</v>
      </c>
      <c r="C2" s="1096"/>
      <c r="D2" s="1096"/>
      <c r="E2" s="1096"/>
      <c r="F2" s="1096"/>
      <c r="G2" s="1096"/>
      <c r="H2" s="1096"/>
      <c r="I2" s="1096"/>
      <c r="J2" s="1097"/>
      <c r="K2" s="235"/>
      <c r="L2" s="236" t="s">
        <v>714</v>
      </c>
      <c r="M2" s="237" t="s">
        <v>867</v>
      </c>
      <c r="N2" s="238" t="s">
        <v>715</v>
      </c>
      <c r="O2" s="1107" t="s">
        <v>716</v>
      </c>
      <c r="P2" s="1108"/>
      <c r="Q2" s="1108"/>
      <c r="R2" s="1108"/>
      <c r="S2" s="1108"/>
      <c r="T2" s="1109"/>
    </row>
    <row r="3" spans="1:36" ht="15.75" customHeight="1" thickTop="1" thickBot="1">
      <c r="A3" s="245"/>
      <c r="B3" s="246"/>
      <c r="C3" s="247"/>
      <c r="D3" s="247"/>
      <c r="E3" s="247"/>
      <c r="F3" s="247"/>
      <c r="G3" s="247"/>
      <c r="H3" s="247"/>
      <c r="I3" s="247"/>
      <c r="J3" s="247"/>
      <c r="K3" s="239"/>
      <c r="L3" s="240"/>
      <c r="M3" s="241"/>
      <c r="N3" s="242"/>
      <c r="O3" s="243"/>
      <c r="P3" s="235"/>
      <c r="Q3" s="235"/>
      <c r="R3" s="235"/>
      <c r="S3" s="235"/>
      <c r="T3" s="244"/>
    </row>
    <row r="4" spans="1:36" ht="14" thickTop="1">
      <c r="A4" s="245"/>
      <c r="B4" s="248" t="s">
        <v>738</v>
      </c>
      <c r="C4" s="249"/>
      <c r="D4" s="249"/>
      <c r="E4" s="1098"/>
      <c r="F4" s="1098"/>
      <c r="G4" s="1098"/>
      <c r="H4" s="1098"/>
      <c r="I4" s="1098"/>
      <c r="J4" s="1098"/>
      <c r="K4" s="261"/>
      <c r="L4" s="162"/>
      <c r="M4" s="163"/>
      <c r="N4" s="164"/>
      <c r="O4" s="1104"/>
      <c r="P4" s="1105"/>
      <c r="Q4" s="1105"/>
      <c r="R4" s="1105"/>
      <c r="S4" s="1105"/>
      <c r="T4" s="1106"/>
      <c r="AJ4" s="106" t="s">
        <v>30</v>
      </c>
    </row>
    <row r="5" spans="1:36">
      <c r="A5" s="245"/>
      <c r="B5" s="250" t="s">
        <v>473</v>
      </c>
      <c r="C5" s="251"/>
      <c r="D5" s="251"/>
      <c r="E5" s="1099"/>
      <c r="F5" s="1099"/>
      <c r="G5" s="1099"/>
      <c r="H5" s="1099"/>
      <c r="I5" s="1099"/>
      <c r="J5" s="1099"/>
      <c r="K5" s="262"/>
      <c r="L5" s="273"/>
      <c r="M5" s="274"/>
      <c r="N5" s="275"/>
      <c r="O5" s="1092"/>
      <c r="P5" s="1093"/>
      <c r="Q5" s="1093"/>
      <c r="R5" s="1093"/>
      <c r="S5" s="1093"/>
      <c r="T5" s="1094"/>
      <c r="AJ5" s="106" t="s">
        <v>24</v>
      </c>
    </row>
    <row r="6" spans="1:36">
      <c r="A6" s="245"/>
      <c r="B6" s="252"/>
      <c r="C6" s="251"/>
      <c r="D6" s="251"/>
      <c r="E6" s="251"/>
      <c r="F6" s="251"/>
      <c r="G6" s="251"/>
      <c r="H6" s="251"/>
      <c r="I6" s="251"/>
      <c r="J6" s="251"/>
      <c r="K6" s="262"/>
      <c r="L6" s="273"/>
      <c r="M6" s="274"/>
      <c r="N6" s="275"/>
      <c r="O6" s="1092"/>
      <c r="P6" s="1093"/>
      <c r="Q6" s="1093"/>
      <c r="R6" s="1093"/>
      <c r="S6" s="1093"/>
      <c r="T6" s="1094"/>
    </row>
    <row r="7" spans="1:36">
      <c r="A7" s="245"/>
      <c r="B7" s="252"/>
      <c r="C7" s="251"/>
      <c r="D7" s="251"/>
      <c r="E7" s="251" t="s">
        <v>117</v>
      </c>
      <c r="F7" s="1100"/>
      <c r="G7" s="1100"/>
      <c r="H7" s="1100"/>
      <c r="I7" s="251" t="s">
        <v>118</v>
      </c>
      <c r="J7" s="160"/>
      <c r="K7" s="262"/>
      <c r="L7" s="273"/>
      <c r="M7" s="274"/>
      <c r="N7" s="275"/>
      <c r="O7" s="1092"/>
      <c r="P7" s="1093"/>
      <c r="Q7" s="1093"/>
      <c r="R7" s="1093"/>
      <c r="S7" s="1093"/>
      <c r="T7" s="1094"/>
    </row>
    <row r="8" spans="1:36">
      <c r="A8" s="245"/>
      <c r="B8" s="252"/>
      <c r="C8" s="251"/>
      <c r="D8" s="251"/>
      <c r="E8" s="251"/>
      <c r="F8" s="264"/>
      <c r="G8" s="264"/>
      <c r="H8" s="264"/>
      <c r="I8" s="251"/>
      <c r="J8" s="265"/>
      <c r="K8" s="262"/>
      <c r="L8" s="273"/>
      <c r="M8" s="274"/>
      <c r="N8" s="275"/>
      <c r="O8" s="1092"/>
      <c r="P8" s="1093"/>
      <c r="Q8" s="1093"/>
      <c r="R8" s="1093"/>
      <c r="S8" s="1093"/>
      <c r="T8" s="1094"/>
    </row>
    <row r="9" spans="1:36" ht="14" thickBot="1">
      <c r="A9" s="245"/>
      <c r="B9" s="253"/>
      <c r="C9" s="254"/>
      <c r="D9" s="254"/>
      <c r="E9" s="254" t="s">
        <v>119</v>
      </c>
      <c r="F9" s="266"/>
      <c r="G9" s="1101"/>
      <c r="H9" s="1101"/>
      <c r="I9" s="254" t="s">
        <v>120</v>
      </c>
      <c r="J9" s="160"/>
      <c r="K9" s="263"/>
      <c r="L9" s="276"/>
      <c r="M9" s="277"/>
      <c r="N9" s="278"/>
      <c r="O9" s="279"/>
      <c r="P9" s="239"/>
      <c r="Q9" s="239"/>
      <c r="R9" s="239"/>
      <c r="S9" s="239"/>
      <c r="T9" s="280"/>
    </row>
    <row r="10" spans="1:36" ht="14" thickTop="1">
      <c r="A10" s="245"/>
      <c r="B10" s="255"/>
      <c r="C10" s="249"/>
      <c r="D10" s="249"/>
      <c r="E10" s="249"/>
      <c r="F10" s="249"/>
      <c r="G10" s="249"/>
      <c r="H10" s="249"/>
      <c r="I10" s="249"/>
      <c r="J10" s="249"/>
      <c r="K10" s="258"/>
      <c r="L10" s="267"/>
      <c r="M10" s="268"/>
      <c r="N10" s="269"/>
      <c r="O10" s="270"/>
      <c r="P10" s="271"/>
      <c r="Q10" s="271"/>
      <c r="R10" s="271"/>
      <c r="S10" s="271"/>
      <c r="T10" s="272"/>
    </row>
    <row r="11" spans="1:36">
      <c r="A11" s="245"/>
      <c r="B11" s="466" t="s">
        <v>618</v>
      </c>
      <c r="C11" s="251"/>
      <c r="D11" s="251"/>
      <c r="E11" s="1099"/>
      <c r="F11" s="1099"/>
      <c r="G11" s="1099"/>
      <c r="H11" s="1099"/>
      <c r="I11" s="1099"/>
      <c r="J11" s="1099"/>
      <c r="K11" s="262"/>
      <c r="L11" s="165"/>
      <c r="M11" s="163"/>
      <c r="N11" s="172"/>
      <c r="O11" s="1102"/>
      <c r="P11" s="1093"/>
      <c r="Q11" s="1093"/>
      <c r="R11" s="1093"/>
      <c r="S11" s="1093"/>
      <c r="T11" s="1103"/>
    </row>
    <row r="12" spans="1:36">
      <c r="A12" s="245"/>
      <c r="B12" s="250" t="s">
        <v>473</v>
      </c>
      <c r="C12" s="251"/>
      <c r="D12" s="251"/>
      <c r="E12" s="1099"/>
      <c r="F12" s="1099"/>
      <c r="G12" s="1099"/>
      <c r="H12" s="1099"/>
      <c r="I12" s="1099"/>
      <c r="J12" s="1099"/>
      <c r="K12" s="262"/>
      <c r="L12" s="273"/>
      <c r="M12" s="274"/>
      <c r="N12" s="284"/>
      <c r="O12" s="1102"/>
      <c r="P12" s="1093"/>
      <c r="Q12" s="1093"/>
      <c r="R12" s="1093"/>
      <c r="S12" s="1093"/>
      <c r="T12" s="1103"/>
    </row>
    <row r="13" spans="1:36">
      <c r="A13" s="245"/>
      <c r="B13" s="252"/>
      <c r="C13" s="251"/>
      <c r="D13" s="251"/>
      <c r="E13" s="251"/>
      <c r="F13" s="251"/>
      <c r="G13" s="251"/>
      <c r="H13" s="251"/>
      <c r="I13" s="251"/>
      <c r="J13" s="251"/>
      <c r="K13" s="262"/>
      <c r="L13" s="273"/>
      <c r="M13" s="274"/>
      <c r="N13" s="284"/>
      <c r="O13" s="1102"/>
      <c r="P13" s="1093"/>
      <c r="Q13" s="1093"/>
      <c r="R13" s="1093"/>
      <c r="S13" s="1093"/>
      <c r="T13" s="1103"/>
    </row>
    <row r="14" spans="1:36" ht="14" thickBot="1">
      <c r="A14" s="245"/>
      <c r="B14" s="253"/>
      <c r="C14" s="254"/>
      <c r="D14" s="254"/>
      <c r="E14" s="254" t="s">
        <v>117</v>
      </c>
      <c r="F14" s="1110"/>
      <c r="G14" s="1110"/>
      <c r="H14" s="1110"/>
      <c r="I14" s="254" t="s">
        <v>118</v>
      </c>
      <c r="J14" s="161"/>
      <c r="K14" s="263"/>
      <c r="L14" s="276"/>
      <c r="M14" s="277"/>
      <c r="N14" s="278"/>
      <c r="O14" s="290"/>
      <c r="P14" s="291"/>
      <c r="Q14" s="291"/>
      <c r="R14" s="291"/>
      <c r="S14" s="291"/>
      <c r="T14" s="292"/>
    </row>
    <row r="15" spans="1:36" ht="14" thickTop="1">
      <c r="A15" s="245"/>
      <c r="B15" s="255"/>
      <c r="C15" s="249"/>
      <c r="D15" s="249"/>
      <c r="E15" s="249"/>
      <c r="F15" s="249"/>
      <c r="G15" s="249"/>
      <c r="H15" s="249"/>
      <c r="I15" s="249"/>
      <c r="J15" s="249"/>
      <c r="K15" s="258"/>
      <c r="L15" s="267"/>
      <c r="M15" s="268"/>
      <c r="N15" s="269"/>
      <c r="O15" s="293"/>
      <c r="P15" s="294"/>
      <c r="Q15" s="294"/>
      <c r="R15" s="294"/>
      <c r="S15" s="294"/>
      <c r="T15" s="295"/>
    </row>
    <row r="16" spans="1:36">
      <c r="A16" s="245"/>
      <c r="B16" s="252" t="s">
        <v>121</v>
      </c>
      <c r="C16" s="251"/>
      <c r="D16" s="251"/>
      <c r="E16" s="1099"/>
      <c r="F16" s="1099"/>
      <c r="G16" s="1099"/>
      <c r="H16" s="1099"/>
      <c r="I16" s="1099"/>
      <c r="J16" s="1099"/>
      <c r="K16" s="281"/>
      <c r="L16" s="165"/>
      <c r="M16" s="163"/>
      <c r="N16" s="164"/>
      <c r="O16" s="1092"/>
      <c r="P16" s="1093"/>
      <c r="Q16" s="1093"/>
      <c r="R16" s="1093"/>
      <c r="S16" s="1093"/>
      <c r="T16" s="1094"/>
    </row>
    <row r="17" spans="1:20">
      <c r="A17" s="245"/>
      <c r="B17" s="252"/>
      <c r="C17" s="251"/>
      <c r="D17" s="251"/>
      <c r="E17" s="1099"/>
      <c r="F17" s="1099"/>
      <c r="G17" s="1099"/>
      <c r="H17" s="1099"/>
      <c r="I17" s="1099"/>
      <c r="J17" s="1099"/>
      <c r="K17" s="281"/>
      <c r="L17" s="273"/>
      <c r="M17" s="274"/>
      <c r="N17" s="275"/>
      <c r="O17" s="1092"/>
      <c r="P17" s="1093"/>
      <c r="Q17" s="1093"/>
      <c r="R17" s="1093"/>
      <c r="S17" s="1093"/>
      <c r="T17" s="1094"/>
    </row>
    <row r="18" spans="1:20">
      <c r="A18" s="245"/>
      <c r="B18" s="252"/>
      <c r="C18" s="251"/>
      <c r="D18" s="251"/>
      <c r="E18" s="251"/>
      <c r="F18" s="251"/>
      <c r="G18" s="251"/>
      <c r="H18" s="251"/>
      <c r="I18" s="251"/>
      <c r="J18" s="251"/>
      <c r="K18" s="281"/>
      <c r="L18" s="273"/>
      <c r="M18" s="274"/>
      <c r="N18" s="275"/>
      <c r="O18" s="1092"/>
      <c r="P18" s="1093"/>
      <c r="Q18" s="1093"/>
      <c r="R18" s="1093"/>
      <c r="S18" s="1093"/>
      <c r="T18" s="1094"/>
    </row>
    <row r="19" spans="1:20" ht="14" thickBot="1">
      <c r="A19" s="245"/>
      <c r="B19" s="253"/>
      <c r="C19" s="254"/>
      <c r="D19" s="254"/>
      <c r="E19" s="254" t="s">
        <v>117</v>
      </c>
      <c r="F19" s="1100"/>
      <c r="G19" s="1100"/>
      <c r="H19" s="1100"/>
      <c r="I19" s="254" t="s">
        <v>118</v>
      </c>
      <c r="J19" s="160"/>
      <c r="K19" s="282"/>
      <c r="L19" s="276"/>
      <c r="M19" s="277"/>
      <c r="N19" s="278"/>
      <c r="O19" s="290"/>
      <c r="P19" s="291"/>
      <c r="Q19" s="291"/>
      <c r="R19" s="291"/>
      <c r="S19" s="291"/>
      <c r="T19" s="292"/>
    </row>
    <row r="20" spans="1:20" ht="14" thickTop="1">
      <c r="A20" s="245"/>
      <c r="B20" s="256"/>
      <c r="C20" s="257"/>
      <c r="D20" s="257"/>
      <c r="E20" s="257"/>
      <c r="F20" s="257"/>
      <c r="G20" s="257"/>
      <c r="H20" s="257"/>
      <c r="I20" s="257"/>
      <c r="J20" s="257"/>
      <c r="K20" s="283"/>
      <c r="L20" s="285"/>
      <c r="M20" s="286"/>
      <c r="N20" s="287"/>
      <c r="O20" s="293"/>
      <c r="P20" s="294"/>
      <c r="Q20" s="294"/>
      <c r="R20" s="294"/>
      <c r="S20" s="294"/>
      <c r="T20" s="295"/>
    </row>
    <row r="21" spans="1:20">
      <c r="A21" s="245"/>
      <c r="B21" s="252" t="s">
        <v>122</v>
      </c>
      <c r="C21" s="251"/>
      <c r="D21" s="251"/>
      <c r="E21" s="1099"/>
      <c r="F21" s="1099"/>
      <c r="G21" s="1099"/>
      <c r="H21" s="1099"/>
      <c r="I21" s="1099"/>
      <c r="J21" s="1099"/>
      <c r="K21" s="281"/>
      <c r="L21" s="165"/>
      <c r="M21" s="163"/>
      <c r="N21" s="164"/>
      <c r="O21" s="1092"/>
      <c r="P21" s="1093"/>
      <c r="Q21" s="1093"/>
      <c r="R21" s="1093"/>
      <c r="S21" s="1093"/>
      <c r="T21" s="1094"/>
    </row>
    <row r="22" spans="1:20">
      <c r="A22" s="245"/>
      <c r="B22" s="252"/>
      <c r="C22" s="251"/>
      <c r="D22" s="251"/>
      <c r="E22" s="1099"/>
      <c r="F22" s="1099"/>
      <c r="G22" s="1099"/>
      <c r="H22" s="1099"/>
      <c r="I22" s="1099"/>
      <c r="J22" s="1099"/>
      <c r="K22" s="281"/>
      <c r="L22" s="273"/>
      <c r="M22" s="274"/>
      <c r="N22" s="275"/>
      <c r="O22" s="1092"/>
      <c r="P22" s="1093"/>
      <c r="Q22" s="1093"/>
      <c r="R22" s="1093"/>
      <c r="S22" s="1093"/>
      <c r="T22" s="1094"/>
    </row>
    <row r="23" spans="1:20">
      <c r="A23" s="245"/>
      <c r="B23" s="252"/>
      <c r="C23" s="251"/>
      <c r="D23" s="251"/>
      <c r="E23" s="251"/>
      <c r="F23" s="251"/>
      <c r="G23" s="251"/>
      <c r="H23" s="251"/>
      <c r="I23" s="251"/>
      <c r="J23" s="251"/>
      <c r="K23" s="281"/>
      <c r="L23" s="273"/>
      <c r="M23" s="274"/>
      <c r="N23" s="275"/>
      <c r="O23" s="1092"/>
      <c r="P23" s="1093"/>
      <c r="Q23" s="1093"/>
      <c r="R23" s="1093"/>
      <c r="S23" s="1093"/>
      <c r="T23" s="1094"/>
    </row>
    <row r="24" spans="1:20" ht="14" thickBot="1">
      <c r="A24" s="245"/>
      <c r="B24" s="253"/>
      <c r="C24" s="254"/>
      <c r="D24" s="254"/>
      <c r="E24" s="254" t="s">
        <v>117</v>
      </c>
      <c r="F24" s="1100"/>
      <c r="G24" s="1100"/>
      <c r="H24" s="1100"/>
      <c r="I24" s="254" t="s">
        <v>118</v>
      </c>
      <c r="J24" s="160"/>
      <c r="K24" s="282"/>
      <c r="L24" s="276"/>
      <c r="M24" s="277"/>
      <c r="N24" s="278"/>
      <c r="O24" s="279"/>
      <c r="P24" s="239"/>
      <c r="Q24" s="239"/>
      <c r="R24" s="239"/>
      <c r="S24" s="239"/>
      <c r="T24" s="280"/>
    </row>
    <row r="25" spans="1:20" ht="14" thickTop="1">
      <c r="A25" s="245"/>
      <c r="B25" s="256"/>
      <c r="C25" s="257"/>
      <c r="D25" s="257"/>
      <c r="E25" s="257"/>
      <c r="F25" s="257"/>
      <c r="G25" s="257"/>
      <c r="H25" s="257"/>
      <c r="I25" s="257"/>
      <c r="J25" s="257"/>
      <c r="K25" s="283"/>
      <c r="L25" s="285"/>
      <c r="M25" s="286"/>
      <c r="N25" s="287"/>
      <c r="O25" s="270"/>
      <c r="P25" s="271"/>
      <c r="Q25" s="271"/>
      <c r="R25" s="271"/>
      <c r="S25" s="271"/>
      <c r="T25" s="272"/>
    </row>
    <row r="26" spans="1:20">
      <c r="A26" s="245"/>
      <c r="B26" s="252" t="s">
        <v>123</v>
      </c>
      <c r="C26" s="251"/>
      <c r="D26" s="251"/>
      <c r="E26" s="1099"/>
      <c r="F26" s="1099"/>
      <c r="G26" s="1099"/>
      <c r="H26" s="1099"/>
      <c r="I26" s="1099"/>
      <c r="J26" s="1099"/>
      <c r="K26" s="281"/>
      <c r="L26" s="165"/>
      <c r="M26" s="163"/>
      <c r="N26" s="164"/>
      <c r="O26" s="1092"/>
      <c r="P26" s="1093"/>
      <c r="Q26" s="1093"/>
      <c r="R26" s="1093"/>
      <c r="S26" s="1093"/>
      <c r="T26" s="1094"/>
    </row>
    <row r="27" spans="1:20">
      <c r="A27" s="245"/>
      <c r="B27" s="252" t="s">
        <v>124</v>
      </c>
      <c r="C27" s="251"/>
      <c r="D27" s="251"/>
      <c r="E27" s="1099"/>
      <c r="F27" s="1099"/>
      <c r="G27" s="1099"/>
      <c r="H27" s="1099"/>
      <c r="I27" s="1099"/>
      <c r="J27" s="1099"/>
      <c r="K27" s="281"/>
      <c r="L27" s="273"/>
      <c r="M27" s="274"/>
      <c r="N27" s="275"/>
      <c r="O27" s="1092"/>
      <c r="P27" s="1093"/>
      <c r="Q27" s="1093"/>
      <c r="R27" s="1093"/>
      <c r="S27" s="1093"/>
      <c r="T27" s="1094"/>
    </row>
    <row r="28" spans="1:20">
      <c r="A28" s="245"/>
      <c r="B28" s="252"/>
      <c r="C28" s="251"/>
      <c r="D28" s="251"/>
      <c r="E28" s="281"/>
      <c r="F28" s="281"/>
      <c r="G28" s="281"/>
      <c r="H28" s="281"/>
      <c r="I28" s="281"/>
      <c r="J28" s="281"/>
      <c r="K28" s="281"/>
      <c r="L28" s="273"/>
      <c r="M28" s="274"/>
      <c r="N28" s="275"/>
      <c r="O28" s="1092"/>
      <c r="P28" s="1093"/>
      <c r="Q28" s="1093"/>
      <c r="R28" s="1093"/>
      <c r="S28" s="1093"/>
      <c r="T28" s="1094"/>
    </row>
    <row r="29" spans="1:20" ht="14" thickBot="1">
      <c r="A29" s="245"/>
      <c r="B29" s="253"/>
      <c r="C29" s="254"/>
      <c r="D29" s="254"/>
      <c r="E29" s="254" t="s">
        <v>117</v>
      </c>
      <c r="F29" s="1100"/>
      <c r="G29" s="1100"/>
      <c r="H29" s="1100"/>
      <c r="I29" s="254" t="s">
        <v>118</v>
      </c>
      <c r="J29" s="160"/>
      <c r="K29" s="282"/>
      <c r="L29" s="276"/>
      <c r="M29" s="277"/>
      <c r="N29" s="278"/>
      <c r="O29" s="290"/>
      <c r="P29" s="291"/>
      <c r="Q29" s="291"/>
      <c r="R29" s="291"/>
      <c r="S29" s="291"/>
      <c r="T29" s="292"/>
    </row>
    <row r="30" spans="1:20" ht="14" thickTop="1">
      <c r="A30" s="245"/>
      <c r="B30" s="256"/>
      <c r="C30" s="257"/>
      <c r="D30" s="257"/>
      <c r="E30" s="257"/>
      <c r="F30" s="257"/>
      <c r="G30" s="257"/>
      <c r="H30" s="257"/>
      <c r="I30" s="257"/>
      <c r="J30" s="257"/>
      <c r="K30" s="283"/>
      <c r="L30" s="285"/>
      <c r="M30" s="286"/>
      <c r="N30" s="287"/>
      <c r="O30" s="293"/>
      <c r="P30" s="294"/>
      <c r="Q30" s="294"/>
      <c r="R30" s="294"/>
      <c r="S30" s="294"/>
      <c r="T30" s="295"/>
    </row>
    <row r="31" spans="1:20">
      <c r="A31" s="245"/>
      <c r="B31" s="252" t="s">
        <v>125</v>
      </c>
      <c r="C31" s="251"/>
      <c r="D31" s="251"/>
      <c r="E31" s="1099"/>
      <c r="F31" s="1099"/>
      <c r="G31" s="1099"/>
      <c r="H31" s="1099"/>
      <c r="I31" s="1099"/>
      <c r="J31" s="1099"/>
      <c r="K31" s="281"/>
      <c r="L31" s="165"/>
      <c r="M31" s="163"/>
      <c r="N31" s="164"/>
      <c r="O31" s="1092"/>
      <c r="P31" s="1093"/>
      <c r="Q31" s="1093"/>
      <c r="R31" s="1093"/>
      <c r="S31" s="1093"/>
      <c r="T31" s="1094"/>
    </row>
    <row r="32" spans="1:20">
      <c r="A32" s="245"/>
      <c r="B32" s="252" t="s">
        <v>124</v>
      </c>
      <c r="C32" s="251"/>
      <c r="D32" s="251"/>
      <c r="E32" s="1099"/>
      <c r="F32" s="1099"/>
      <c r="G32" s="1099"/>
      <c r="H32" s="1099"/>
      <c r="I32" s="1099"/>
      <c r="J32" s="1099"/>
      <c r="K32" s="281"/>
      <c r="L32" s="273"/>
      <c r="M32" s="274"/>
      <c r="N32" s="275"/>
      <c r="O32" s="1092"/>
      <c r="P32" s="1093"/>
      <c r="Q32" s="1093"/>
      <c r="R32" s="1093"/>
      <c r="S32" s="1093"/>
      <c r="T32" s="1094"/>
    </row>
    <row r="33" spans="1:20">
      <c r="A33" s="245"/>
      <c r="B33" s="252"/>
      <c r="C33" s="251"/>
      <c r="D33" s="251"/>
      <c r="E33" s="251"/>
      <c r="F33" s="251"/>
      <c r="G33" s="251"/>
      <c r="H33" s="251"/>
      <c r="I33" s="251"/>
      <c r="J33" s="251"/>
      <c r="K33" s="281"/>
      <c r="L33" s="273"/>
      <c r="M33" s="274"/>
      <c r="N33" s="275"/>
      <c r="O33" s="1092"/>
      <c r="P33" s="1093"/>
      <c r="Q33" s="1093"/>
      <c r="R33" s="1093"/>
      <c r="S33" s="1093"/>
      <c r="T33" s="1094"/>
    </row>
    <row r="34" spans="1:20" ht="14" thickBot="1">
      <c r="A34" s="245"/>
      <c r="B34" s="253"/>
      <c r="C34" s="254"/>
      <c r="D34" s="254"/>
      <c r="E34" s="254" t="s">
        <v>117</v>
      </c>
      <c r="F34" s="1100"/>
      <c r="G34" s="1100"/>
      <c r="H34" s="1100"/>
      <c r="I34" s="254" t="s">
        <v>118</v>
      </c>
      <c r="J34" s="160"/>
      <c r="K34" s="282"/>
      <c r="L34" s="276"/>
      <c r="M34" s="277"/>
      <c r="N34" s="278"/>
      <c r="O34" s="290"/>
      <c r="P34" s="291"/>
      <c r="Q34" s="291"/>
      <c r="R34" s="291"/>
      <c r="S34" s="291"/>
      <c r="T34" s="292"/>
    </row>
    <row r="35" spans="1:20" ht="14" thickTop="1">
      <c r="A35" s="245"/>
      <c r="B35" s="255"/>
      <c r="C35" s="249"/>
      <c r="D35" s="249"/>
      <c r="E35" s="249"/>
      <c r="F35" s="249"/>
      <c r="G35" s="249"/>
      <c r="H35" s="249"/>
      <c r="I35" s="249"/>
      <c r="J35" s="249"/>
      <c r="K35" s="258"/>
      <c r="L35" s="267"/>
      <c r="M35" s="268"/>
      <c r="N35" s="269"/>
      <c r="O35" s="293"/>
      <c r="P35" s="294"/>
      <c r="Q35" s="294"/>
      <c r="R35" s="294"/>
      <c r="S35" s="294"/>
      <c r="T35" s="295"/>
    </row>
    <row r="36" spans="1:20">
      <c r="A36" s="245"/>
      <c r="B36" s="252" t="s">
        <v>126</v>
      </c>
      <c r="C36" s="251"/>
      <c r="D36" s="251"/>
      <c r="E36" s="1099"/>
      <c r="F36" s="1099"/>
      <c r="G36" s="1099"/>
      <c r="H36" s="1099"/>
      <c r="I36" s="1099"/>
      <c r="J36" s="1099"/>
      <c r="K36" s="281"/>
      <c r="L36" s="165"/>
      <c r="M36" s="163"/>
      <c r="N36" s="164"/>
      <c r="O36" s="1092"/>
      <c r="P36" s="1093"/>
      <c r="Q36" s="1093"/>
      <c r="R36" s="1093"/>
      <c r="S36" s="1093"/>
      <c r="T36" s="1094"/>
    </row>
    <row r="37" spans="1:20">
      <c r="A37" s="245"/>
      <c r="B37" s="250" t="s">
        <v>473</v>
      </c>
      <c r="C37" s="251"/>
      <c r="D37" s="251"/>
      <c r="E37" s="1099"/>
      <c r="F37" s="1099"/>
      <c r="G37" s="1099"/>
      <c r="H37" s="1099"/>
      <c r="I37" s="1099"/>
      <c r="J37" s="1099"/>
      <c r="K37" s="281"/>
      <c r="L37" s="273"/>
      <c r="M37" s="274"/>
      <c r="N37" s="275"/>
      <c r="O37" s="1092"/>
      <c r="P37" s="1093"/>
      <c r="Q37" s="1093"/>
      <c r="R37" s="1093"/>
      <c r="S37" s="1093"/>
      <c r="T37" s="1094"/>
    </row>
    <row r="38" spans="1:20">
      <c r="A38" s="245"/>
      <c r="B38" s="252"/>
      <c r="C38" s="251"/>
      <c r="D38" s="251"/>
      <c r="E38" s="251"/>
      <c r="F38" s="251"/>
      <c r="G38" s="251"/>
      <c r="H38" s="251"/>
      <c r="I38" s="251"/>
      <c r="J38" s="251"/>
      <c r="K38" s="281"/>
      <c r="L38" s="273"/>
      <c r="M38" s="274"/>
      <c r="N38" s="275"/>
      <c r="O38" s="1092"/>
      <c r="P38" s="1093"/>
      <c r="Q38" s="1093"/>
      <c r="R38" s="1093"/>
      <c r="S38" s="1093"/>
      <c r="T38" s="1094"/>
    </row>
    <row r="39" spans="1:20" ht="14" thickBot="1">
      <c r="A39" s="245"/>
      <c r="B39" s="253"/>
      <c r="C39" s="254"/>
      <c r="D39" s="254"/>
      <c r="E39" s="254" t="s">
        <v>117</v>
      </c>
      <c r="F39" s="1100"/>
      <c r="G39" s="1100"/>
      <c r="H39" s="1100"/>
      <c r="I39" s="254" t="s">
        <v>118</v>
      </c>
      <c r="J39" s="160"/>
      <c r="K39" s="282"/>
      <c r="L39" s="276"/>
      <c r="M39" s="277"/>
      <c r="N39" s="278"/>
      <c r="O39" s="290"/>
      <c r="P39" s="291"/>
      <c r="Q39" s="291"/>
      <c r="R39" s="291"/>
      <c r="S39" s="291"/>
      <c r="T39" s="292"/>
    </row>
    <row r="40" spans="1:20" ht="14" thickTop="1">
      <c r="A40" s="245"/>
      <c r="B40" s="255"/>
      <c r="C40" s="249"/>
      <c r="D40" s="249"/>
      <c r="E40" s="249"/>
      <c r="F40" s="296"/>
      <c r="G40" s="296"/>
      <c r="H40" s="296"/>
      <c r="I40" s="249"/>
      <c r="J40" s="297"/>
      <c r="K40" s="258"/>
      <c r="L40" s="267"/>
      <c r="M40" s="268"/>
      <c r="N40" s="269"/>
      <c r="O40" s="293"/>
      <c r="P40" s="294"/>
      <c r="Q40" s="294"/>
      <c r="R40" s="294"/>
      <c r="S40" s="294"/>
      <c r="T40" s="295"/>
    </row>
    <row r="41" spans="1:20">
      <c r="A41" s="245"/>
      <c r="B41" s="252" t="s">
        <v>127</v>
      </c>
      <c r="C41" s="251"/>
      <c r="D41" s="251"/>
      <c r="E41" s="1099"/>
      <c r="F41" s="1099"/>
      <c r="G41" s="1099"/>
      <c r="H41" s="1099"/>
      <c r="I41" s="1099"/>
      <c r="J41" s="1099"/>
      <c r="K41" s="281"/>
      <c r="L41" s="165"/>
      <c r="M41" s="163"/>
      <c r="N41" s="164"/>
      <c r="O41" s="1092"/>
      <c r="P41" s="1093"/>
      <c r="Q41" s="1093"/>
      <c r="R41" s="1093"/>
      <c r="S41" s="1093"/>
      <c r="T41" s="1094"/>
    </row>
    <row r="42" spans="1:20">
      <c r="A42" s="245"/>
      <c r="B42" s="250" t="s">
        <v>474</v>
      </c>
      <c r="C42" s="251"/>
      <c r="D42" s="251"/>
      <c r="E42" s="1099"/>
      <c r="F42" s="1099"/>
      <c r="G42" s="1099"/>
      <c r="H42" s="1099"/>
      <c r="I42" s="1099"/>
      <c r="J42" s="1099"/>
      <c r="K42" s="281"/>
      <c r="L42" s="273"/>
      <c r="M42" s="274"/>
      <c r="N42" s="275"/>
      <c r="O42" s="1092"/>
      <c r="P42" s="1093"/>
      <c r="Q42" s="1093"/>
      <c r="R42" s="1093"/>
      <c r="S42" s="1093"/>
      <c r="T42" s="1094"/>
    </row>
    <row r="43" spans="1:20">
      <c r="A43" s="245"/>
      <c r="B43" s="252"/>
      <c r="C43" s="251"/>
      <c r="D43" s="251"/>
      <c r="E43" s="251"/>
      <c r="F43" s="251"/>
      <c r="G43" s="251"/>
      <c r="H43" s="251"/>
      <c r="I43" s="251"/>
      <c r="J43" s="251"/>
      <c r="K43" s="281"/>
      <c r="L43" s="273"/>
      <c r="M43" s="274"/>
      <c r="N43" s="275"/>
      <c r="O43" s="1092"/>
      <c r="P43" s="1093"/>
      <c r="Q43" s="1093"/>
      <c r="R43" s="1093"/>
      <c r="S43" s="1093"/>
      <c r="T43" s="1094"/>
    </row>
    <row r="44" spans="1:20" ht="13.5" customHeight="1" thickBot="1">
      <c r="A44" s="245"/>
      <c r="B44" s="253"/>
      <c r="C44" s="254"/>
      <c r="D44" s="254"/>
      <c r="E44" s="254" t="s">
        <v>117</v>
      </c>
      <c r="F44" s="1100"/>
      <c r="G44" s="1100"/>
      <c r="H44" s="1100"/>
      <c r="I44" s="254" t="s">
        <v>118</v>
      </c>
      <c r="J44" s="160"/>
      <c r="K44" s="282"/>
      <c r="L44" s="276"/>
      <c r="M44" s="277"/>
      <c r="N44" s="278"/>
      <c r="O44" s="290"/>
      <c r="P44" s="291"/>
      <c r="Q44" s="291"/>
      <c r="R44" s="291"/>
      <c r="S44" s="291"/>
      <c r="T44" s="292"/>
    </row>
    <row r="45" spans="1:20" ht="14" thickTop="1">
      <c r="A45" s="245"/>
      <c r="B45" s="255"/>
      <c r="C45" s="249"/>
      <c r="D45" s="249"/>
      <c r="E45" s="249"/>
      <c r="F45" s="296"/>
      <c r="G45" s="296"/>
      <c r="H45" s="296"/>
      <c r="I45" s="249"/>
      <c r="J45" s="297"/>
      <c r="K45" s="258"/>
      <c r="L45" s="267"/>
      <c r="M45" s="268"/>
      <c r="N45" s="269"/>
      <c r="O45" s="293"/>
      <c r="P45" s="294"/>
      <c r="Q45" s="294"/>
      <c r="R45" s="294"/>
      <c r="S45" s="294"/>
      <c r="T45" s="295"/>
    </row>
    <row r="46" spans="1:20" ht="12.75" customHeight="1">
      <c r="A46" s="243"/>
      <c r="B46" s="252" t="s">
        <v>547</v>
      </c>
      <c r="C46" s="251"/>
      <c r="D46" s="251"/>
      <c r="E46" s="1099"/>
      <c r="F46" s="1099"/>
      <c r="G46" s="1099"/>
      <c r="H46" s="1099"/>
      <c r="I46" s="1099"/>
      <c r="J46" s="1099"/>
      <c r="K46" s="281"/>
      <c r="L46" s="165"/>
      <c r="M46" s="163"/>
      <c r="N46" s="164"/>
      <c r="O46" s="1092"/>
      <c r="P46" s="1093"/>
      <c r="Q46" s="1093"/>
      <c r="R46" s="1093"/>
      <c r="S46" s="1093"/>
      <c r="T46" s="1094"/>
    </row>
    <row r="47" spans="1:20">
      <c r="A47" s="243"/>
      <c r="B47" s="250" t="s">
        <v>474</v>
      </c>
      <c r="C47" s="251"/>
      <c r="D47" s="251"/>
      <c r="E47" s="1099"/>
      <c r="F47" s="1099"/>
      <c r="G47" s="1099"/>
      <c r="H47" s="1099"/>
      <c r="I47" s="1099"/>
      <c r="J47" s="1099"/>
      <c r="K47" s="281"/>
      <c r="L47" s="273"/>
      <c r="M47" s="274"/>
      <c r="N47" s="275"/>
      <c r="O47" s="1092"/>
      <c r="P47" s="1093"/>
      <c r="Q47" s="1093"/>
      <c r="R47" s="1093"/>
      <c r="S47" s="1093"/>
      <c r="T47" s="1094"/>
    </row>
    <row r="48" spans="1:20">
      <c r="A48" s="243"/>
      <c r="B48" s="252"/>
      <c r="C48" s="251"/>
      <c r="D48" s="251"/>
      <c r="E48" s="251"/>
      <c r="F48" s="251"/>
      <c r="G48" s="251"/>
      <c r="H48" s="251"/>
      <c r="I48" s="251"/>
      <c r="J48" s="251"/>
      <c r="K48" s="281"/>
      <c r="L48" s="273"/>
      <c r="M48" s="274"/>
      <c r="N48" s="275"/>
      <c r="O48" s="1092"/>
      <c r="P48" s="1093"/>
      <c r="Q48" s="1093"/>
      <c r="R48" s="1093"/>
      <c r="S48" s="1093"/>
      <c r="T48" s="1094"/>
    </row>
    <row r="49" spans="1:20" ht="14" thickBot="1">
      <c r="A49" s="243"/>
      <c r="B49" s="253"/>
      <c r="C49" s="254"/>
      <c r="D49" s="254"/>
      <c r="E49" s="254" t="s">
        <v>117</v>
      </c>
      <c r="F49" s="1100"/>
      <c r="G49" s="1100"/>
      <c r="H49" s="1100"/>
      <c r="I49" s="254" t="s">
        <v>118</v>
      </c>
      <c r="J49" s="160"/>
      <c r="K49" s="282"/>
      <c r="L49" s="276"/>
      <c r="M49" s="277"/>
      <c r="N49" s="278"/>
      <c r="O49" s="279"/>
      <c r="P49" s="239"/>
      <c r="Q49" s="239"/>
      <c r="R49" s="239"/>
      <c r="S49" s="239"/>
      <c r="T49" s="280"/>
    </row>
    <row r="50" spans="1:20" ht="14" thickTop="1">
      <c r="A50" s="243"/>
      <c r="B50" s="258"/>
      <c r="C50" s="258"/>
      <c r="D50" s="258"/>
      <c r="E50" s="258"/>
      <c r="F50" s="258"/>
      <c r="G50" s="258"/>
      <c r="H50" s="258"/>
      <c r="I50" s="258"/>
      <c r="J50" s="258"/>
      <c r="K50" s="258"/>
      <c r="L50" s="267"/>
      <c r="M50" s="268"/>
      <c r="N50" s="269"/>
      <c r="O50" s="270"/>
      <c r="P50" s="271"/>
      <c r="Q50" s="271"/>
      <c r="R50" s="271"/>
      <c r="S50" s="271"/>
      <c r="T50" s="272"/>
    </row>
    <row r="51" spans="1:20">
      <c r="A51" s="243"/>
      <c r="B51" s="252" t="s">
        <v>554</v>
      </c>
      <c r="C51" s="251"/>
      <c r="D51" s="251"/>
      <c r="E51" s="1099"/>
      <c r="F51" s="1099"/>
      <c r="G51" s="1099"/>
      <c r="H51" s="1099"/>
      <c r="I51" s="1099"/>
      <c r="J51" s="1099"/>
      <c r="K51" s="281"/>
      <c r="L51" s="165"/>
      <c r="M51" s="163"/>
      <c r="N51" s="164"/>
      <c r="O51" s="1089"/>
      <c r="P51" s="1090"/>
      <c r="Q51" s="1090"/>
      <c r="R51" s="1090"/>
      <c r="S51" s="1090"/>
      <c r="T51" s="1091"/>
    </row>
    <row r="52" spans="1:20">
      <c r="A52" s="243"/>
      <c r="B52" s="252"/>
      <c r="C52" s="251"/>
      <c r="D52" s="251"/>
      <c r="E52" s="1099"/>
      <c r="F52" s="1099"/>
      <c r="G52" s="1099"/>
      <c r="H52" s="1099"/>
      <c r="I52" s="1099"/>
      <c r="J52" s="1099"/>
      <c r="K52" s="281"/>
      <c r="L52" s="273"/>
      <c r="M52" s="274"/>
      <c r="N52" s="275"/>
      <c r="O52" s="1089"/>
      <c r="P52" s="1090"/>
      <c r="Q52" s="1090"/>
      <c r="R52" s="1090"/>
      <c r="S52" s="1090"/>
      <c r="T52" s="1091"/>
    </row>
    <row r="53" spans="1:20">
      <c r="A53" s="243"/>
      <c r="B53" s="252"/>
      <c r="C53" s="251"/>
      <c r="D53" s="251"/>
      <c r="E53" s="251"/>
      <c r="F53" s="251"/>
      <c r="G53" s="251"/>
      <c r="H53" s="251"/>
      <c r="I53" s="251"/>
      <c r="J53" s="251"/>
      <c r="K53" s="281"/>
      <c r="L53" s="273"/>
      <c r="M53" s="274"/>
      <c r="N53" s="275"/>
      <c r="O53" s="1089"/>
      <c r="P53" s="1090"/>
      <c r="Q53" s="1090"/>
      <c r="R53" s="1090"/>
      <c r="S53" s="1090"/>
      <c r="T53" s="1091"/>
    </row>
    <row r="54" spans="1:20" ht="14" thickBot="1">
      <c r="A54" s="243"/>
      <c r="B54" s="253"/>
      <c r="C54" s="254"/>
      <c r="D54" s="254"/>
      <c r="E54" s="254" t="s">
        <v>117</v>
      </c>
      <c r="F54" s="1110"/>
      <c r="G54" s="1110"/>
      <c r="H54" s="1110"/>
      <c r="I54" s="254" t="s">
        <v>118</v>
      </c>
      <c r="J54" s="161"/>
      <c r="K54" s="282"/>
      <c r="L54" s="276"/>
      <c r="M54" s="277"/>
      <c r="N54" s="278"/>
      <c r="O54" s="279"/>
      <c r="P54" s="239"/>
      <c r="Q54" s="239"/>
      <c r="R54" s="239"/>
      <c r="S54" s="239"/>
      <c r="T54" s="280"/>
    </row>
    <row r="55" spans="1:20" ht="15" thickTop="1" thickBot="1">
      <c r="A55" s="259"/>
      <c r="B55" s="260"/>
      <c r="C55" s="260"/>
      <c r="D55" s="260"/>
      <c r="E55" s="260"/>
      <c r="F55" s="260"/>
      <c r="G55" s="260"/>
      <c r="H55" s="260"/>
      <c r="I55" s="260"/>
      <c r="J55" s="260"/>
      <c r="K55" s="260"/>
      <c r="L55" s="288"/>
      <c r="M55" s="260"/>
      <c r="N55" s="289"/>
      <c r="O55" s="259"/>
      <c r="P55" s="260"/>
      <c r="Q55" s="260"/>
      <c r="R55" s="260"/>
      <c r="S55" s="260"/>
      <c r="T55" s="289"/>
    </row>
    <row r="56" spans="1:20" ht="14" thickTop="1"/>
  </sheetData>
  <sheetProtection algorithmName="SHA-512" hashValue="TvUGNC7Gy0OcD6ZeQ8W59tawm9+KvUjqo5fOOeKmcVSr3axA3Ptwm4GuWDgNBRHS8WV6T49nmVvHTPjXJC1a4w==" saltValue="tMD3MQE9a4IGqa5kdXbcng==" spinCount="100000" sheet="1" objects="1" scenarios="1"/>
  <mergeCells count="43">
    <mergeCell ref="E52:J52"/>
    <mergeCell ref="F54:H54"/>
    <mergeCell ref="E46:J46"/>
    <mergeCell ref="E47:J47"/>
    <mergeCell ref="F49:H49"/>
    <mergeCell ref="E51:J51"/>
    <mergeCell ref="F44:H44"/>
    <mergeCell ref="E37:J37"/>
    <mergeCell ref="F39:H39"/>
    <mergeCell ref="E41:J41"/>
    <mergeCell ref="E42:J42"/>
    <mergeCell ref="E31:J31"/>
    <mergeCell ref="E32:J32"/>
    <mergeCell ref="F34:H34"/>
    <mergeCell ref="E36:J36"/>
    <mergeCell ref="F14:H14"/>
    <mergeCell ref="F24:H24"/>
    <mergeCell ref="E26:J26"/>
    <mergeCell ref="E27:J27"/>
    <mergeCell ref="F29:H29"/>
    <mergeCell ref="E17:J17"/>
    <mergeCell ref="F19:H19"/>
    <mergeCell ref="E21:J21"/>
    <mergeCell ref="E22:J22"/>
    <mergeCell ref="O26:T28"/>
    <mergeCell ref="B2:J2"/>
    <mergeCell ref="E4:J4"/>
    <mergeCell ref="E5:J5"/>
    <mergeCell ref="F7:H7"/>
    <mergeCell ref="E16:J16"/>
    <mergeCell ref="G9:H9"/>
    <mergeCell ref="E11:J11"/>
    <mergeCell ref="E12:J12"/>
    <mergeCell ref="O21:T23"/>
    <mergeCell ref="O16:T18"/>
    <mergeCell ref="O11:T13"/>
    <mergeCell ref="O4:T8"/>
    <mergeCell ref="O2:T2"/>
    <mergeCell ref="O51:T53"/>
    <mergeCell ref="O46:T48"/>
    <mergeCell ref="O41:T43"/>
    <mergeCell ref="O36:T38"/>
    <mergeCell ref="O31:T33"/>
  </mergeCells>
  <phoneticPr fontId="25" type="noConversion"/>
  <dataValidations count="2">
    <dataValidation type="whole" allowBlank="1" showInputMessage="1" showErrorMessage="1" errorTitle="Inproper Input" error="The number must be a phone number.  Be sure to include the area code." promptTitle="Input Information:" prompt="Please input the phone number.  Use all numbers (the computer will insert parenthesis and hyphens as appropriate)." sqref="J39:J40 J34 J44:J45 J49 J54 J14 J9 J7 J24 J29 J19" xr:uid="{00000000-0002-0000-0400-000000000000}">
      <formula1>1000000000</formula1>
      <formula2>9999999999</formula2>
    </dataValidation>
    <dataValidation type="list" allowBlank="1" showInputMessage="1" showErrorMessage="1" sqref="M51:N51 M46:N46 M41:N41 M36:N36 M31:N31 M26:N26 M21:N21 M16:N16 M11:N11 M4:N4" xr:uid="{00000000-0002-0000-0400-000001000000}">
      <formula1>$AJ$4:$AJ$5</formula1>
    </dataValidation>
  </dataValidations>
  <printOptions horizontalCentered="1"/>
  <pageMargins left="0.75" right="0.75" top="0.65" bottom="0.56999999999999995" header="0.5" footer="0.5"/>
  <pageSetup scale="64"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dimension ref="A1:J30"/>
  <sheetViews>
    <sheetView zoomScaleNormal="100" workbookViewId="0">
      <selection activeCell="H10" sqref="H10:J10"/>
    </sheetView>
  </sheetViews>
  <sheetFormatPr baseColWidth="10" defaultColWidth="9.1640625" defaultRowHeight="13"/>
  <cols>
    <col min="1" max="1" width="3.5" style="21" customWidth="1"/>
    <col min="2" max="9" width="9.1640625" style="21"/>
    <col min="10" max="10" width="3.5" style="21" customWidth="1"/>
    <col min="11" max="16384" width="9.1640625" style="21"/>
  </cols>
  <sheetData>
    <row r="1" spans="1:10">
      <c r="A1" s="298" t="s">
        <v>128</v>
      </c>
      <c r="B1" s="299"/>
      <c r="C1" s="299"/>
      <c r="D1" s="299"/>
      <c r="E1" s="299"/>
      <c r="F1" s="299"/>
      <c r="G1" s="1128">
        <f>+Cover!$H$6</f>
        <v>0</v>
      </c>
      <c r="H1" s="1129"/>
      <c r="I1" s="299"/>
      <c r="J1" s="300"/>
    </row>
    <row r="2" spans="1:10">
      <c r="A2" s="1136">
        <f>+Cover!D6</f>
        <v>91818</v>
      </c>
      <c r="B2" s="1137"/>
      <c r="C2" s="1137"/>
      <c r="D2" s="1137"/>
      <c r="E2" s="1137"/>
      <c r="F2" s="1137"/>
      <c r="G2" s="1137"/>
      <c r="H2" s="1137"/>
      <c r="I2" s="1137"/>
      <c r="J2" s="1138"/>
    </row>
    <row r="3" spans="1:10" ht="81.75" hidden="1" customHeight="1">
      <c r="A3" s="1133"/>
      <c r="B3" s="1134"/>
      <c r="C3" s="1134"/>
      <c r="D3" s="1134"/>
      <c r="E3" s="1134"/>
      <c r="F3" s="1134"/>
      <c r="G3" s="1134"/>
      <c r="H3" s="1134"/>
      <c r="I3" s="1134"/>
      <c r="J3" s="1135"/>
    </row>
    <row r="4" spans="1:10">
      <c r="A4" s="1130">
        <f>+Cover!E9</f>
        <v>0</v>
      </c>
      <c r="B4" s="1131"/>
      <c r="C4" s="1131"/>
      <c r="D4" s="1131"/>
      <c r="E4" s="1131"/>
      <c r="F4" s="1131"/>
      <c r="G4" s="1131"/>
      <c r="H4" s="1131"/>
      <c r="I4" s="1131"/>
      <c r="J4" s="1132"/>
    </row>
    <row r="5" spans="1:10">
      <c r="A5" s="1114"/>
      <c r="B5" s="1115"/>
      <c r="C5" s="1115"/>
      <c r="D5" s="1115"/>
      <c r="E5" s="1115"/>
      <c r="F5" s="1115"/>
      <c r="G5" s="1115"/>
      <c r="H5" s="1115"/>
      <c r="I5" s="1115"/>
      <c r="J5" s="1116"/>
    </row>
    <row r="6" spans="1:10">
      <c r="A6" s="301"/>
      <c r="B6" s="1139"/>
      <c r="C6" s="1140"/>
      <c r="D6" s="1140"/>
      <c r="E6" s="1140"/>
      <c r="F6" s="1140"/>
      <c r="G6" s="1140"/>
      <c r="H6" s="1140"/>
      <c r="I6" s="1140"/>
      <c r="J6" s="1141"/>
    </row>
    <row r="7" spans="1:10">
      <c r="A7" s="301"/>
      <c r="B7" s="1111"/>
      <c r="C7" s="1112"/>
      <c r="D7" s="1112"/>
      <c r="E7" s="1112"/>
      <c r="F7" s="1112"/>
      <c r="G7" s="1112"/>
      <c r="H7" s="1112"/>
      <c r="I7" s="1112"/>
      <c r="J7" s="1113"/>
    </row>
    <row r="8" spans="1:10" ht="12.75" customHeight="1">
      <c r="A8" s="301"/>
      <c r="B8" s="1117" t="s">
        <v>129</v>
      </c>
      <c r="C8" s="1118"/>
      <c r="D8" s="1118"/>
      <c r="E8" s="1118"/>
      <c r="F8" s="1118"/>
      <c r="G8" s="1119"/>
      <c r="H8" s="1083" t="str">
        <f>IF('Primary Input'!E5&lt;&gt;"","OK","Ineligible As Submitted")</f>
        <v>Ineligible As Submitted</v>
      </c>
      <c r="I8" s="1126"/>
      <c r="J8" s="1127"/>
    </row>
    <row r="9" spans="1:10" ht="12.75" customHeight="1">
      <c r="A9" s="301"/>
      <c r="B9" s="1117" t="s">
        <v>130</v>
      </c>
      <c r="C9" s="1118"/>
      <c r="D9" s="1118"/>
      <c r="E9" s="1118"/>
      <c r="F9" s="1118"/>
      <c r="G9" s="1119"/>
      <c r="H9" s="1083" t="str">
        <f>IF('Primary Input'!E8&lt;&gt;"","OK","Ineligible As Submitted")</f>
        <v>Ineligible As Submitted</v>
      </c>
      <c r="I9" s="1126"/>
      <c r="J9" s="1127"/>
    </row>
    <row r="10" spans="1:10" ht="12.75" customHeight="1">
      <c r="A10" s="301"/>
      <c r="B10" s="1123" t="s">
        <v>136</v>
      </c>
      <c r="C10" s="1124"/>
      <c r="D10" s="1124"/>
      <c r="E10" s="1124"/>
      <c r="F10" s="1124"/>
      <c r="G10" s="1125"/>
      <c r="H10" s="1083" t="e">
        <f>IF(#REF!&gt;1.15,"OK",IF(#REF!=0,"OK","Ineligible As Submitted"))</f>
        <v>#REF!</v>
      </c>
      <c r="I10" s="1126"/>
      <c r="J10" s="1127"/>
    </row>
    <row r="11" spans="1:10" ht="12.75" customHeight="1">
      <c r="A11" s="301"/>
      <c r="B11" s="1123" t="s">
        <v>131</v>
      </c>
      <c r="C11" s="1124"/>
      <c r="D11" s="1124"/>
      <c r="E11" s="1124"/>
      <c r="F11" s="1124"/>
      <c r="G11" s="1125"/>
      <c r="H11" s="1083" t="str">
        <f>IF('Rehab or New Construction'!F64&lt;='Rehab or New Construction'!F63,"OK","Ineligible As Submitted")</f>
        <v>OK</v>
      </c>
      <c r="I11" s="1126"/>
      <c r="J11" s="1127"/>
    </row>
    <row r="12" spans="1:10" ht="12.75" customHeight="1">
      <c r="A12" s="301"/>
      <c r="B12" s="1123" t="s">
        <v>132</v>
      </c>
      <c r="C12" s="1124"/>
      <c r="D12" s="1124"/>
      <c r="E12" s="1124"/>
      <c r="F12" s="1124"/>
      <c r="G12" s="1125"/>
      <c r="H12" s="1083" t="str">
        <f>IF('Rehab or New Construction'!F62&lt;='Rehab or New Construction'!F61,"OK","Ineligible As Submitted")</f>
        <v>OK</v>
      </c>
      <c r="I12" s="1126"/>
      <c r="J12" s="1127"/>
    </row>
    <row r="13" spans="1:10" ht="12.75" customHeight="1">
      <c r="A13" s="301"/>
      <c r="B13" s="1123" t="s">
        <v>133</v>
      </c>
      <c r="C13" s="1124"/>
      <c r="D13" s="1124"/>
      <c r="E13" s="1124"/>
      <c r="F13" s="1124"/>
      <c r="G13" s="1125"/>
      <c r="H13" s="1083" t="str">
        <f>IF('Rehab or New Construction'!F60&lt;='Rehab or New Construction'!F59,"OK","Ineligible As Submitted")</f>
        <v>OK</v>
      </c>
      <c r="I13" s="1126"/>
      <c r="J13" s="1127"/>
    </row>
    <row r="14" spans="1:10" ht="12.75" customHeight="1">
      <c r="A14" s="301"/>
      <c r="B14" s="1123" t="s">
        <v>134</v>
      </c>
      <c r="C14" s="1124"/>
      <c r="D14" s="1124"/>
      <c r="E14" s="1124"/>
      <c r="F14" s="1124"/>
      <c r="G14" s="1125"/>
      <c r="H14" s="1083" t="str">
        <f>IF('Rehab or New Construction'!F58&lt;='Rehab or New Construction'!F57,"OK","Ineligible As Submitted")</f>
        <v>OK</v>
      </c>
      <c r="I14" s="1126"/>
      <c r="J14" s="1127"/>
    </row>
    <row r="15" spans="1:10">
      <c r="A15" s="301"/>
      <c r="B15" s="1123" t="s">
        <v>135</v>
      </c>
      <c r="C15" s="1124"/>
      <c r="D15" s="1124"/>
      <c r="E15" s="1124"/>
      <c r="F15" s="1124"/>
      <c r="G15" s="1125"/>
      <c r="H15" s="1083" t="str">
        <f>IF('Sources and Uses'!F23&gt;='Sources and Uses'!F47,"OK","Ineligible As Submitted")</f>
        <v>OK</v>
      </c>
      <c r="I15" s="1126"/>
      <c r="J15" s="1127"/>
    </row>
    <row r="16" spans="1:10">
      <c r="A16" s="301"/>
      <c r="B16" s="1111"/>
      <c r="C16" s="1112"/>
      <c r="D16" s="1112"/>
      <c r="E16" s="1112"/>
      <c r="F16" s="1112"/>
      <c r="G16" s="1112"/>
      <c r="H16" s="1112"/>
      <c r="I16" s="1112"/>
      <c r="J16" s="1113"/>
    </row>
    <row r="17" spans="1:10">
      <c r="A17" s="301"/>
      <c r="B17" s="1120"/>
      <c r="C17" s="1121"/>
      <c r="D17" s="1121"/>
      <c r="E17" s="1121"/>
      <c r="F17" s="1121"/>
      <c r="G17" s="1121"/>
      <c r="H17" s="1121"/>
      <c r="I17" s="1121"/>
      <c r="J17" s="1122"/>
    </row>
    <row r="18" spans="1:10">
      <c r="A18" s="301"/>
      <c r="B18" s="1111"/>
      <c r="C18" s="1112"/>
      <c r="D18" s="1112"/>
      <c r="E18" s="1112"/>
      <c r="F18" s="1112"/>
      <c r="G18" s="1112"/>
      <c r="H18" s="1112"/>
      <c r="I18" s="1112"/>
      <c r="J18" s="1113"/>
    </row>
    <row r="19" spans="1:10">
      <c r="A19" s="301"/>
      <c r="B19" s="1111"/>
      <c r="C19" s="1112"/>
      <c r="D19" s="1112"/>
      <c r="E19" s="1112"/>
      <c r="F19" s="1112"/>
      <c r="G19" s="1112"/>
      <c r="H19" s="1112"/>
      <c r="I19" s="1112"/>
      <c r="J19" s="1113"/>
    </row>
    <row r="20" spans="1:10">
      <c r="A20" s="301"/>
      <c r="B20" s="1111"/>
      <c r="C20" s="1112"/>
      <c r="D20" s="1112"/>
      <c r="E20" s="1112"/>
      <c r="F20" s="1112"/>
      <c r="G20" s="1112"/>
      <c r="H20" s="1112"/>
      <c r="I20" s="1112"/>
      <c r="J20" s="1113"/>
    </row>
    <row r="21" spans="1:10">
      <c r="A21" s="301"/>
      <c r="B21" s="1111"/>
      <c r="C21" s="1112"/>
      <c r="D21" s="1112"/>
      <c r="E21" s="1112"/>
      <c r="F21" s="1112"/>
      <c r="G21" s="1112"/>
      <c r="H21" s="1112"/>
      <c r="I21" s="1112"/>
      <c r="J21" s="1113"/>
    </row>
    <row r="22" spans="1:10">
      <c r="A22" s="301"/>
      <c r="B22" s="1111"/>
      <c r="C22" s="1112"/>
      <c r="D22" s="1112"/>
      <c r="E22" s="1112"/>
      <c r="F22" s="1112"/>
      <c r="G22" s="1112"/>
      <c r="H22" s="1112"/>
      <c r="I22" s="1112"/>
      <c r="J22" s="1113"/>
    </row>
    <row r="23" spans="1:10">
      <c r="A23" s="301"/>
      <c r="B23" s="1111"/>
      <c r="C23" s="1112"/>
      <c r="D23" s="1112"/>
      <c r="E23" s="1112"/>
      <c r="F23" s="1112"/>
      <c r="G23" s="1112"/>
      <c r="H23" s="1112"/>
      <c r="I23" s="1112"/>
      <c r="J23" s="1113"/>
    </row>
    <row r="24" spans="1:10">
      <c r="A24" s="301"/>
      <c r="B24" s="1111"/>
      <c r="C24" s="1112"/>
      <c r="D24" s="1112"/>
      <c r="E24" s="1112"/>
      <c r="F24" s="1112"/>
      <c r="G24" s="1112"/>
      <c r="H24" s="1112"/>
      <c r="I24" s="1112"/>
      <c r="J24" s="1113"/>
    </row>
    <row r="25" spans="1:10">
      <c r="A25" s="301"/>
      <c r="B25" s="1111"/>
      <c r="C25" s="1112"/>
      <c r="D25" s="1112"/>
      <c r="E25" s="1112"/>
      <c r="F25" s="1112"/>
      <c r="G25" s="1112"/>
      <c r="H25" s="1112"/>
      <c r="I25" s="1112"/>
      <c r="J25" s="1113"/>
    </row>
    <row r="26" spans="1:10">
      <c r="A26" s="301"/>
      <c r="B26" s="1111"/>
      <c r="C26" s="1112"/>
      <c r="D26" s="1112"/>
      <c r="E26" s="1112"/>
      <c r="F26" s="1112"/>
      <c r="G26" s="1112"/>
      <c r="H26" s="1112"/>
      <c r="I26" s="1112"/>
      <c r="J26" s="1113"/>
    </row>
    <row r="27" spans="1:10">
      <c r="A27" s="301"/>
      <c r="B27" s="1111"/>
      <c r="C27" s="1112"/>
      <c r="D27" s="1112"/>
      <c r="E27" s="1112"/>
      <c r="F27" s="1112"/>
      <c r="G27" s="1112"/>
      <c r="H27" s="1112"/>
      <c r="I27" s="1112"/>
      <c r="J27" s="1113"/>
    </row>
    <row r="28" spans="1:10">
      <c r="A28" s="301"/>
      <c r="B28" s="1111"/>
      <c r="C28" s="1112"/>
      <c r="D28" s="1112"/>
      <c r="E28" s="1112"/>
      <c r="F28" s="1112"/>
      <c r="G28" s="1112"/>
      <c r="H28" s="1112"/>
      <c r="I28" s="1112"/>
      <c r="J28" s="1113"/>
    </row>
    <row r="29" spans="1:10">
      <c r="A29" s="301"/>
      <c r="B29" s="1111"/>
      <c r="C29" s="1112"/>
      <c r="D29" s="1112"/>
      <c r="E29" s="1112"/>
      <c r="F29" s="1112"/>
      <c r="G29" s="1112"/>
      <c r="H29" s="1112"/>
      <c r="I29" s="1112"/>
      <c r="J29" s="1113"/>
    </row>
    <row r="30" spans="1:10">
      <c r="A30" s="301"/>
      <c r="B30" s="1111"/>
      <c r="C30" s="1112"/>
      <c r="D30" s="1112"/>
      <c r="E30" s="1112"/>
      <c r="F30" s="1112"/>
      <c r="G30" s="1112"/>
      <c r="H30" s="1112"/>
      <c r="I30" s="1112"/>
      <c r="J30" s="1113"/>
    </row>
  </sheetData>
  <sheetProtection algorithmName="SHA-512" hashValue="2Jmco0mPO05Lt3nXBewu9yyG+9Po3EGiQIYQ20eGw7Impv2EcfhBTh5ABPgBfPE/dSL1bCSjT/b6kInTAM2nfA==" saltValue="X/hYd3twLx+OWIEJNi9S5Q==" spinCount="100000" sheet="1" objects="1" scenarios="1"/>
  <mergeCells count="38">
    <mergeCell ref="H13:J13"/>
    <mergeCell ref="H14:J14"/>
    <mergeCell ref="G1:H1"/>
    <mergeCell ref="A4:J4"/>
    <mergeCell ref="H11:J11"/>
    <mergeCell ref="B11:G11"/>
    <mergeCell ref="B12:G12"/>
    <mergeCell ref="A3:J3"/>
    <mergeCell ref="H12:J12"/>
    <mergeCell ref="H8:J8"/>
    <mergeCell ref="H9:J9"/>
    <mergeCell ref="H10:J10"/>
    <mergeCell ref="A2:J2"/>
    <mergeCell ref="B6:J6"/>
    <mergeCell ref="B10:G10"/>
    <mergeCell ref="B21:J21"/>
    <mergeCell ref="B28:J28"/>
    <mergeCell ref="B29:J29"/>
    <mergeCell ref="A5:J5"/>
    <mergeCell ref="B7:J7"/>
    <mergeCell ref="B8:G8"/>
    <mergeCell ref="B9:G9"/>
    <mergeCell ref="B16:J16"/>
    <mergeCell ref="B17:J17"/>
    <mergeCell ref="B15:G15"/>
    <mergeCell ref="B18:J18"/>
    <mergeCell ref="B19:J19"/>
    <mergeCell ref="B20:J20"/>
    <mergeCell ref="H15:J15"/>
    <mergeCell ref="B14:G14"/>
    <mergeCell ref="B13:G13"/>
    <mergeCell ref="B30:J30"/>
    <mergeCell ref="B22:J22"/>
    <mergeCell ref="B23:J23"/>
    <mergeCell ref="B24:J24"/>
    <mergeCell ref="B25:J25"/>
    <mergeCell ref="B26:J26"/>
    <mergeCell ref="B27:J27"/>
  </mergeCells>
  <phoneticPr fontId="0" type="noConversion"/>
  <printOptions horizontalCentered="1"/>
  <pageMargins left="0.75" right="0.75" top="1" bottom="1" header="0.5" footer="0.5"/>
  <pageSetup orientation="portrait"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BA73"/>
  <sheetViews>
    <sheetView zoomScaleNormal="100" workbookViewId="0">
      <selection activeCell="E39" sqref="E39:F43"/>
    </sheetView>
  </sheetViews>
  <sheetFormatPr baseColWidth="10" defaultColWidth="9.1640625" defaultRowHeight="12"/>
  <cols>
    <col min="1" max="1" width="3.6640625" style="4" customWidth="1"/>
    <col min="2" max="2" width="9.1640625" style="4"/>
    <col min="3" max="8" width="8.6640625" style="4" customWidth="1"/>
    <col min="9" max="9" width="12" style="4" customWidth="1"/>
    <col min="10" max="11" width="8.6640625" style="4" customWidth="1"/>
    <col min="12" max="12" width="11.33203125" style="4" customWidth="1"/>
    <col min="13" max="13" width="4" style="4" customWidth="1"/>
    <col min="14" max="18" width="9.1640625" style="4"/>
    <col min="19" max="20" width="10.1640625" style="4" customWidth="1"/>
    <col min="21" max="21" width="9.1640625" style="4"/>
    <col min="22" max="22" width="4.6640625" style="4" customWidth="1"/>
    <col min="23" max="24" width="9.1640625" style="4"/>
    <col min="25" max="25" width="16" style="4" customWidth="1"/>
    <col min="26" max="26" width="16.33203125" style="4" customWidth="1"/>
    <col min="27" max="16384" width="9.1640625" style="4"/>
  </cols>
  <sheetData>
    <row r="1" spans="1:53" ht="14.25" customHeight="1" thickTop="1" thickBot="1">
      <c r="A1" s="586" t="s">
        <v>176</v>
      </c>
      <c r="B1" s="587"/>
      <c r="C1" s="587"/>
      <c r="D1" s="1198">
        <f>+Cover!D6</f>
        <v>91818</v>
      </c>
      <c r="E1" s="1198"/>
      <c r="F1" s="587"/>
      <c r="G1" s="1153">
        <f>+Cover!E9</f>
        <v>0</v>
      </c>
      <c r="H1" s="1153"/>
      <c r="I1" s="1153"/>
      <c r="J1" s="1153"/>
      <c r="K1" s="587"/>
      <c r="L1" s="587"/>
      <c r="M1" s="587"/>
      <c r="N1" s="587"/>
      <c r="O1" s="587"/>
      <c r="P1" s="587"/>
      <c r="Q1" s="588" t="s">
        <v>638</v>
      </c>
      <c r="R1" s="587"/>
      <c r="S1" s="587"/>
      <c r="T1" s="587"/>
      <c r="U1" s="587"/>
      <c r="V1" s="587"/>
      <c r="W1" s="587"/>
      <c r="X1" s="587"/>
      <c r="Y1" s="587"/>
      <c r="Z1" s="587"/>
      <c r="AA1" s="589"/>
    </row>
    <row r="2" spans="1:53" ht="48" customHeight="1" thickTop="1" thickBot="1">
      <c r="A2" s="590"/>
      <c r="B2" s="591" t="s">
        <v>137</v>
      </c>
      <c r="C2" s="592" t="s">
        <v>138</v>
      </c>
      <c r="D2" s="592" t="s">
        <v>139</v>
      </c>
      <c r="E2" s="593" t="s">
        <v>469</v>
      </c>
      <c r="F2" s="593" t="s">
        <v>468</v>
      </c>
      <c r="G2" s="1142" t="s">
        <v>140</v>
      </c>
      <c r="H2" s="1143"/>
      <c r="I2" s="592" t="s">
        <v>639</v>
      </c>
      <c r="J2" s="595" t="s">
        <v>141</v>
      </c>
      <c r="K2" s="1142" t="s">
        <v>142</v>
      </c>
      <c r="L2" s="1146"/>
      <c r="M2" s="218"/>
      <c r="N2" s="218"/>
      <c r="O2" s="218"/>
      <c r="P2" s="218"/>
      <c r="Q2" s="592" t="s">
        <v>137</v>
      </c>
      <c r="R2" s="592" t="s">
        <v>138</v>
      </c>
      <c r="S2" s="592" t="s">
        <v>726</v>
      </c>
      <c r="T2" s="592" t="s">
        <v>727</v>
      </c>
      <c r="U2" s="1142" t="s">
        <v>140</v>
      </c>
      <c r="V2" s="1143"/>
      <c r="W2" s="594" t="s">
        <v>729</v>
      </c>
      <c r="X2" s="597" t="s">
        <v>730</v>
      </c>
      <c r="Y2" s="598" t="s">
        <v>732</v>
      </c>
      <c r="Z2" s="598" t="s">
        <v>731</v>
      </c>
      <c r="AA2" s="599"/>
      <c r="AZ2" s="600" t="s">
        <v>728</v>
      </c>
    </row>
    <row r="3" spans="1:53" ht="13" thickTop="1">
      <c r="A3" s="590"/>
      <c r="B3" s="498" t="s">
        <v>143</v>
      </c>
      <c r="C3" s="601"/>
      <c r="D3" s="602"/>
      <c r="E3" s="799">
        <f>+'Primary Input'!E44:G44</f>
        <v>0</v>
      </c>
      <c r="F3" s="602"/>
      <c r="G3" s="1147">
        <f>+C48</f>
        <v>0</v>
      </c>
      <c r="H3" s="1148"/>
      <c r="I3" s="802" t="e">
        <f>+('2018 Rents'!F73)-('Rental Income'!G3)</f>
        <v>#N/A</v>
      </c>
      <c r="J3" s="803">
        <f t="shared" ref="J3:J9" si="0">IF(L15=0,0,+L27/L15)</f>
        <v>0</v>
      </c>
      <c r="K3" s="1147">
        <f t="shared" ref="K3:K9" si="1">+J3*E3</f>
        <v>0</v>
      </c>
      <c r="L3" s="1148"/>
      <c r="M3" s="604" t="str">
        <f t="shared" ref="M3:M9" si="2">IF(F3&gt;E3,"!","")</f>
        <v/>
      </c>
      <c r="N3" s="218"/>
      <c r="O3" s="218"/>
      <c r="P3" s="218"/>
      <c r="Q3" s="117" t="s">
        <v>143</v>
      </c>
      <c r="R3" s="808">
        <f t="shared" ref="R3:R8" si="3">+C3</f>
        <v>0</v>
      </c>
      <c r="S3" s="605"/>
      <c r="T3" s="605"/>
      <c r="U3" s="1151">
        <f t="shared" ref="U3:U8" si="4">+G3</f>
        <v>0</v>
      </c>
      <c r="V3" s="1152"/>
      <c r="W3" s="810">
        <f t="shared" ref="W3:W8" si="5">+S3+U3</f>
        <v>0</v>
      </c>
      <c r="X3" s="811">
        <f t="shared" ref="X3:X8" si="6">+T3+U3</f>
        <v>0</v>
      </c>
      <c r="Y3" s="812" t="e">
        <f>+IF(X3&lt;='2018 Rents'!F72, "Yes", "Ineligible as Proposed")</f>
        <v>#N/A</v>
      </c>
      <c r="Z3" s="813" t="e">
        <f>IF(W3&lt;=I3+G3,"Yes", "Ineligible as Proposed")</f>
        <v>#N/A</v>
      </c>
      <c r="AA3" s="599"/>
      <c r="AY3" s="4">
        <v>0</v>
      </c>
      <c r="AZ3" s="603" t="e">
        <f>+'2018 Rents'!F72-'Rental Income'!C48</f>
        <v>#N/A</v>
      </c>
      <c r="BA3" s="560"/>
    </row>
    <row r="4" spans="1:53">
      <c r="A4" s="590"/>
      <c r="B4" s="499" t="s">
        <v>144</v>
      </c>
      <c r="C4" s="606"/>
      <c r="D4" s="607"/>
      <c r="E4" s="800">
        <f>+'Primary Input'!E45:G45</f>
        <v>0</v>
      </c>
      <c r="F4" s="607"/>
      <c r="G4" s="1144">
        <f>+D48</f>
        <v>0</v>
      </c>
      <c r="H4" s="1145"/>
      <c r="I4" s="802" t="e">
        <f>+'2018 Rents'!G73-'Rental Income'!G4</f>
        <v>#N/A</v>
      </c>
      <c r="J4" s="803">
        <f t="shared" si="0"/>
        <v>0</v>
      </c>
      <c r="K4" s="1144">
        <f t="shared" si="1"/>
        <v>0</v>
      </c>
      <c r="L4" s="1145"/>
      <c r="M4" s="604" t="str">
        <f t="shared" si="2"/>
        <v/>
      </c>
      <c r="N4" s="218"/>
      <c r="O4" s="218"/>
      <c r="P4" s="218"/>
      <c r="Q4" s="119" t="s">
        <v>144</v>
      </c>
      <c r="R4" s="808">
        <f t="shared" si="3"/>
        <v>0</v>
      </c>
      <c r="S4" s="608"/>
      <c r="T4" s="608"/>
      <c r="U4" s="1149">
        <f t="shared" si="4"/>
        <v>0</v>
      </c>
      <c r="V4" s="1150"/>
      <c r="W4" s="814">
        <f t="shared" si="5"/>
        <v>0</v>
      </c>
      <c r="X4" s="811">
        <f t="shared" si="6"/>
        <v>0</v>
      </c>
      <c r="Y4" s="812" t="e">
        <f>+IF(X4&lt;='2018 Rents'!G72, "Yes", "Ineligible as Proposed")</f>
        <v>#N/A</v>
      </c>
      <c r="Z4" s="813" t="e">
        <f>IF(W4&lt;=I4+G4,"Yes", "Ineligible as Proposed")</f>
        <v>#N/A</v>
      </c>
      <c r="AA4" s="599"/>
      <c r="AY4" s="4">
        <v>1</v>
      </c>
      <c r="AZ4" s="603" t="e">
        <f>+'2018 Rents'!G72-'Rental Income'!D48</f>
        <v>#N/A</v>
      </c>
    </row>
    <row r="5" spans="1:53">
      <c r="A5" s="590"/>
      <c r="B5" s="499" t="s">
        <v>145</v>
      </c>
      <c r="C5" s="606"/>
      <c r="D5" s="607"/>
      <c r="E5" s="800">
        <f>+'Primary Input'!E46:G46</f>
        <v>0</v>
      </c>
      <c r="F5" s="607"/>
      <c r="G5" s="1144">
        <f>+E48</f>
        <v>0</v>
      </c>
      <c r="H5" s="1145"/>
      <c r="I5" s="802" t="e">
        <f>+'2018 Rents'!H73-'Rental Income'!G5</f>
        <v>#N/A</v>
      </c>
      <c r="J5" s="803">
        <f t="shared" si="0"/>
        <v>0</v>
      </c>
      <c r="K5" s="1144">
        <f t="shared" si="1"/>
        <v>0</v>
      </c>
      <c r="L5" s="1145"/>
      <c r="M5" s="604" t="str">
        <f t="shared" si="2"/>
        <v/>
      </c>
      <c r="N5" s="218"/>
      <c r="O5" s="218"/>
      <c r="P5" s="218"/>
      <c r="Q5" s="119" t="s">
        <v>145</v>
      </c>
      <c r="R5" s="808">
        <f t="shared" si="3"/>
        <v>0</v>
      </c>
      <c r="S5" s="608"/>
      <c r="T5" s="608"/>
      <c r="U5" s="1149">
        <f t="shared" si="4"/>
        <v>0</v>
      </c>
      <c r="V5" s="1150"/>
      <c r="W5" s="814">
        <f t="shared" si="5"/>
        <v>0</v>
      </c>
      <c r="X5" s="811">
        <f t="shared" si="6"/>
        <v>0</v>
      </c>
      <c r="Y5" s="812" t="e">
        <f>+IF(X5&lt;='2018 Rents'!H72, "Yes", "Ineligible as Proposed")</f>
        <v>#N/A</v>
      </c>
      <c r="Z5" s="813" t="e">
        <f>IF(W5&lt;=I5+G5,"Yes", "Ineligible as Proposed")</f>
        <v>#N/A</v>
      </c>
      <c r="AA5" s="599"/>
      <c r="AY5" s="4">
        <v>2</v>
      </c>
      <c r="AZ5" s="603" t="e">
        <f>+'2018 Rents'!H72-'Rental Income'!E48</f>
        <v>#N/A</v>
      </c>
    </row>
    <row r="6" spans="1:53">
      <c r="A6" s="590"/>
      <c r="B6" s="499" t="s">
        <v>146</v>
      </c>
      <c r="C6" s="606"/>
      <c r="D6" s="607"/>
      <c r="E6" s="800">
        <f>+'Primary Input'!E47:G47</f>
        <v>0</v>
      </c>
      <c r="F6" s="607"/>
      <c r="G6" s="1144">
        <f>+F48</f>
        <v>0</v>
      </c>
      <c r="H6" s="1145"/>
      <c r="I6" s="802" t="e">
        <f>+'2018 Rents'!I73-'Rental Income'!G6</f>
        <v>#N/A</v>
      </c>
      <c r="J6" s="803">
        <f t="shared" si="0"/>
        <v>0</v>
      </c>
      <c r="K6" s="1144">
        <f t="shared" si="1"/>
        <v>0</v>
      </c>
      <c r="L6" s="1145"/>
      <c r="M6" s="604" t="str">
        <f t="shared" si="2"/>
        <v/>
      </c>
      <c r="N6" s="218"/>
      <c r="O6" s="218"/>
      <c r="P6" s="218"/>
      <c r="Q6" s="119" t="s">
        <v>146</v>
      </c>
      <c r="R6" s="808">
        <f t="shared" si="3"/>
        <v>0</v>
      </c>
      <c r="S6" s="608"/>
      <c r="T6" s="608"/>
      <c r="U6" s="1149">
        <f t="shared" si="4"/>
        <v>0</v>
      </c>
      <c r="V6" s="1150"/>
      <c r="W6" s="814">
        <f t="shared" si="5"/>
        <v>0</v>
      </c>
      <c r="X6" s="811">
        <f t="shared" si="6"/>
        <v>0</v>
      </c>
      <c r="Y6" s="812" t="e">
        <f>+IF(X6&lt;='2018 Rents'!I72, "Yes", "Ineligible as Proposed")</f>
        <v>#N/A</v>
      </c>
      <c r="Z6" s="813" t="e">
        <f>IF(W6&lt;=I6+G6,"Yes", "Ineligible as Proposed")</f>
        <v>#N/A</v>
      </c>
      <c r="AA6" s="599"/>
      <c r="AY6" s="4">
        <v>3</v>
      </c>
      <c r="AZ6" s="603" t="e">
        <f>+'2018 Rents'!I72-'Rental Income'!F48</f>
        <v>#N/A</v>
      </c>
    </row>
    <row r="7" spans="1:53">
      <c r="A7" s="590"/>
      <c r="B7" s="499" t="s">
        <v>147</v>
      </c>
      <c r="C7" s="606"/>
      <c r="D7" s="607"/>
      <c r="E7" s="800">
        <f>+'Primary Input'!E48:G48</f>
        <v>0</v>
      </c>
      <c r="F7" s="607"/>
      <c r="G7" s="1144">
        <f>+G48</f>
        <v>0</v>
      </c>
      <c r="H7" s="1145"/>
      <c r="I7" s="802" t="e">
        <f>+'2018 Rents'!J73-'Rental Income'!G7</f>
        <v>#N/A</v>
      </c>
      <c r="J7" s="803">
        <f t="shared" si="0"/>
        <v>0</v>
      </c>
      <c r="K7" s="1144">
        <f t="shared" si="1"/>
        <v>0</v>
      </c>
      <c r="L7" s="1145"/>
      <c r="M7" s="604" t="str">
        <f t="shared" si="2"/>
        <v/>
      </c>
      <c r="N7" s="218"/>
      <c r="O7" s="218"/>
      <c r="P7" s="218"/>
      <c r="Q7" s="119" t="s">
        <v>147</v>
      </c>
      <c r="R7" s="808">
        <f t="shared" si="3"/>
        <v>0</v>
      </c>
      <c r="S7" s="608"/>
      <c r="T7" s="608"/>
      <c r="U7" s="1149">
        <f t="shared" si="4"/>
        <v>0</v>
      </c>
      <c r="V7" s="1150"/>
      <c r="W7" s="814">
        <f t="shared" si="5"/>
        <v>0</v>
      </c>
      <c r="X7" s="811">
        <f t="shared" si="6"/>
        <v>0</v>
      </c>
      <c r="Y7" s="812" t="e">
        <f>+IF(X7&lt;='2018 Rents'!J72, "Yes", "Ineligible as Proposed")</f>
        <v>#N/A</v>
      </c>
      <c r="Z7" s="813" t="e">
        <f>IF(W7&lt;=I7+G7,"Yes", "Ineligible as Proposed")</f>
        <v>#N/A</v>
      </c>
      <c r="AA7" s="599"/>
      <c r="AY7" s="4">
        <v>4</v>
      </c>
      <c r="AZ7" s="603" t="e">
        <f>+'2018 Rents'!J72-'Rental Income'!G48</f>
        <v>#N/A</v>
      </c>
    </row>
    <row r="8" spans="1:53" ht="13" thickBot="1">
      <c r="A8" s="590"/>
      <c r="B8" s="121" t="s">
        <v>39</v>
      </c>
      <c r="C8" s="606"/>
      <c r="D8" s="607"/>
      <c r="E8" s="800">
        <f>+'Primary Input'!E49:G49</f>
        <v>0</v>
      </c>
      <c r="F8" s="607"/>
      <c r="G8" s="1144">
        <f>+H48</f>
        <v>0</v>
      </c>
      <c r="H8" s="1145"/>
      <c r="I8" s="609"/>
      <c r="J8" s="803">
        <f t="shared" si="0"/>
        <v>0</v>
      </c>
      <c r="K8" s="1144">
        <f t="shared" si="1"/>
        <v>0</v>
      </c>
      <c r="L8" s="1145"/>
      <c r="M8" s="604" t="str">
        <f t="shared" si="2"/>
        <v/>
      </c>
      <c r="N8" s="218"/>
      <c r="O8" s="218"/>
      <c r="P8" s="218"/>
      <c r="Q8" s="120" t="s">
        <v>148</v>
      </c>
      <c r="R8" s="809">
        <f t="shared" si="3"/>
        <v>0</v>
      </c>
      <c r="S8" s="610"/>
      <c r="T8" s="610"/>
      <c r="U8" s="1199">
        <f t="shared" si="4"/>
        <v>0</v>
      </c>
      <c r="V8" s="1200"/>
      <c r="W8" s="815">
        <f t="shared" si="5"/>
        <v>0</v>
      </c>
      <c r="X8" s="811">
        <f t="shared" si="6"/>
        <v>0</v>
      </c>
      <c r="Y8" s="812" t="e">
        <f>+IF(X8&lt;='2018 Rents'!K72, "Yes", "Ineligible as Proposed")</f>
        <v>#N/A</v>
      </c>
      <c r="Z8" s="813" t="str">
        <f t="shared" ref="Z8" si="7">IF(W8&lt;=I8,"Yes", "Ineligible as Proposed")</f>
        <v>Yes</v>
      </c>
      <c r="AA8" s="599"/>
    </row>
    <row r="9" spans="1:53" ht="13" thickTop="1">
      <c r="A9" s="590"/>
      <c r="B9" s="121" t="s">
        <v>39</v>
      </c>
      <c r="C9" s="606"/>
      <c r="D9" s="607"/>
      <c r="E9" s="800">
        <f>+'Primary Input'!E50:G50</f>
        <v>0</v>
      </c>
      <c r="F9" s="607"/>
      <c r="G9" s="1192">
        <v>0</v>
      </c>
      <c r="H9" s="1193"/>
      <c r="I9" s="609"/>
      <c r="J9" s="803">
        <f t="shared" si="0"/>
        <v>0</v>
      </c>
      <c r="K9" s="1144">
        <f t="shared" si="1"/>
        <v>0</v>
      </c>
      <c r="L9" s="1145"/>
      <c r="M9" s="604" t="str">
        <f t="shared" si="2"/>
        <v/>
      </c>
      <c r="N9" s="218"/>
      <c r="O9" s="218"/>
      <c r="P9" s="218"/>
      <c r="Q9" s="218"/>
      <c r="R9" s="218"/>
      <c r="S9" s="218"/>
      <c r="T9" s="218"/>
      <c r="U9" s="218"/>
      <c r="V9" s="218"/>
      <c r="W9" s="218"/>
      <c r="X9" s="218"/>
      <c r="Y9" s="218"/>
      <c r="Z9" s="218"/>
      <c r="AA9" s="599"/>
    </row>
    <row r="10" spans="1:53">
      <c r="A10" s="590"/>
      <c r="B10" s="122" t="s">
        <v>64</v>
      </c>
      <c r="C10" s="611"/>
      <c r="D10" s="612"/>
      <c r="E10" s="801">
        <f>SUM(E3:E9)</f>
        <v>0</v>
      </c>
      <c r="F10" s="613">
        <f>SUM(F3:F9)</f>
        <v>0</v>
      </c>
      <c r="G10" s="1194"/>
      <c r="H10" s="1195"/>
      <c r="I10" s="614" t="e">
        <f>SUMPRODUCT($E3:$E9,I3:I9)</f>
        <v>#N/A</v>
      </c>
      <c r="J10" s="804">
        <f>SUMPRODUCT($E3:$E9,J3:J9)</f>
        <v>0</v>
      </c>
      <c r="K10" s="1196">
        <f>SUM(K3:K9)</f>
        <v>0</v>
      </c>
      <c r="L10" s="1197"/>
      <c r="M10" s="550"/>
      <c r="N10" s="615"/>
      <c r="O10" s="218"/>
      <c r="P10" s="218"/>
      <c r="Q10" s="218"/>
      <c r="R10" s="218"/>
      <c r="S10" s="218"/>
      <c r="T10" s="218"/>
      <c r="U10" s="218"/>
      <c r="V10" s="218"/>
      <c r="W10" s="218"/>
      <c r="X10" s="218"/>
      <c r="Y10" s="218"/>
      <c r="Z10" s="218"/>
      <c r="AA10" s="599"/>
    </row>
    <row r="11" spans="1:53">
      <c r="A11" s="616"/>
      <c r="B11" s="617"/>
      <c r="C11" s="617"/>
      <c r="D11" s="617"/>
      <c r="E11" s="617"/>
      <c r="F11" s="617"/>
      <c r="G11" s="617"/>
      <c r="H11" s="617"/>
      <c r="I11" s="617"/>
      <c r="J11" s="618"/>
      <c r="K11" s="615"/>
      <c r="L11" s="615"/>
      <c r="M11" s="218"/>
      <c r="N11" s="218"/>
      <c r="O11" s="218"/>
      <c r="P11" s="218"/>
      <c r="Q11" s="218"/>
      <c r="R11" s="218"/>
      <c r="S11" s="218"/>
      <c r="T11" s="218"/>
      <c r="U11" s="218"/>
      <c r="V11" s="218"/>
      <c r="W11" s="218"/>
      <c r="X11" s="218"/>
      <c r="Y11" s="218"/>
      <c r="Z11" s="218"/>
      <c r="AA11" s="599"/>
    </row>
    <row r="12" spans="1:53" ht="13" thickBot="1">
      <c r="A12" s="616"/>
      <c r="B12" s="617"/>
      <c r="C12" s="617"/>
      <c r="D12" s="617"/>
      <c r="E12" s="617"/>
      <c r="F12" s="617"/>
      <c r="G12" s="617"/>
      <c r="H12" s="617"/>
      <c r="I12" s="617"/>
      <c r="J12" s="617"/>
      <c r="K12" s="218"/>
      <c r="L12" s="619"/>
      <c r="M12" s="218"/>
      <c r="N12" s="218"/>
      <c r="O12" s="218"/>
      <c r="P12" s="218"/>
      <c r="Q12" s="218"/>
      <c r="R12" s="218"/>
      <c r="S12" s="218"/>
      <c r="T12" s="218"/>
      <c r="U12" s="218"/>
      <c r="V12" s="218"/>
      <c r="W12" s="218"/>
      <c r="X12" s="218"/>
      <c r="Y12" s="218"/>
      <c r="Z12" s="218"/>
      <c r="AA12" s="599"/>
    </row>
    <row r="13" spans="1:53" ht="14" thickTop="1" thickBot="1">
      <c r="A13" s="616"/>
      <c r="B13" s="617"/>
      <c r="C13" s="1160" t="s">
        <v>178</v>
      </c>
      <c r="D13" s="1161"/>
      <c r="E13" s="1161"/>
      <c r="F13" s="1161"/>
      <c r="G13" s="1161"/>
      <c r="H13" s="1161"/>
      <c r="I13" s="1162"/>
      <c r="J13" s="617"/>
      <c r="K13" s="1190" t="s">
        <v>149</v>
      </c>
      <c r="L13" s="1191"/>
      <c r="M13" s="218"/>
      <c r="N13" s="218"/>
      <c r="O13" s="218"/>
      <c r="P13" s="218"/>
      <c r="Q13" s="1163" t="s">
        <v>725</v>
      </c>
      <c r="R13" s="1164"/>
      <c r="S13" s="1164"/>
      <c r="T13" s="1164"/>
      <c r="U13" s="1164"/>
      <c r="V13" s="1164"/>
      <c r="W13" s="1164"/>
      <c r="X13" s="1164"/>
      <c r="Y13" s="1164"/>
      <c r="Z13" s="1165"/>
      <c r="AA13" s="599"/>
    </row>
    <row r="14" spans="1:53" ht="41" thickTop="1" thickBot="1">
      <c r="A14" s="590"/>
      <c r="B14" s="591" t="s">
        <v>137</v>
      </c>
      <c r="C14" s="620" t="s">
        <v>150</v>
      </c>
      <c r="D14" s="620" t="s">
        <v>151</v>
      </c>
      <c r="E14" s="620" t="s">
        <v>152</v>
      </c>
      <c r="F14" s="620" t="s">
        <v>153</v>
      </c>
      <c r="G14" s="620" t="s">
        <v>154</v>
      </c>
      <c r="H14" s="620" t="s">
        <v>155</v>
      </c>
      <c r="I14" s="596" t="s">
        <v>156</v>
      </c>
      <c r="J14" s="621"/>
      <c r="K14" s="591" t="s">
        <v>157</v>
      </c>
      <c r="L14" s="596" t="s">
        <v>158</v>
      </c>
      <c r="M14" s="218"/>
      <c r="N14" s="218"/>
      <c r="O14" s="218"/>
      <c r="P14" s="218"/>
      <c r="Q14" s="1166"/>
      <c r="R14" s="1167"/>
      <c r="S14" s="1167"/>
      <c r="T14" s="1167"/>
      <c r="U14" s="1167"/>
      <c r="V14" s="1167"/>
      <c r="W14" s="1167"/>
      <c r="X14" s="1167"/>
      <c r="Y14" s="1167"/>
      <c r="Z14" s="1168"/>
      <c r="AA14" s="599"/>
    </row>
    <row r="15" spans="1:53" ht="14.25" customHeight="1" thickTop="1">
      <c r="A15" s="590"/>
      <c r="B15" s="117" t="s">
        <v>143</v>
      </c>
      <c r="C15" s="622"/>
      <c r="D15" s="622"/>
      <c r="E15" s="622"/>
      <c r="F15" s="622"/>
      <c r="G15" s="622"/>
      <c r="H15" s="622"/>
      <c r="I15" s="622"/>
      <c r="J15" s="621"/>
      <c r="K15" s="622"/>
      <c r="L15" s="805">
        <f t="shared" ref="L15:L21" si="8">SUM(C15:K15)-J15</f>
        <v>0</v>
      </c>
      <c r="M15" s="617" t="str">
        <f t="shared" ref="M15:M21" si="9">IF(L15&lt;&gt;E3,"!","")</f>
        <v/>
      </c>
      <c r="N15" s="218"/>
      <c r="O15" s="218"/>
      <c r="P15" s="218"/>
      <c r="Q15" s="1166"/>
      <c r="R15" s="1167"/>
      <c r="S15" s="1167"/>
      <c r="T15" s="1167"/>
      <c r="U15" s="1167"/>
      <c r="V15" s="1167"/>
      <c r="W15" s="1167"/>
      <c r="X15" s="1167"/>
      <c r="Y15" s="1167"/>
      <c r="Z15" s="1168"/>
      <c r="AA15" s="599"/>
    </row>
    <row r="16" spans="1:53" ht="14.25" customHeight="1">
      <c r="A16" s="590"/>
      <c r="B16" s="119" t="s">
        <v>144</v>
      </c>
      <c r="C16" s="622"/>
      <c r="D16" s="622"/>
      <c r="E16" s="622"/>
      <c r="F16" s="622"/>
      <c r="G16" s="622"/>
      <c r="H16" s="622"/>
      <c r="I16" s="622"/>
      <c r="J16" s="621"/>
      <c r="K16" s="623"/>
      <c r="L16" s="805">
        <f t="shared" si="8"/>
        <v>0</v>
      </c>
      <c r="M16" s="617" t="str">
        <f t="shared" si="9"/>
        <v/>
      </c>
      <c r="N16" s="218"/>
      <c r="O16" s="218"/>
      <c r="P16" s="218"/>
      <c r="Q16" s="1166"/>
      <c r="R16" s="1167"/>
      <c r="S16" s="1167"/>
      <c r="T16" s="1167"/>
      <c r="U16" s="1167"/>
      <c r="V16" s="1167"/>
      <c r="W16" s="1167"/>
      <c r="X16" s="1167"/>
      <c r="Y16" s="1167"/>
      <c r="Z16" s="1168"/>
      <c r="AA16" s="599"/>
    </row>
    <row r="17" spans="1:27" ht="14.25" customHeight="1">
      <c r="A17" s="590"/>
      <c r="B17" s="119" t="s">
        <v>145</v>
      </c>
      <c r="C17" s="622"/>
      <c r="D17" s="622"/>
      <c r="E17" s="622"/>
      <c r="F17" s="622"/>
      <c r="G17" s="622"/>
      <c r="H17" s="622"/>
      <c r="I17" s="622"/>
      <c r="J17" s="621"/>
      <c r="K17" s="623"/>
      <c r="L17" s="805">
        <f t="shared" si="8"/>
        <v>0</v>
      </c>
      <c r="M17" s="617" t="str">
        <f t="shared" si="9"/>
        <v/>
      </c>
      <c r="N17" s="218"/>
      <c r="O17" s="218"/>
      <c r="P17" s="218"/>
      <c r="Q17" s="1166"/>
      <c r="R17" s="1167"/>
      <c r="S17" s="1167"/>
      <c r="T17" s="1167"/>
      <c r="U17" s="1167"/>
      <c r="V17" s="1167"/>
      <c r="W17" s="1167"/>
      <c r="X17" s="1167"/>
      <c r="Y17" s="1167"/>
      <c r="Z17" s="1168"/>
      <c r="AA17" s="599"/>
    </row>
    <row r="18" spans="1:27" ht="14.25" customHeight="1">
      <c r="A18" s="590"/>
      <c r="B18" s="119" t="s">
        <v>146</v>
      </c>
      <c r="C18" s="622"/>
      <c r="D18" s="622"/>
      <c r="E18" s="622"/>
      <c r="F18" s="622"/>
      <c r="G18" s="622"/>
      <c r="H18" s="622"/>
      <c r="I18" s="622"/>
      <c r="J18" s="621"/>
      <c r="K18" s="623"/>
      <c r="L18" s="805">
        <f t="shared" si="8"/>
        <v>0</v>
      </c>
      <c r="M18" s="617" t="str">
        <f t="shared" si="9"/>
        <v/>
      </c>
      <c r="N18" s="218"/>
      <c r="O18" s="218"/>
      <c r="P18" s="218"/>
      <c r="Q18" s="1166"/>
      <c r="R18" s="1167"/>
      <c r="S18" s="1167"/>
      <c r="T18" s="1167"/>
      <c r="U18" s="1167"/>
      <c r="V18" s="1167"/>
      <c r="W18" s="1167"/>
      <c r="X18" s="1167"/>
      <c r="Y18" s="1167"/>
      <c r="Z18" s="1168"/>
      <c r="AA18" s="599"/>
    </row>
    <row r="19" spans="1:27" ht="14.25" customHeight="1">
      <c r="A19" s="590"/>
      <c r="B19" s="119" t="s">
        <v>147</v>
      </c>
      <c r="C19" s="622"/>
      <c r="D19" s="622"/>
      <c r="E19" s="622"/>
      <c r="F19" s="622"/>
      <c r="G19" s="622"/>
      <c r="H19" s="622"/>
      <c r="I19" s="622"/>
      <c r="J19" s="621"/>
      <c r="K19" s="623"/>
      <c r="L19" s="805">
        <f t="shared" si="8"/>
        <v>0</v>
      </c>
      <c r="M19" s="617" t="str">
        <f t="shared" si="9"/>
        <v/>
      </c>
      <c r="N19" s="218"/>
      <c r="O19" s="218"/>
      <c r="P19" s="218"/>
      <c r="Q19" s="1166"/>
      <c r="R19" s="1167"/>
      <c r="S19" s="1167"/>
      <c r="T19" s="1167"/>
      <c r="U19" s="1167"/>
      <c r="V19" s="1167"/>
      <c r="W19" s="1167"/>
      <c r="X19" s="1167"/>
      <c r="Y19" s="1167"/>
      <c r="Z19" s="1168"/>
      <c r="AA19" s="599"/>
    </row>
    <row r="20" spans="1:27" ht="14.25" customHeight="1">
      <c r="A20" s="590"/>
      <c r="B20" s="119" t="s">
        <v>148</v>
      </c>
      <c r="C20" s="622"/>
      <c r="D20" s="622"/>
      <c r="E20" s="622"/>
      <c r="F20" s="622"/>
      <c r="G20" s="622"/>
      <c r="H20" s="622"/>
      <c r="I20" s="622"/>
      <c r="J20" s="621"/>
      <c r="K20" s="623"/>
      <c r="L20" s="805">
        <f t="shared" si="8"/>
        <v>0</v>
      </c>
      <c r="M20" s="617" t="str">
        <f t="shared" si="9"/>
        <v/>
      </c>
      <c r="N20" s="218"/>
      <c r="O20" s="218"/>
      <c r="P20" s="218"/>
      <c r="Q20" s="1166"/>
      <c r="R20" s="1167"/>
      <c r="S20" s="1167"/>
      <c r="T20" s="1167"/>
      <c r="U20" s="1167"/>
      <c r="V20" s="1167"/>
      <c r="W20" s="1167"/>
      <c r="X20" s="1167"/>
      <c r="Y20" s="1167"/>
      <c r="Z20" s="1168"/>
      <c r="AA20" s="599"/>
    </row>
    <row r="21" spans="1:27" ht="14.25" customHeight="1" thickBot="1">
      <c r="A21" s="590"/>
      <c r="B21" s="119" t="str">
        <f>+B9</f>
        <v>Other</v>
      </c>
      <c r="C21" s="622"/>
      <c r="D21" s="622"/>
      <c r="E21" s="624"/>
      <c r="F21" s="624"/>
      <c r="G21" s="624"/>
      <c r="H21" s="624"/>
      <c r="I21" s="624"/>
      <c r="J21" s="621"/>
      <c r="K21" s="624"/>
      <c r="L21" s="806">
        <f t="shared" si="8"/>
        <v>0</v>
      </c>
      <c r="M21" s="617" t="str">
        <f t="shared" si="9"/>
        <v/>
      </c>
      <c r="N21" s="218"/>
      <c r="O21" s="218"/>
      <c r="P21" s="218"/>
      <c r="Q21" s="1166"/>
      <c r="R21" s="1167"/>
      <c r="S21" s="1167"/>
      <c r="T21" s="1167"/>
      <c r="U21" s="1167"/>
      <c r="V21" s="1167"/>
      <c r="W21" s="1167"/>
      <c r="X21" s="1167"/>
      <c r="Y21" s="1167"/>
      <c r="Z21" s="1168"/>
      <c r="AA21" s="599"/>
    </row>
    <row r="22" spans="1:27" ht="14.25" customHeight="1" thickBot="1">
      <c r="A22" s="590"/>
      <c r="B22" s="122" t="s">
        <v>64</v>
      </c>
      <c r="C22" s="625">
        <f t="shared" ref="C22:I22" si="10">SUM(C15:C21)</f>
        <v>0</v>
      </c>
      <c r="D22" s="625">
        <f t="shared" si="10"/>
        <v>0</v>
      </c>
      <c r="E22" s="625">
        <f t="shared" si="10"/>
        <v>0</v>
      </c>
      <c r="F22" s="625">
        <f t="shared" si="10"/>
        <v>0</v>
      </c>
      <c r="G22" s="625">
        <f t="shared" si="10"/>
        <v>0</v>
      </c>
      <c r="H22" s="625">
        <f t="shared" si="10"/>
        <v>0</v>
      </c>
      <c r="I22" s="626">
        <f t="shared" si="10"/>
        <v>0</v>
      </c>
      <c r="J22" s="621"/>
      <c r="K22" s="626">
        <f>SUM(K15:K21)</f>
        <v>0</v>
      </c>
      <c r="L22" s="627">
        <f>SUM(L15:L21)</f>
        <v>0</v>
      </c>
      <c r="M22" s="617"/>
      <c r="N22" s="218"/>
      <c r="O22" s="218"/>
      <c r="P22" s="218"/>
      <c r="Q22" s="1169"/>
      <c r="R22" s="1170"/>
      <c r="S22" s="1170"/>
      <c r="T22" s="1170"/>
      <c r="U22" s="1170"/>
      <c r="V22" s="1170"/>
      <c r="W22" s="1170"/>
      <c r="X22" s="1170"/>
      <c r="Y22" s="1170"/>
      <c r="Z22" s="1171"/>
      <c r="AA22" s="599"/>
    </row>
    <row r="23" spans="1:27" ht="13" thickTop="1">
      <c r="A23" s="590"/>
      <c r="B23" s="617"/>
      <c r="C23" s="617"/>
      <c r="D23" s="617"/>
      <c r="E23" s="617"/>
      <c r="F23" s="617"/>
      <c r="G23" s="617"/>
      <c r="H23" s="617"/>
      <c r="I23" s="617"/>
      <c r="J23" s="621"/>
      <c r="K23" s="618"/>
      <c r="L23" s="618"/>
      <c r="M23" s="218"/>
      <c r="N23" s="628"/>
      <c r="O23" s="218"/>
      <c r="P23" s="218"/>
      <c r="Q23" s="218"/>
      <c r="R23" s="218"/>
      <c r="S23" s="218"/>
      <c r="T23" s="218"/>
      <c r="U23" s="218"/>
      <c r="V23" s="218"/>
      <c r="W23" s="218"/>
      <c r="X23" s="218"/>
      <c r="Y23" s="218"/>
      <c r="Z23" s="218"/>
      <c r="AA23" s="599"/>
    </row>
    <row r="24" spans="1:27" ht="13" thickBot="1">
      <c r="A24" s="590"/>
      <c r="B24" s="617"/>
      <c r="C24" s="617"/>
      <c r="D24" s="617"/>
      <c r="E24" s="617"/>
      <c r="F24" s="617"/>
      <c r="G24" s="617"/>
      <c r="H24" s="617"/>
      <c r="I24" s="617"/>
      <c r="J24" s="621"/>
      <c r="K24" s="618"/>
      <c r="L24" s="618"/>
      <c r="M24" s="218"/>
      <c r="N24" s="628"/>
      <c r="O24" s="218"/>
      <c r="P24" s="218"/>
      <c r="Q24" s="218"/>
      <c r="R24" s="218"/>
      <c r="S24" s="218"/>
      <c r="T24" s="218"/>
      <c r="U24" s="218"/>
      <c r="V24" s="218"/>
      <c r="W24" s="218"/>
      <c r="X24" s="218"/>
      <c r="Y24" s="218"/>
      <c r="Z24" s="218"/>
      <c r="AA24" s="599"/>
    </row>
    <row r="25" spans="1:27" ht="14" thickTop="1" thickBot="1">
      <c r="A25" s="616"/>
      <c r="B25" s="617"/>
      <c r="C25" s="1160" t="s">
        <v>869</v>
      </c>
      <c r="D25" s="1161"/>
      <c r="E25" s="1161"/>
      <c r="F25" s="1161"/>
      <c r="G25" s="1161"/>
      <c r="H25" s="1161"/>
      <c r="I25" s="1162"/>
      <c r="J25" s="621"/>
      <c r="K25" s="1190" t="s">
        <v>149</v>
      </c>
      <c r="L25" s="1191"/>
      <c r="M25" s="218"/>
      <c r="N25" s="628"/>
      <c r="O25" s="218"/>
      <c r="P25" s="218"/>
      <c r="Q25" s="1172" t="s">
        <v>724</v>
      </c>
      <c r="R25" s="1173"/>
      <c r="S25" s="1173"/>
      <c r="T25" s="1173"/>
      <c r="U25" s="1173"/>
      <c r="V25" s="1173"/>
      <c r="W25" s="1173"/>
      <c r="X25" s="1173"/>
      <c r="Y25" s="1173"/>
      <c r="Z25" s="1174"/>
      <c r="AA25" s="599"/>
    </row>
    <row r="26" spans="1:27" ht="41" thickTop="1" thickBot="1">
      <c r="A26" s="590"/>
      <c r="B26" s="591" t="s">
        <v>137</v>
      </c>
      <c r="C26" s="592" t="s">
        <v>150</v>
      </c>
      <c r="D26" s="592" t="s">
        <v>151</v>
      </c>
      <c r="E26" s="592" t="s">
        <v>152</v>
      </c>
      <c r="F26" s="592" t="s">
        <v>153</v>
      </c>
      <c r="G26" s="592" t="s">
        <v>154</v>
      </c>
      <c r="H26" s="592" t="s">
        <v>155</v>
      </c>
      <c r="I26" s="596" t="s">
        <v>159</v>
      </c>
      <c r="J26" s="621"/>
      <c r="K26" s="591" t="s">
        <v>157</v>
      </c>
      <c r="L26" s="629" t="s">
        <v>142</v>
      </c>
      <c r="M26" s="218"/>
      <c r="N26" s="615"/>
      <c r="O26" s="218"/>
      <c r="P26" s="218"/>
      <c r="Q26" s="1175"/>
      <c r="R26" s="1176"/>
      <c r="S26" s="1176"/>
      <c r="T26" s="1176"/>
      <c r="U26" s="1176"/>
      <c r="V26" s="1176"/>
      <c r="W26" s="1176"/>
      <c r="X26" s="1176"/>
      <c r="Y26" s="1176"/>
      <c r="Z26" s="1177"/>
      <c r="AA26" s="599"/>
    </row>
    <row r="27" spans="1:27" ht="13" thickTop="1">
      <c r="A27" s="590"/>
      <c r="B27" s="117" t="s">
        <v>143</v>
      </c>
      <c r="C27" s="630"/>
      <c r="D27" s="630"/>
      <c r="E27" s="630"/>
      <c r="F27" s="630"/>
      <c r="G27" s="630"/>
      <c r="H27" s="630"/>
      <c r="I27" s="630"/>
      <c r="J27" s="621"/>
      <c r="K27" s="630"/>
      <c r="L27" s="803">
        <f t="shared" ref="L27:L33" si="11">SUMPRODUCT(C27:I27,C15:I15)+(K15*K27)</f>
        <v>0</v>
      </c>
      <c r="M27" s="218"/>
      <c r="N27" s="615"/>
      <c r="O27" s="218"/>
      <c r="P27" s="218"/>
      <c r="Q27" s="1175"/>
      <c r="R27" s="1176"/>
      <c r="S27" s="1176"/>
      <c r="T27" s="1176"/>
      <c r="U27" s="1176"/>
      <c r="V27" s="1176"/>
      <c r="W27" s="1176"/>
      <c r="X27" s="1176"/>
      <c r="Y27" s="1176"/>
      <c r="Z27" s="1177"/>
      <c r="AA27" s="599"/>
    </row>
    <row r="28" spans="1:27">
      <c r="A28" s="590"/>
      <c r="B28" s="119" t="s">
        <v>144</v>
      </c>
      <c r="C28" s="630"/>
      <c r="D28" s="630"/>
      <c r="E28" s="630"/>
      <c r="F28" s="630"/>
      <c r="G28" s="630"/>
      <c r="H28" s="630"/>
      <c r="I28" s="631"/>
      <c r="J28" s="632" t="e">
        <v>#N/A</v>
      </c>
      <c r="K28" s="630"/>
      <c r="L28" s="803">
        <f t="shared" si="11"/>
        <v>0</v>
      </c>
      <c r="M28" s="218"/>
      <c r="N28" s="218"/>
      <c r="O28" s="218"/>
      <c r="P28" s="218"/>
      <c r="Q28" s="1175"/>
      <c r="R28" s="1176"/>
      <c r="S28" s="1176"/>
      <c r="T28" s="1176"/>
      <c r="U28" s="1176"/>
      <c r="V28" s="1176"/>
      <c r="W28" s="1176"/>
      <c r="X28" s="1176"/>
      <c r="Y28" s="1176"/>
      <c r="Z28" s="1177"/>
      <c r="AA28" s="599"/>
    </row>
    <row r="29" spans="1:27">
      <c r="A29" s="590"/>
      <c r="B29" s="119" t="s">
        <v>145</v>
      </c>
      <c r="C29" s="630"/>
      <c r="D29" s="630"/>
      <c r="E29" s="630"/>
      <c r="F29" s="630"/>
      <c r="G29" s="630"/>
      <c r="H29" s="630"/>
      <c r="I29" s="631"/>
      <c r="J29" s="632" t="e">
        <v>#N/A</v>
      </c>
      <c r="K29" s="630"/>
      <c r="L29" s="803">
        <f t="shared" si="11"/>
        <v>0</v>
      </c>
      <c r="M29" s="218"/>
      <c r="N29" s="218"/>
      <c r="O29" s="218"/>
      <c r="P29" s="218"/>
      <c r="Q29" s="1175"/>
      <c r="R29" s="1176"/>
      <c r="S29" s="1176"/>
      <c r="T29" s="1176"/>
      <c r="U29" s="1176"/>
      <c r="V29" s="1176"/>
      <c r="W29" s="1176"/>
      <c r="X29" s="1176"/>
      <c r="Y29" s="1176"/>
      <c r="Z29" s="1177"/>
      <c r="AA29" s="599"/>
    </row>
    <row r="30" spans="1:27">
      <c r="A30" s="590"/>
      <c r="B30" s="119" t="s">
        <v>146</v>
      </c>
      <c r="C30" s="630"/>
      <c r="D30" s="630"/>
      <c r="E30" s="630"/>
      <c r="F30" s="630"/>
      <c r="G30" s="630"/>
      <c r="H30" s="630"/>
      <c r="I30" s="631"/>
      <c r="J30" s="632" t="e">
        <v>#N/A</v>
      </c>
      <c r="K30" s="630"/>
      <c r="L30" s="803">
        <f t="shared" si="11"/>
        <v>0</v>
      </c>
      <c r="M30" s="218"/>
      <c r="N30" s="218"/>
      <c r="O30" s="218"/>
      <c r="P30" s="218"/>
      <c r="Q30" s="1175"/>
      <c r="R30" s="1176"/>
      <c r="S30" s="1176"/>
      <c r="T30" s="1176"/>
      <c r="U30" s="1176"/>
      <c r="V30" s="1176"/>
      <c r="W30" s="1176"/>
      <c r="X30" s="1176"/>
      <c r="Y30" s="1176"/>
      <c r="Z30" s="1177"/>
      <c r="AA30" s="599"/>
    </row>
    <row r="31" spans="1:27">
      <c r="A31" s="590"/>
      <c r="B31" s="119" t="s">
        <v>147</v>
      </c>
      <c r="C31" s="630"/>
      <c r="D31" s="630"/>
      <c r="E31" s="630"/>
      <c r="F31" s="630"/>
      <c r="G31" s="630"/>
      <c r="H31" s="630"/>
      <c r="I31" s="631"/>
      <c r="J31" s="632" t="e">
        <v>#N/A</v>
      </c>
      <c r="K31" s="630"/>
      <c r="L31" s="803">
        <f t="shared" si="11"/>
        <v>0</v>
      </c>
      <c r="M31" s="218"/>
      <c r="N31" s="218"/>
      <c r="O31" s="218"/>
      <c r="P31" s="218"/>
      <c r="Q31" s="1175"/>
      <c r="R31" s="1176"/>
      <c r="S31" s="1176"/>
      <c r="T31" s="1176"/>
      <c r="U31" s="1176"/>
      <c r="V31" s="1176"/>
      <c r="W31" s="1176"/>
      <c r="X31" s="1176"/>
      <c r="Y31" s="1176"/>
      <c r="Z31" s="1177"/>
      <c r="AA31" s="599"/>
    </row>
    <row r="32" spans="1:27">
      <c r="A32" s="590"/>
      <c r="B32" s="119" t="s">
        <v>148</v>
      </c>
      <c r="C32" s="630"/>
      <c r="D32" s="630"/>
      <c r="E32" s="630"/>
      <c r="F32" s="630"/>
      <c r="G32" s="630"/>
      <c r="H32" s="630"/>
      <c r="I32" s="631"/>
      <c r="J32" s="632" t="e">
        <v>#N/A</v>
      </c>
      <c r="K32" s="630"/>
      <c r="L32" s="803">
        <f t="shared" si="11"/>
        <v>0</v>
      </c>
      <c r="M32" s="218"/>
      <c r="N32" s="218"/>
      <c r="O32" s="218"/>
      <c r="P32" s="218"/>
      <c r="Q32" s="1175"/>
      <c r="R32" s="1176"/>
      <c r="S32" s="1176"/>
      <c r="T32" s="1176"/>
      <c r="U32" s="1176"/>
      <c r="V32" s="1176"/>
      <c r="W32" s="1176"/>
      <c r="X32" s="1176"/>
      <c r="Y32" s="1176"/>
      <c r="Z32" s="1177"/>
      <c r="AA32" s="599"/>
    </row>
    <row r="33" spans="1:27" ht="13" thickBot="1">
      <c r="A33" s="590"/>
      <c r="B33" s="119" t="str">
        <f>+B9</f>
        <v>Other</v>
      </c>
      <c r="C33" s="630"/>
      <c r="D33" s="630"/>
      <c r="E33" s="630"/>
      <c r="F33" s="630"/>
      <c r="G33" s="630"/>
      <c r="H33" s="630"/>
      <c r="I33" s="633"/>
      <c r="J33" s="632">
        <v>0</v>
      </c>
      <c r="K33" s="630"/>
      <c r="L33" s="807">
        <f t="shared" si="11"/>
        <v>0</v>
      </c>
      <c r="M33" s="218"/>
      <c r="N33" s="218"/>
      <c r="O33" s="218"/>
      <c r="P33" s="218"/>
      <c r="Q33" s="1175"/>
      <c r="R33" s="1176"/>
      <c r="S33" s="1176"/>
      <c r="T33" s="1176"/>
      <c r="U33" s="1176"/>
      <c r="V33" s="1176"/>
      <c r="W33" s="1176"/>
      <c r="X33" s="1176"/>
      <c r="Y33" s="1176"/>
      <c r="Z33" s="1177"/>
      <c r="AA33" s="599"/>
    </row>
    <row r="34" spans="1:27" ht="13" thickBot="1">
      <c r="A34" s="590"/>
      <c r="B34" s="122" t="s">
        <v>158</v>
      </c>
      <c r="C34" s="626">
        <f t="shared" ref="C34:I34" si="12">SUMPRODUCT(C15:C21,C27:C33)</f>
        <v>0</v>
      </c>
      <c r="D34" s="626">
        <f t="shared" si="12"/>
        <v>0</v>
      </c>
      <c r="E34" s="626">
        <f t="shared" si="12"/>
        <v>0</v>
      </c>
      <c r="F34" s="626">
        <f t="shared" si="12"/>
        <v>0</v>
      </c>
      <c r="G34" s="626">
        <f t="shared" si="12"/>
        <v>0</v>
      </c>
      <c r="H34" s="626">
        <f t="shared" si="12"/>
        <v>0</v>
      </c>
      <c r="I34" s="626">
        <f t="shared" si="12"/>
        <v>0</v>
      </c>
      <c r="J34" s="632"/>
      <c r="K34" s="626">
        <f>SUMPRODUCT(K15:K21,K27:K33)</f>
        <v>0</v>
      </c>
      <c r="L34" s="634">
        <f>SUM(L27:L33)</f>
        <v>0</v>
      </c>
      <c r="M34" s="635"/>
      <c r="N34" s="218"/>
      <c r="O34" s="218"/>
      <c r="P34" s="218"/>
      <c r="Q34" s="1178"/>
      <c r="R34" s="1179"/>
      <c r="S34" s="1179"/>
      <c r="T34" s="1179"/>
      <c r="U34" s="1179"/>
      <c r="V34" s="1179"/>
      <c r="W34" s="1179"/>
      <c r="X34" s="1179"/>
      <c r="Y34" s="1179"/>
      <c r="Z34" s="1180"/>
      <c r="AA34" s="599"/>
    </row>
    <row r="35" spans="1:27" ht="13" thickTop="1">
      <c r="A35" s="590"/>
      <c r="B35" s="617"/>
      <c r="C35" s="617"/>
      <c r="D35" s="617"/>
      <c r="E35" s="617"/>
      <c r="F35" s="617"/>
      <c r="G35" s="617"/>
      <c r="H35" s="617"/>
      <c r="I35" s="617"/>
      <c r="J35" s="617"/>
      <c r="K35" s="617"/>
      <c r="L35" s="617"/>
      <c r="M35" s="218"/>
      <c r="N35" s="218"/>
      <c r="O35" s="218"/>
      <c r="P35" s="218"/>
      <c r="Q35" s="218"/>
      <c r="R35" s="218"/>
      <c r="S35" s="218"/>
      <c r="T35" s="218"/>
      <c r="U35" s="218"/>
      <c r="V35" s="218"/>
      <c r="W35" s="218"/>
      <c r="X35" s="218"/>
      <c r="Y35" s="218"/>
      <c r="Z35" s="218"/>
      <c r="AA35" s="599"/>
    </row>
    <row r="36" spans="1:27">
      <c r="A36" s="590"/>
      <c r="B36" s="617"/>
      <c r="C36" s="617"/>
      <c r="D36" s="617"/>
      <c r="E36" s="617"/>
      <c r="F36" s="617"/>
      <c r="G36" s="617"/>
      <c r="H36" s="617"/>
      <c r="I36" s="617"/>
      <c r="J36" s="617"/>
      <c r="K36" s="617"/>
      <c r="L36" s="617"/>
      <c r="M36" s="218"/>
      <c r="N36" s="218"/>
      <c r="O36" s="218"/>
      <c r="P36" s="218"/>
      <c r="Q36" s="218"/>
      <c r="R36" s="218"/>
      <c r="S36" s="218"/>
      <c r="T36" s="218"/>
      <c r="U36" s="218"/>
      <c r="V36" s="218"/>
      <c r="W36" s="218"/>
      <c r="X36" s="218"/>
      <c r="Y36" s="218"/>
      <c r="Z36" s="218"/>
      <c r="AA36" s="599"/>
    </row>
    <row r="37" spans="1:27" ht="13" thickBot="1">
      <c r="A37" s="616" t="s">
        <v>160</v>
      </c>
      <c r="B37" s="617"/>
      <c r="C37" s="617"/>
      <c r="D37" s="617"/>
      <c r="E37" s="617"/>
      <c r="F37" s="617"/>
      <c r="G37" s="617"/>
      <c r="H37" s="617"/>
      <c r="I37" s="617"/>
      <c r="J37" s="617"/>
      <c r="K37" s="617"/>
      <c r="L37" s="617"/>
      <c r="M37" s="218"/>
      <c r="N37" s="218"/>
      <c r="O37" s="218"/>
      <c r="P37" s="218"/>
      <c r="Q37" s="218"/>
      <c r="R37" s="218"/>
      <c r="S37" s="218"/>
      <c r="T37" s="218"/>
      <c r="U37" s="218"/>
      <c r="V37" s="218"/>
      <c r="W37" s="218"/>
      <c r="X37" s="218"/>
      <c r="Y37" s="218"/>
      <c r="Z37" s="218"/>
      <c r="AA37" s="599"/>
    </row>
    <row r="38" spans="1:27" ht="15" thickTop="1" thickBot="1">
      <c r="A38" s="590"/>
      <c r="B38" s="636" t="s">
        <v>161</v>
      </c>
      <c r="C38" s="637" t="s">
        <v>143</v>
      </c>
      <c r="D38" s="637" t="s">
        <v>144</v>
      </c>
      <c r="E38" s="637" t="s">
        <v>145</v>
      </c>
      <c r="F38" s="637" t="s">
        <v>146</v>
      </c>
      <c r="G38" s="637" t="s">
        <v>147</v>
      </c>
      <c r="H38" s="638" t="s">
        <v>148</v>
      </c>
      <c r="I38" s="637" t="s">
        <v>162</v>
      </c>
      <c r="J38" s="639" t="s">
        <v>163</v>
      </c>
      <c r="K38" s="218"/>
      <c r="L38" s="640"/>
      <c r="M38" s="218"/>
      <c r="N38" s="218"/>
      <c r="O38" s="218"/>
      <c r="P38" s="218"/>
      <c r="Q38" s="1181" t="s">
        <v>723</v>
      </c>
      <c r="R38" s="1182"/>
      <c r="S38" s="1182"/>
      <c r="T38" s="1182"/>
      <c r="U38" s="1182"/>
      <c r="V38" s="1182"/>
      <c r="W38" s="1182"/>
      <c r="X38" s="1182"/>
      <c r="Y38" s="1182"/>
      <c r="Z38" s="1183"/>
      <c r="AA38" s="599"/>
    </row>
    <row r="39" spans="1:27" ht="13" thickTop="1">
      <c r="A39" s="590"/>
      <c r="B39" s="123" t="s">
        <v>164</v>
      </c>
      <c r="C39" s="602"/>
      <c r="D39" s="602"/>
      <c r="E39" s="602"/>
      <c r="F39" s="602"/>
      <c r="G39" s="602"/>
      <c r="H39" s="602"/>
      <c r="I39" s="641" t="s">
        <v>165</v>
      </c>
      <c r="J39" s="602"/>
      <c r="K39" s="218"/>
      <c r="L39" s="218"/>
      <c r="M39" s="218"/>
      <c r="N39" s="218"/>
      <c r="O39" s="218"/>
      <c r="P39" s="218"/>
      <c r="Q39" s="1184"/>
      <c r="R39" s="1185"/>
      <c r="S39" s="1185"/>
      <c r="T39" s="1185"/>
      <c r="U39" s="1185"/>
      <c r="V39" s="1185"/>
      <c r="W39" s="1185"/>
      <c r="X39" s="1185"/>
      <c r="Y39" s="1185"/>
      <c r="Z39" s="1186"/>
      <c r="AA39" s="599"/>
    </row>
    <row r="40" spans="1:27">
      <c r="A40" s="590"/>
      <c r="B40" s="124" t="s">
        <v>166</v>
      </c>
      <c r="C40" s="607"/>
      <c r="D40" s="607"/>
      <c r="E40" s="607"/>
      <c r="F40" s="607"/>
      <c r="G40" s="607"/>
      <c r="H40" s="607"/>
      <c r="I40" s="642" t="s">
        <v>167</v>
      </c>
      <c r="J40" s="607"/>
      <c r="K40" s="218"/>
      <c r="L40" s="218"/>
      <c r="M40" s="218"/>
      <c r="N40" s="218"/>
      <c r="O40" s="218"/>
      <c r="P40" s="218"/>
      <c r="Q40" s="1184"/>
      <c r="R40" s="1185"/>
      <c r="S40" s="1185"/>
      <c r="T40" s="1185"/>
      <c r="U40" s="1185"/>
      <c r="V40" s="1185"/>
      <c r="W40" s="1185"/>
      <c r="X40" s="1185"/>
      <c r="Y40" s="1185"/>
      <c r="Z40" s="1186"/>
      <c r="AA40" s="599"/>
    </row>
    <row r="41" spans="1:27">
      <c r="A41" s="590"/>
      <c r="B41" s="124" t="s">
        <v>168</v>
      </c>
      <c r="C41" s="607"/>
      <c r="D41" s="607"/>
      <c r="E41" s="607"/>
      <c r="F41" s="607"/>
      <c r="G41" s="607"/>
      <c r="H41" s="607"/>
      <c r="I41" s="642" t="s">
        <v>169</v>
      </c>
      <c r="J41" s="607"/>
      <c r="K41" s="218"/>
      <c r="L41" s="218"/>
      <c r="M41" s="218"/>
      <c r="N41" s="218"/>
      <c r="O41" s="218"/>
      <c r="P41" s="218"/>
      <c r="Q41" s="1184"/>
      <c r="R41" s="1185"/>
      <c r="S41" s="1185"/>
      <c r="T41" s="1185"/>
      <c r="U41" s="1185"/>
      <c r="V41" s="1185"/>
      <c r="W41" s="1185"/>
      <c r="X41" s="1185"/>
      <c r="Y41" s="1185"/>
      <c r="Z41" s="1186"/>
      <c r="AA41" s="599"/>
    </row>
    <row r="42" spans="1:27">
      <c r="A42" s="590"/>
      <c r="B42" s="124" t="s">
        <v>170</v>
      </c>
      <c r="C42" s="607"/>
      <c r="D42" s="607"/>
      <c r="E42" s="607"/>
      <c r="F42" s="607"/>
      <c r="G42" s="607"/>
      <c r="H42" s="607"/>
      <c r="I42" s="642" t="s">
        <v>619</v>
      </c>
      <c r="J42" s="607"/>
      <c r="K42" s="218"/>
      <c r="L42" s="218"/>
      <c r="M42" s="218"/>
      <c r="N42" s="218"/>
      <c r="O42" s="218"/>
      <c r="P42" s="218"/>
      <c r="Q42" s="1184"/>
      <c r="R42" s="1185"/>
      <c r="S42" s="1185"/>
      <c r="T42" s="1185"/>
      <c r="U42" s="1185"/>
      <c r="V42" s="1185"/>
      <c r="W42" s="1185"/>
      <c r="X42" s="1185"/>
      <c r="Y42" s="1185"/>
      <c r="Z42" s="1186"/>
      <c r="AA42" s="599"/>
    </row>
    <row r="43" spans="1:27">
      <c r="A43" s="590"/>
      <c r="B43" s="124" t="s">
        <v>171</v>
      </c>
      <c r="C43" s="607"/>
      <c r="D43" s="607"/>
      <c r="E43" s="607"/>
      <c r="F43" s="607"/>
      <c r="G43" s="607"/>
      <c r="H43" s="607"/>
      <c r="I43" s="642" t="s">
        <v>172</v>
      </c>
      <c r="J43" s="607"/>
      <c r="K43" s="218"/>
      <c r="L43" s="218"/>
      <c r="M43" s="218"/>
      <c r="N43" s="218"/>
      <c r="O43" s="218"/>
      <c r="P43" s="218"/>
      <c r="Q43" s="1184"/>
      <c r="R43" s="1185"/>
      <c r="S43" s="1185"/>
      <c r="T43" s="1185"/>
      <c r="U43" s="1185"/>
      <c r="V43" s="1185"/>
      <c r="W43" s="1185"/>
      <c r="X43" s="1185"/>
      <c r="Y43" s="1185"/>
      <c r="Z43" s="1186"/>
      <c r="AA43" s="599"/>
    </row>
    <row r="44" spans="1:27">
      <c r="A44" s="590"/>
      <c r="B44" s="124" t="s">
        <v>173</v>
      </c>
      <c r="C44" s="607"/>
      <c r="D44" s="607"/>
      <c r="E44" s="607"/>
      <c r="F44" s="607"/>
      <c r="G44" s="607"/>
      <c r="H44" s="607"/>
      <c r="I44" s="642" t="s">
        <v>39</v>
      </c>
      <c r="J44" s="607"/>
      <c r="K44" s="218"/>
      <c r="L44" s="218"/>
      <c r="M44" s="218"/>
      <c r="N44" s="218"/>
      <c r="O44" s="218"/>
      <c r="P44" s="218"/>
      <c r="Q44" s="1184"/>
      <c r="R44" s="1185"/>
      <c r="S44" s="1185"/>
      <c r="T44" s="1185"/>
      <c r="U44" s="1185"/>
      <c r="V44" s="1185"/>
      <c r="W44" s="1185"/>
      <c r="X44" s="1185"/>
      <c r="Y44" s="1185"/>
      <c r="Z44" s="1186"/>
      <c r="AA44" s="599"/>
    </row>
    <row r="45" spans="1:27">
      <c r="A45" s="590"/>
      <c r="B45" s="124" t="s">
        <v>174</v>
      </c>
      <c r="C45" s="607"/>
      <c r="D45" s="607"/>
      <c r="E45" s="607"/>
      <c r="F45" s="607"/>
      <c r="G45" s="607"/>
      <c r="H45" s="607"/>
      <c r="I45" s="1154"/>
      <c r="J45" s="1155"/>
      <c r="K45" s="218"/>
      <c r="L45" s="218"/>
      <c r="M45" s="218"/>
      <c r="N45" s="218"/>
      <c r="O45" s="218"/>
      <c r="P45" s="218"/>
      <c r="Q45" s="1184"/>
      <c r="R45" s="1185"/>
      <c r="S45" s="1185"/>
      <c r="T45" s="1185"/>
      <c r="U45" s="1185"/>
      <c r="V45" s="1185"/>
      <c r="W45" s="1185"/>
      <c r="X45" s="1185"/>
      <c r="Y45" s="1185"/>
      <c r="Z45" s="1186"/>
      <c r="AA45" s="599"/>
    </row>
    <row r="46" spans="1:27">
      <c r="A46" s="590"/>
      <c r="B46" s="124" t="s">
        <v>175</v>
      </c>
      <c r="C46" s="607"/>
      <c r="D46" s="607"/>
      <c r="E46" s="607"/>
      <c r="F46" s="607"/>
      <c r="G46" s="607"/>
      <c r="H46" s="607"/>
      <c r="I46" s="1156"/>
      <c r="J46" s="1157"/>
      <c r="K46" s="218"/>
      <c r="L46" s="218"/>
      <c r="M46" s="218"/>
      <c r="N46" s="218"/>
      <c r="O46" s="218"/>
      <c r="P46" s="218"/>
      <c r="Q46" s="1184"/>
      <c r="R46" s="1185"/>
      <c r="S46" s="1185"/>
      <c r="T46" s="1185"/>
      <c r="U46" s="1185"/>
      <c r="V46" s="1185"/>
      <c r="W46" s="1185"/>
      <c r="X46" s="1185"/>
      <c r="Y46" s="1185"/>
      <c r="Z46" s="1186"/>
      <c r="AA46" s="599"/>
    </row>
    <row r="47" spans="1:27" ht="13" thickBot="1">
      <c r="A47" s="590"/>
      <c r="B47" s="124" t="s">
        <v>39</v>
      </c>
      <c r="C47" s="607"/>
      <c r="D47" s="607"/>
      <c r="E47" s="607"/>
      <c r="F47" s="607"/>
      <c r="G47" s="607"/>
      <c r="H47" s="607"/>
      <c r="I47" s="1156"/>
      <c r="J47" s="1157"/>
      <c r="K47" s="218"/>
      <c r="L47" s="218"/>
      <c r="M47" s="218"/>
      <c r="N47" s="218"/>
      <c r="O47" s="218"/>
      <c r="P47" s="218"/>
      <c r="Q47" s="1187"/>
      <c r="R47" s="1188"/>
      <c r="S47" s="1188"/>
      <c r="T47" s="1188"/>
      <c r="U47" s="1188"/>
      <c r="V47" s="1188"/>
      <c r="W47" s="1188"/>
      <c r="X47" s="1188"/>
      <c r="Y47" s="1188"/>
      <c r="Z47" s="1189"/>
      <c r="AA47" s="599"/>
    </row>
    <row r="48" spans="1:27" ht="13" thickTop="1">
      <c r="A48" s="590"/>
      <c r="B48" s="125" t="s">
        <v>64</v>
      </c>
      <c r="C48" s="612">
        <f t="shared" ref="C48:H48" si="13">SUM(C39:C47)</f>
        <v>0</v>
      </c>
      <c r="D48" s="612">
        <f>SUM(D39:D47)</f>
        <v>0</v>
      </c>
      <c r="E48" s="612">
        <f t="shared" si="13"/>
        <v>0</v>
      </c>
      <c r="F48" s="612">
        <f t="shared" si="13"/>
        <v>0</v>
      </c>
      <c r="G48" s="612">
        <f t="shared" si="13"/>
        <v>0</v>
      </c>
      <c r="H48" s="612">
        <f t="shared" si="13"/>
        <v>0</v>
      </c>
      <c r="I48" s="1158"/>
      <c r="J48" s="1159"/>
      <c r="K48" s="218"/>
      <c r="L48" s="218"/>
      <c r="M48" s="218"/>
      <c r="N48" s="218"/>
      <c r="O48" s="218"/>
      <c r="P48" s="218"/>
      <c r="Q48" s="218"/>
      <c r="R48" s="218"/>
      <c r="S48" s="218"/>
      <c r="T48" s="218"/>
      <c r="U48" s="218"/>
      <c r="V48" s="218"/>
      <c r="W48" s="218"/>
      <c r="X48" s="218"/>
      <c r="Y48" s="218"/>
      <c r="Z48" s="218"/>
      <c r="AA48" s="599"/>
    </row>
    <row r="49" spans="1:27">
      <c r="A49" s="590"/>
      <c r="B49" s="305"/>
      <c r="C49" s="643"/>
      <c r="D49" s="643"/>
      <c r="E49" s="643"/>
      <c r="F49" s="643"/>
      <c r="G49" s="643"/>
      <c r="H49" s="643"/>
      <c r="I49" s="218"/>
      <c r="J49" s="218"/>
      <c r="K49" s="218"/>
      <c r="L49" s="218"/>
      <c r="M49" s="218"/>
      <c r="N49" s="218"/>
      <c r="O49" s="218"/>
      <c r="P49" s="218"/>
      <c r="Q49" s="218"/>
      <c r="R49" s="218"/>
      <c r="S49" s="218"/>
      <c r="T49" s="218"/>
      <c r="U49" s="218"/>
      <c r="V49" s="218"/>
      <c r="W49" s="218"/>
      <c r="X49" s="218"/>
      <c r="Y49" s="218"/>
      <c r="Z49" s="218"/>
      <c r="AA49" s="599"/>
    </row>
    <row r="50" spans="1:27">
      <c r="A50" s="590"/>
      <c r="B50" s="218"/>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599"/>
    </row>
    <row r="51" spans="1:27">
      <c r="A51" s="590"/>
      <c r="B51" s="7"/>
      <c r="C51" s="7"/>
      <c r="D51" s="7"/>
      <c r="E51" s="7"/>
      <c r="F51" s="7"/>
      <c r="G51" s="7"/>
      <c r="H51" s="7"/>
      <c r="I51" s="7"/>
      <c r="J51" s="7"/>
      <c r="K51" s="7"/>
      <c r="L51" s="7"/>
      <c r="M51" s="218"/>
      <c r="N51" s="218"/>
      <c r="O51" s="218"/>
      <c r="P51" s="218"/>
      <c r="Q51" s="218"/>
      <c r="R51" s="218"/>
      <c r="S51" s="218"/>
      <c r="T51" s="218"/>
      <c r="U51" s="218"/>
      <c r="V51" s="218"/>
      <c r="W51" s="218"/>
      <c r="X51" s="218"/>
      <c r="Y51" s="218"/>
      <c r="Z51" s="218"/>
      <c r="AA51" s="599"/>
    </row>
    <row r="52" spans="1:27">
      <c r="A52" s="590"/>
      <c r="B52" s="7"/>
      <c r="C52" s="7"/>
      <c r="D52" s="7"/>
      <c r="E52" s="7"/>
      <c r="F52" s="7"/>
      <c r="G52" s="7"/>
      <c r="H52" s="7"/>
      <c r="I52" s="7"/>
      <c r="J52" s="7"/>
      <c r="K52" s="7"/>
      <c r="L52" s="7"/>
      <c r="M52" s="218"/>
      <c r="N52" s="218"/>
      <c r="O52" s="218"/>
      <c r="P52" s="218"/>
      <c r="Q52" s="218"/>
      <c r="R52" s="218"/>
      <c r="S52" s="218"/>
      <c r="T52" s="218"/>
      <c r="U52" s="218"/>
      <c r="V52" s="218"/>
      <c r="W52" s="218"/>
      <c r="X52" s="218"/>
      <c r="Y52" s="218"/>
      <c r="Z52" s="218"/>
      <c r="AA52" s="599"/>
    </row>
    <row r="53" spans="1:27">
      <c r="A53" s="590"/>
      <c r="B53" s="7"/>
      <c r="C53" s="7"/>
      <c r="D53" s="7"/>
      <c r="E53" s="7"/>
      <c r="F53" s="7"/>
      <c r="G53" s="7"/>
      <c r="H53" s="7"/>
      <c r="I53" s="7"/>
      <c r="J53" s="7"/>
      <c r="K53" s="7"/>
      <c r="L53" s="7"/>
      <c r="M53" s="218"/>
      <c r="N53" s="218"/>
      <c r="O53" s="218"/>
      <c r="P53" s="218"/>
      <c r="Q53" s="218"/>
      <c r="R53" s="218"/>
      <c r="S53" s="218"/>
      <c r="T53" s="218"/>
      <c r="U53" s="218"/>
      <c r="V53" s="218"/>
      <c r="W53" s="218"/>
      <c r="X53" s="218"/>
      <c r="Y53" s="218"/>
      <c r="Z53" s="218"/>
      <c r="AA53" s="599"/>
    </row>
    <row r="54" spans="1:27">
      <c r="A54" s="590"/>
      <c r="B54" s="7"/>
      <c r="C54" s="7"/>
      <c r="D54" s="7"/>
      <c r="E54" s="7"/>
      <c r="F54" s="7"/>
      <c r="G54" s="7"/>
      <c r="H54" s="7"/>
      <c r="I54" s="7"/>
      <c r="J54" s="7"/>
      <c r="K54" s="7"/>
      <c r="L54" s="7"/>
      <c r="M54" s="218"/>
      <c r="N54" s="218"/>
      <c r="O54" s="218"/>
      <c r="P54" s="218"/>
      <c r="Q54" s="218"/>
      <c r="R54" s="218"/>
      <c r="S54" s="218"/>
      <c r="T54" s="218"/>
      <c r="U54" s="218"/>
      <c r="V54" s="218"/>
      <c r="W54" s="218"/>
      <c r="X54" s="218"/>
      <c r="Y54" s="218"/>
      <c r="Z54" s="218"/>
      <c r="AA54" s="599"/>
    </row>
    <row r="55" spans="1:27">
      <c r="A55" s="590"/>
      <c r="B55" s="7"/>
      <c r="C55" s="7"/>
      <c r="D55" s="7"/>
      <c r="E55" s="7"/>
      <c r="F55" s="7"/>
      <c r="G55" s="7"/>
      <c r="H55" s="7"/>
      <c r="I55" s="7"/>
      <c r="J55" s="7"/>
      <c r="K55" s="7"/>
      <c r="L55" s="7"/>
      <c r="M55" s="218"/>
      <c r="N55" s="218"/>
      <c r="O55" s="218"/>
      <c r="P55" s="218"/>
      <c r="Q55" s="218"/>
      <c r="R55" s="218"/>
      <c r="S55" s="218"/>
      <c r="T55" s="218"/>
      <c r="U55" s="218"/>
      <c r="V55" s="218"/>
      <c r="W55" s="218"/>
      <c r="X55" s="218"/>
      <c r="Y55" s="218"/>
      <c r="Z55" s="218"/>
      <c r="AA55" s="599"/>
    </row>
    <row r="56" spans="1:27">
      <c r="A56" s="590"/>
      <c r="B56" s="7"/>
      <c r="C56" s="7"/>
      <c r="D56" s="7"/>
      <c r="E56" s="7"/>
      <c r="F56" s="7"/>
      <c r="G56" s="7"/>
      <c r="H56" s="7"/>
      <c r="I56" s="7"/>
      <c r="J56" s="7"/>
      <c r="K56" s="7"/>
      <c r="L56" s="7"/>
      <c r="M56" s="218"/>
      <c r="N56" s="218"/>
      <c r="O56" s="218"/>
      <c r="P56" s="218"/>
      <c r="Q56" s="218"/>
      <c r="R56" s="218"/>
      <c r="S56" s="218"/>
      <c r="T56" s="218"/>
      <c r="U56" s="218"/>
      <c r="V56" s="218"/>
      <c r="W56" s="218"/>
      <c r="X56" s="218"/>
      <c r="Y56" s="218"/>
      <c r="Z56" s="218"/>
      <c r="AA56" s="599"/>
    </row>
    <row r="57" spans="1:27">
      <c r="A57" s="590"/>
      <c r="B57" s="7"/>
      <c r="C57" s="7"/>
      <c r="D57" s="7"/>
      <c r="E57" s="7"/>
      <c r="F57" s="7"/>
      <c r="G57" s="7"/>
      <c r="H57" s="7"/>
      <c r="I57" s="7"/>
      <c r="J57" s="7"/>
      <c r="K57" s="7"/>
      <c r="L57" s="7"/>
      <c r="M57" s="218"/>
      <c r="N57" s="218"/>
      <c r="O57" s="218"/>
      <c r="P57" s="218"/>
      <c r="Q57" s="218"/>
      <c r="R57" s="218"/>
      <c r="S57" s="218"/>
      <c r="T57" s="218"/>
      <c r="U57" s="218"/>
      <c r="V57" s="218"/>
      <c r="W57" s="218"/>
      <c r="X57" s="218"/>
      <c r="Y57" s="218"/>
      <c r="Z57" s="218"/>
      <c r="AA57" s="599"/>
    </row>
    <row r="58" spans="1:27">
      <c r="A58" s="590"/>
      <c r="B58" s="7"/>
      <c r="C58" s="7"/>
      <c r="D58" s="7"/>
      <c r="E58" s="7"/>
      <c r="F58" s="7"/>
      <c r="G58" s="7"/>
      <c r="H58" s="7"/>
      <c r="I58" s="7"/>
      <c r="J58" s="7"/>
      <c r="K58" s="7"/>
      <c r="L58" s="7"/>
      <c r="M58" s="218"/>
      <c r="N58" s="218"/>
      <c r="O58" s="218"/>
      <c r="P58" s="218"/>
      <c r="Q58" s="218"/>
      <c r="R58" s="218"/>
      <c r="S58" s="218"/>
      <c r="T58" s="218"/>
      <c r="U58" s="218"/>
      <c r="V58" s="218"/>
      <c r="W58" s="218"/>
      <c r="X58" s="218"/>
      <c r="Y58" s="218"/>
      <c r="Z58" s="218"/>
      <c r="AA58" s="599"/>
    </row>
    <row r="59" spans="1:27">
      <c r="A59" s="590"/>
      <c r="B59" s="7"/>
      <c r="C59" s="7"/>
      <c r="D59" s="7"/>
      <c r="E59" s="7"/>
      <c r="F59" s="7"/>
      <c r="G59" s="7"/>
      <c r="H59" s="7"/>
      <c r="I59" s="7"/>
      <c r="J59" s="7"/>
      <c r="K59" s="7"/>
      <c r="L59" s="7"/>
      <c r="M59" s="218"/>
      <c r="N59" s="218"/>
      <c r="O59" s="218"/>
      <c r="P59" s="218"/>
      <c r="Q59" s="218"/>
      <c r="R59" s="218"/>
      <c r="S59" s="218"/>
      <c r="T59" s="218"/>
      <c r="U59" s="218"/>
      <c r="V59" s="218"/>
      <c r="W59" s="218"/>
      <c r="X59" s="218"/>
      <c r="Y59" s="218"/>
      <c r="Z59" s="218"/>
      <c r="AA59" s="599"/>
    </row>
    <row r="60" spans="1:27">
      <c r="A60" s="590"/>
      <c r="B60" s="7"/>
      <c r="C60" s="7"/>
      <c r="D60" s="7"/>
      <c r="E60" s="7"/>
      <c r="F60" s="7"/>
      <c r="G60" s="7"/>
      <c r="H60" s="7"/>
      <c r="I60" s="7"/>
      <c r="J60" s="7"/>
      <c r="K60" s="7"/>
      <c r="L60" s="7"/>
      <c r="M60" s="218"/>
      <c r="N60" s="218"/>
      <c r="O60" s="218"/>
      <c r="P60" s="218"/>
      <c r="Q60" s="218"/>
      <c r="R60" s="218"/>
      <c r="S60" s="218"/>
      <c r="T60" s="218"/>
      <c r="U60" s="218"/>
      <c r="V60" s="218"/>
      <c r="W60" s="218"/>
      <c r="X60" s="218"/>
      <c r="Y60" s="218"/>
      <c r="Z60" s="218"/>
      <c r="AA60" s="599"/>
    </row>
    <row r="61" spans="1:27">
      <c r="A61" s="590"/>
      <c r="B61" s="7"/>
      <c r="C61" s="7"/>
      <c r="D61" s="7"/>
      <c r="E61" s="7"/>
      <c r="F61" s="7"/>
      <c r="G61" s="7"/>
      <c r="H61" s="7"/>
      <c r="I61" s="7"/>
      <c r="J61" s="7"/>
      <c r="K61" s="7"/>
      <c r="L61" s="7"/>
      <c r="M61" s="218"/>
      <c r="N61" s="218"/>
      <c r="O61" s="218"/>
      <c r="P61" s="218"/>
      <c r="Q61" s="218"/>
      <c r="R61" s="218"/>
      <c r="S61" s="218"/>
      <c r="T61" s="218"/>
      <c r="U61" s="218"/>
      <c r="V61" s="218"/>
      <c r="W61" s="218"/>
      <c r="X61" s="218"/>
      <c r="Y61" s="218"/>
      <c r="Z61" s="218"/>
      <c r="AA61" s="599"/>
    </row>
    <row r="62" spans="1:27">
      <c r="A62" s="590"/>
      <c r="B62" s="7"/>
      <c r="C62" s="7"/>
      <c r="D62" s="7"/>
      <c r="E62" s="7"/>
      <c r="F62" s="7"/>
      <c r="G62" s="7"/>
      <c r="H62" s="7"/>
      <c r="I62" s="7"/>
      <c r="J62" s="7"/>
      <c r="K62" s="7"/>
      <c r="L62" s="7"/>
      <c r="M62" s="218"/>
      <c r="N62" s="218"/>
      <c r="O62" s="218"/>
      <c r="P62" s="218"/>
      <c r="Q62" s="218"/>
      <c r="R62" s="218"/>
      <c r="S62" s="218"/>
      <c r="T62" s="218"/>
      <c r="U62" s="218"/>
      <c r="V62" s="218"/>
      <c r="W62" s="218"/>
      <c r="X62" s="218"/>
      <c r="Y62" s="218"/>
      <c r="Z62" s="218"/>
      <c r="AA62" s="599"/>
    </row>
    <row r="63" spans="1:27">
      <c r="A63" s="590"/>
      <c r="B63" s="7"/>
      <c r="C63" s="7"/>
      <c r="D63" s="7"/>
      <c r="E63" s="7"/>
      <c r="F63" s="7"/>
      <c r="G63" s="7"/>
      <c r="H63" s="7"/>
      <c r="I63" s="7"/>
      <c r="J63" s="7"/>
      <c r="K63" s="7"/>
      <c r="L63" s="7"/>
      <c r="M63" s="218"/>
      <c r="N63" s="218"/>
      <c r="O63" s="218"/>
      <c r="P63" s="218"/>
      <c r="Q63" s="218"/>
      <c r="R63" s="218"/>
      <c r="S63" s="218"/>
      <c r="T63" s="218"/>
      <c r="U63" s="218"/>
      <c r="V63" s="218"/>
      <c r="W63" s="218"/>
      <c r="X63" s="218"/>
      <c r="Y63" s="218"/>
      <c r="Z63" s="218"/>
      <c r="AA63" s="599"/>
    </row>
    <row r="64" spans="1:27">
      <c r="A64" s="590"/>
      <c r="B64" s="7"/>
      <c r="C64" s="7"/>
      <c r="D64" s="7"/>
      <c r="E64" s="7"/>
      <c r="F64" s="7"/>
      <c r="G64" s="7"/>
      <c r="H64" s="7"/>
      <c r="I64" s="7"/>
      <c r="J64" s="7"/>
      <c r="K64" s="7"/>
      <c r="L64" s="7"/>
      <c r="M64" s="218"/>
      <c r="N64" s="218"/>
      <c r="O64" s="218"/>
      <c r="P64" s="218"/>
      <c r="Q64" s="218"/>
      <c r="R64" s="218"/>
      <c r="S64" s="218"/>
      <c r="T64" s="218"/>
      <c r="U64" s="218"/>
      <c r="V64" s="218"/>
      <c r="W64" s="218"/>
      <c r="X64" s="218"/>
      <c r="Y64" s="218"/>
      <c r="Z64" s="218"/>
      <c r="AA64" s="599"/>
    </row>
    <row r="65" spans="1:27">
      <c r="A65" s="590"/>
      <c r="B65" s="7"/>
      <c r="C65" s="7"/>
      <c r="D65" s="7"/>
      <c r="E65" s="7"/>
      <c r="F65" s="7"/>
      <c r="G65" s="7"/>
      <c r="H65" s="7"/>
      <c r="I65" s="7"/>
      <c r="J65" s="7"/>
      <c r="K65" s="7"/>
      <c r="L65" s="7"/>
      <c r="M65" s="218"/>
      <c r="N65" s="218"/>
      <c r="O65" s="218"/>
      <c r="P65" s="218"/>
      <c r="Q65" s="218"/>
      <c r="R65" s="218"/>
      <c r="S65" s="218"/>
      <c r="T65" s="218"/>
      <c r="U65" s="218"/>
      <c r="V65" s="218"/>
      <c r="W65" s="218"/>
      <c r="X65" s="218"/>
      <c r="Y65" s="218"/>
      <c r="Z65" s="218"/>
      <c r="AA65" s="599"/>
    </row>
    <row r="66" spans="1:27">
      <c r="A66" s="590"/>
      <c r="B66" s="7"/>
      <c r="C66" s="7"/>
      <c r="D66" s="7"/>
      <c r="E66" s="7"/>
      <c r="F66" s="7"/>
      <c r="G66" s="7"/>
      <c r="H66" s="7"/>
      <c r="I66" s="7"/>
      <c r="J66" s="7"/>
      <c r="K66" s="7"/>
      <c r="L66" s="7"/>
      <c r="M66" s="218"/>
      <c r="N66" s="218"/>
      <c r="O66" s="218"/>
      <c r="P66" s="218"/>
      <c r="Q66" s="218"/>
      <c r="R66" s="218"/>
      <c r="S66" s="218"/>
      <c r="T66" s="218"/>
      <c r="U66" s="218"/>
      <c r="V66" s="218"/>
      <c r="W66" s="218"/>
      <c r="X66" s="218"/>
      <c r="Y66" s="218"/>
      <c r="Z66" s="218"/>
      <c r="AA66" s="599"/>
    </row>
    <row r="67" spans="1:27">
      <c r="A67" s="590"/>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599"/>
    </row>
    <row r="68" spans="1:27" ht="13" thickBot="1">
      <c r="A68" s="644"/>
      <c r="B68" s="645"/>
      <c r="C68" s="645"/>
      <c r="D68" s="645"/>
      <c r="E68" s="645"/>
      <c r="F68" s="645"/>
      <c r="G68" s="645"/>
      <c r="H68" s="645"/>
      <c r="I68" s="645"/>
      <c r="J68" s="645"/>
      <c r="K68" s="645"/>
      <c r="L68" s="645"/>
      <c r="M68" s="645"/>
      <c r="N68" s="645"/>
      <c r="O68" s="645"/>
      <c r="P68" s="645"/>
      <c r="Q68" s="645"/>
      <c r="R68" s="645"/>
      <c r="S68" s="645"/>
      <c r="T68" s="645"/>
      <c r="U68" s="645"/>
      <c r="V68" s="645"/>
      <c r="W68" s="645"/>
      <c r="X68" s="645"/>
      <c r="Y68" s="645"/>
      <c r="Z68" s="645"/>
      <c r="AA68" s="646"/>
    </row>
    <row r="69" spans="1:27" ht="13" thickTop="1"/>
    <row r="73" spans="1:27">
      <c r="F73" s="4">
        <v>10000000</v>
      </c>
    </row>
  </sheetData>
  <sheetProtection algorithmName="SHA-512" hashValue="18HWWs3EgLDR4+jXJJMbZwtqaQ+lExlO2BROXdUMp9nAA4ooQKLM6HYPNBVRm9qWGU1zZpWLemA2efD0CaCHmg==" saltValue="8M+DSMyyNti706smZ9l79g==" spinCount="100000" sheet="1" objects="1" scenarios="1"/>
  <mergeCells count="35">
    <mergeCell ref="G6:H6"/>
    <mergeCell ref="G7:H7"/>
    <mergeCell ref="G8:H8"/>
    <mergeCell ref="G2:H2"/>
    <mergeCell ref="G3:H3"/>
    <mergeCell ref="G4:H4"/>
    <mergeCell ref="G5:H5"/>
    <mergeCell ref="G1:J1"/>
    <mergeCell ref="I45:J48"/>
    <mergeCell ref="C25:I25"/>
    <mergeCell ref="K9:L9"/>
    <mergeCell ref="Q13:Z22"/>
    <mergeCell ref="Q25:Z34"/>
    <mergeCell ref="Q38:Z47"/>
    <mergeCell ref="K25:L25"/>
    <mergeCell ref="K13:L13"/>
    <mergeCell ref="C13:I13"/>
    <mergeCell ref="G9:H9"/>
    <mergeCell ref="G10:H10"/>
    <mergeCell ref="K10:L10"/>
    <mergeCell ref="D1:E1"/>
    <mergeCell ref="U8:V8"/>
    <mergeCell ref="K5:L5"/>
    <mergeCell ref="U2:V2"/>
    <mergeCell ref="K6:L6"/>
    <mergeCell ref="K7:L7"/>
    <mergeCell ref="K8:L8"/>
    <mergeCell ref="K2:L2"/>
    <mergeCell ref="K3:L3"/>
    <mergeCell ref="K4:L4"/>
    <mergeCell ref="U7:V7"/>
    <mergeCell ref="U3:V3"/>
    <mergeCell ref="U4:V4"/>
    <mergeCell ref="U5:V5"/>
    <mergeCell ref="U6:V6"/>
  </mergeCells>
  <phoneticPr fontId="0" type="noConversion"/>
  <printOptions horizontalCentered="1"/>
  <pageMargins left="0.75" right="0.75" top="1" bottom="1" header="0.5" footer="0.5"/>
  <pageSetup scale="7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29"/>
  <sheetViews>
    <sheetView workbookViewId="0">
      <selection activeCell="B5" sqref="B5"/>
    </sheetView>
  </sheetViews>
  <sheetFormatPr baseColWidth="10" defaultColWidth="8.83203125" defaultRowHeight="13"/>
  <cols>
    <col min="1" max="2" width="49.5" customWidth="1"/>
    <col min="3" max="3" width="19.1640625" customWidth="1"/>
    <col min="4" max="4" width="28.33203125" customWidth="1"/>
    <col min="23" max="24" width="0" hidden="1" customWidth="1"/>
    <col min="25" max="25" width="17.5" hidden="1" customWidth="1"/>
    <col min="26" max="26" width="13.1640625" hidden="1" customWidth="1"/>
    <col min="27" max="27" width="0" hidden="1" customWidth="1"/>
  </cols>
  <sheetData>
    <row r="1" spans="1:26">
      <c r="A1" s="830" t="str">
        <f>+[7]Cover!D6</f>
        <v>SPC2017RD.a</v>
      </c>
      <c r="B1" s="831">
        <f>+Cover!E9</f>
        <v>0</v>
      </c>
      <c r="C1" s="831"/>
      <c r="D1" s="831"/>
    </row>
    <row r="2" spans="1:26">
      <c r="A2" s="832" t="s">
        <v>1169</v>
      </c>
      <c r="B2" s="831"/>
      <c r="C2" s="831"/>
      <c r="D2" s="831"/>
    </row>
    <row r="3" spans="1:26">
      <c r="A3" s="1201" t="s">
        <v>1170</v>
      </c>
      <c r="B3" s="1203" t="s">
        <v>1171</v>
      </c>
      <c r="C3" s="1205" t="s">
        <v>1172</v>
      </c>
      <c r="D3" s="1207" t="s">
        <v>1173</v>
      </c>
    </row>
    <row r="4" spans="1:26">
      <c r="A4" s="1202"/>
      <c r="B4" s="1204"/>
      <c r="C4" s="1206"/>
      <c r="D4" s="1208"/>
    </row>
    <row r="5" spans="1:26">
      <c r="A5" s="833" t="s">
        <v>1174</v>
      </c>
      <c r="B5" s="874"/>
      <c r="C5" s="835"/>
      <c r="D5" s="836"/>
      <c r="Y5" s="837" t="s">
        <v>1175</v>
      </c>
      <c r="Z5" s="837" t="s">
        <v>1175</v>
      </c>
    </row>
    <row r="6" spans="1:26">
      <c r="A6" s="833" t="s">
        <v>168</v>
      </c>
      <c r="B6" s="834"/>
      <c r="C6" s="835"/>
      <c r="D6" s="836"/>
      <c r="Y6" s="837" t="s">
        <v>1176</v>
      </c>
      <c r="Z6" s="837" t="s">
        <v>1177</v>
      </c>
    </row>
    <row r="7" spans="1:26">
      <c r="A7" s="833" t="s">
        <v>1178</v>
      </c>
      <c r="B7" s="834"/>
      <c r="C7" s="835"/>
      <c r="D7" s="836"/>
      <c r="Y7" s="837" t="s">
        <v>1179</v>
      </c>
      <c r="Z7" s="838"/>
    </row>
    <row r="8" spans="1:26">
      <c r="A8" s="833" t="s">
        <v>1180</v>
      </c>
      <c r="B8" s="834"/>
      <c r="C8" s="835"/>
      <c r="D8" s="836"/>
      <c r="Y8" s="837" t="s">
        <v>1181</v>
      </c>
      <c r="Z8" s="838"/>
    </row>
    <row r="9" spans="1:26">
      <c r="A9" s="833" t="s">
        <v>1182</v>
      </c>
      <c r="B9" s="834"/>
      <c r="C9" s="835"/>
      <c r="D9" s="836"/>
      <c r="Y9" s="837" t="s">
        <v>1183</v>
      </c>
      <c r="Z9" s="838"/>
    </row>
    <row r="10" spans="1:26">
      <c r="A10" s="833" t="s">
        <v>173</v>
      </c>
      <c r="B10" s="834"/>
      <c r="C10" s="835"/>
      <c r="D10" s="836"/>
      <c r="Y10" s="837" t="s">
        <v>1184</v>
      </c>
      <c r="Z10" s="838"/>
    </row>
    <row r="11" spans="1:26">
      <c r="A11" s="833" t="s">
        <v>174</v>
      </c>
      <c r="B11" s="834"/>
      <c r="C11" s="835"/>
      <c r="D11" s="836"/>
      <c r="Y11" s="838"/>
      <c r="Z11" s="838"/>
    </row>
    <row r="12" spans="1:26">
      <c r="A12" s="833" t="s">
        <v>1185</v>
      </c>
      <c r="B12" s="834"/>
      <c r="C12" s="835"/>
      <c r="D12" s="839"/>
      <c r="Y12" s="838"/>
      <c r="Z12" s="838"/>
    </row>
    <row r="13" spans="1:26">
      <c r="A13" s="833" t="s">
        <v>1186</v>
      </c>
      <c r="B13" s="840">
        <f>+Cover!E9</f>
        <v>0</v>
      </c>
      <c r="C13" s="835"/>
      <c r="D13" s="841"/>
      <c r="Y13" s="837" t="s">
        <v>1175</v>
      </c>
      <c r="Z13" s="838"/>
    </row>
    <row r="14" spans="1:26">
      <c r="A14" s="833" t="s">
        <v>1187</v>
      </c>
      <c r="B14" s="840">
        <f>+Cover!E9</f>
        <v>0</v>
      </c>
      <c r="C14" s="835"/>
      <c r="D14" s="842"/>
      <c r="Y14" s="837" t="s">
        <v>1176</v>
      </c>
      <c r="Z14" s="838"/>
    </row>
    <row r="15" spans="1:26">
      <c r="A15" s="833" t="s">
        <v>39</v>
      </c>
      <c r="B15" s="834"/>
      <c r="C15" s="835"/>
      <c r="D15" s="842"/>
      <c r="Y15" s="837" t="s">
        <v>1179</v>
      </c>
      <c r="Z15" s="838"/>
    </row>
    <row r="16" spans="1:26">
      <c r="A16" s="1209" t="s">
        <v>1188</v>
      </c>
      <c r="B16" s="1210"/>
      <c r="C16" s="1210"/>
      <c r="D16" s="1210"/>
      <c r="Y16" s="837" t="s">
        <v>1189</v>
      </c>
      <c r="Z16" s="838"/>
    </row>
    <row r="17" spans="1:26">
      <c r="A17" s="1211"/>
      <c r="B17" s="1211"/>
      <c r="C17" s="1211"/>
      <c r="D17" s="1211"/>
      <c r="Y17" s="838"/>
      <c r="Z17" s="838"/>
    </row>
    <row r="18" spans="1:26">
      <c r="A18" s="1211"/>
      <c r="B18" s="1211"/>
      <c r="C18" s="1211"/>
      <c r="D18" s="1211"/>
      <c r="Y18" s="837" t="s">
        <v>1175</v>
      </c>
      <c r="Z18" s="838"/>
    </row>
    <row r="19" spans="1:26">
      <c r="A19" s="1211"/>
      <c r="B19" s="1211"/>
      <c r="C19" s="1211"/>
      <c r="D19" s="1211"/>
      <c r="Y19" s="837" t="s">
        <v>1189</v>
      </c>
      <c r="Z19" s="838"/>
    </row>
    <row r="20" spans="1:26">
      <c r="A20" s="1211"/>
      <c r="B20" s="1211"/>
      <c r="C20" s="1211"/>
      <c r="D20" s="1211"/>
      <c r="Y20" s="838"/>
      <c r="Z20" s="838"/>
    </row>
    <row r="21" spans="1:26">
      <c r="A21" s="1211"/>
      <c r="B21" s="1211"/>
      <c r="C21" s="1211"/>
      <c r="D21" s="1211"/>
      <c r="Y21" s="837" t="s">
        <v>1175</v>
      </c>
      <c r="Z21" s="838"/>
    </row>
    <row r="22" spans="1:26">
      <c r="A22" s="1211"/>
      <c r="B22" s="1211"/>
      <c r="C22" s="1211"/>
      <c r="D22" s="1211"/>
      <c r="Y22" s="837" t="s">
        <v>1176</v>
      </c>
      <c r="Z22" s="838"/>
    </row>
    <row r="23" spans="1:26">
      <c r="A23" s="1211"/>
      <c r="B23" s="1211"/>
      <c r="C23" s="1211"/>
      <c r="D23" s="1211"/>
      <c r="Y23" s="837" t="s">
        <v>1179</v>
      </c>
      <c r="Z23" s="838"/>
    </row>
    <row r="24" spans="1:26">
      <c r="A24" s="1211"/>
      <c r="B24" s="1211"/>
      <c r="C24" s="1211"/>
      <c r="D24" s="1211"/>
      <c r="Y24" s="837" t="s">
        <v>1189</v>
      </c>
      <c r="Z24" s="838"/>
    </row>
    <row r="25" spans="1:26">
      <c r="A25" s="1211"/>
      <c r="B25" s="1211"/>
      <c r="C25" s="1211"/>
      <c r="D25" s="1211"/>
      <c r="Y25" s="837" t="s">
        <v>1184</v>
      </c>
      <c r="Z25" s="838"/>
    </row>
    <row r="26" spans="1:26">
      <c r="A26" s="1211"/>
      <c r="B26" s="1211"/>
      <c r="C26" s="1211"/>
      <c r="D26" s="1211"/>
    </row>
    <row r="27" spans="1:26">
      <c r="A27" s="1211"/>
      <c r="B27" s="1211"/>
      <c r="C27" s="1211"/>
      <c r="D27" s="1211"/>
    </row>
    <row r="28" spans="1:26">
      <c r="A28" s="1211"/>
      <c r="B28" s="1211"/>
      <c r="C28" s="1211"/>
      <c r="D28" s="1211"/>
    </row>
    <row r="29" spans="1:26">
      <c r="A29" s="1211"/>
      <c r="B29" s="1211"/>
      <c r="C29" s="1211"/>
      <c r="D29" s="1211"/>
    </row>
  </sheetData>
  <sheetProtection algorithmName="SHA-512" hashValue="IRqgP2CJyvccD8ffLz1kG6IEHUaSeK6NhVY0c97XW8Xe8iBfFOD2gXsLj4K20eBCSFNPGXqn4dbLGsvD9Izk6g==" saltValue="S7WwV9oI0RYLBBZgnJoZPg==" spinCount="100000" sheet="1" objects="1" scenarios="1"/>
  <mergeCells count="5">
    <mergeCell ref="A3:A4"/>
    <mergeCell ref="B3:B4"/>
    <mergeCell ref="C3:C4"/>
    <mergeCell ref="D3:D4"/>
    <mergeCell ref="A16:D29"/>
  </mergeCells>
  <dataValidations count="5">
    <dataValidation type="list" allowBlank="1" showInputMessage="1" showErrorMessage="1" sqref="C9" xr:uid="{00000000-0002-0000-0700-000000000000}">
      <formula1>$Y$20:$Y$25</formula1>
    </dataValidation>
    <dataValidation type="list" allowBlank="1" showInputMessage="1" showErrorMessage="1" sqref="C7:C8" xr:uid="{00000000-0002-0000-0700-000001000000}">
      <formula1>$Y$17:$Y$19</formula1>
    </dataValidation>
    <dataValidation type="list" allowBlank="1" showInputMessage="1" showErrorMessage="1" sqref="C6" xr:uid="{00000000-0002-0000-0700-000002000000}">
      <formula1>$Y$12:$Y$16</formula1>
    </dataValidation>
    <dataValidation type="list" allowBlank="1" showInputMessage="1" showErrorMessage="1" sqref="C10:C15" xr:uid="{00000000-0002-0000-0700-000003000000}">
      <formula1>$Z$4:$Z$6</formula1>
    </dataValidation>
    <dataValidation type="list" allowBlank="1" showInputMessage="1" showErrorMessage="1" sqref="C5" xr:uid="{00000000-0002-0000-0700-000004000000}">
      <formula1>$Y$4:$Y$10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1"/>
  <sheetViews>
    <sheetView topLeftCell="A7" workbookViewId="0">
      <selection activeCell="C13" sqref="C13"/>
    </sheetView>
  </sheetViews>
  <sheetFormatPr baseColWidth="10" defaultColWidth="8.83203125" defaultRowHeight="13"/>
  <cols>
    <col min="1" max="1" width="2.83203125" customWidth="1"/>
    <col min="2" max="2" width="16.83203125" customWidth="1"/>
    <col min="3" max="3" width="27.1640625" customWidth="1"/>
    <col min="4" max="4" width="21.5" customWidth="1"/>
    <col min="5" max="5" width="16.33203125" customWidth="1"/>
    <col min="6" max="6" width="15.1640625" customWidth="1"/>
    <col min="7" max="7" width="16.5" customWidth="1"/>
    <col min="8" max="8" width="55.33203125" customWidth="1"/>
  </cols>
  <sheetData>
    <row r="1" spans="1:15" ht="14" thickBot="1">
      <c r="A1" s="1214"/>
      <c r="B1" s="648"/>
      <c r="C1" s="649"/>
      <c r="D1" s="647"/>
      <c r="E1" s="647"/>
      <c r="F1" s="647"/>
      <c r="G1" s="647"/>
      <c r="H1" s="647"/>
      <c r="I1" s="647"/>
      <c r="J1" s="647"/>
      <c r="K1" s="647"/>
      <c r="L1" s="647"/>
      <c r="M1" s="647"/>
      <c r="N1" s="647"/>
      <c r="O1" s="647"/>
    </row>
    <row r="2" spans="1:15" ht="14" thickBot="1">
      <c r="A2" s="1214"/>
      <c r="B2" s="1212" t="s">
        <v>870</v>
      </c>
      <c r="C2" s="1213"/>
      <c r="D2" s="1220">
        <f>+Cover!E9</f>
        <v>0</v>
      </c>
      <c r="E2" s="1221"/>
      <c r="F2" s="1221"/>
      <c r="G2" s="1221"/>
      <c r="H2" s="647"/>
      <c r="I2" s="647"/>
      <c r="J2" s="647"/>
      <c r="K2" s="647"/>
      <c r="L2" s="647"/>
      <c r="M2" s="647"/>
      <c r="N2" s="647"/>
      <c r="O2" s="647"/>
    </row>
    <row r="3" spans="1:15" ht="25.5" customHeight="1" thickBot="1">
      <c r="A3" s="1214"/>
      <c r="B3" s="1233">
        <f>+Cover!D6</f>
        <v>91818</v>
      </c>
      <c r="C3" s="307"/>
      <c r="D3" s="1231" t="s">
        <v>475</v>
      </c>
      <c r="E3" s="1235" t="s">
        <v>563</v>
      </c>
      <c r="F3" s="1236"/>
      <c r="G3" s="1237"/>
      <c r="H3" s="308"/>
      <c r="I3" s="1214"/>
      <c r="J3" s="1214"/>
      <c r="K3" s="1214"/>
      <c r="L3" s="1214"/>
      <c r="M3" s="1214"/>
      <c r="N3" s="1214"/>
      <c r="O3" s="1214"/>
    </row>
    <row r="4" spans="1:15" ht="14" thickBot="1">
      <c r="A4" s="1214"/>
      <c r="B4" s="1234"/>
      <c r="C4" s="309" t="s">
        <v>162</v>
      </c>
      <c r="D4" s="1232"/>
      <c r="E4" s="310" t="s">
        <v>559</v>
      </c>
      <c r="F4" s="311" t="s">
        <v>560</v>
      </c>
      <c r="G4" s="312" t="s">
        <v>561</v>
      </c>
      <c r="H4" s="313" t="s">
        <v>562</v>
      </c>
      <c r="I4" s="1214"/>
      <c r="J4" s="1214"/>
      <c r="K4" s="1214"/>
      <c r="L4" s="1214"/>
      <c r="M4" s="1214"/>
      <c r="N4" s="1214"/>
      <c r="O4" s="1214"/>
    </row>
    <row r="5" spans="1:15" ht="54.75" customHeight="1">
      <c r="A5" s="1215"/>
      <c r="B5" s="314">
        <v>1</v>
      </c>
      <c r="C5" s="315" t="s">
        <v>564</v>
      </c>
      <c r="D5" s="126">
        <v>0</v>
      </c>
      <c r="E5" s="127">
        <v>0</v>
      </c>
      <c r="F5" s="127">
        <v>0</v>
      </c>
      <c r="G5" s="127">
        <v>0</v>
      </c>
      <c r="H5" s="128"/>
      <c r="I5" s="1214"/>
      <c r="J5" s="1214"/>
      <c r="K5" s="1214"/>
      <c r="L5" s="1214"/>
      <c r="M5" s="1214"/>
      <c r="N5" s="1214"/>
      <c r="O5" s="1214"/>
    </row>
    <row r="6" spans="1:15" ht="72.75" customHeight="1">
      <c r="A6" s="1215"/>
      <c r="B6" s="316">
        <v>2</v>
      </c>
      <c r="C6" s="317" t="s">
        <v>664</v>
      </c>
      <c r="D6" s="129">
        <v>0</v>
      </c>
      <c r="E6" s="130">
        <v>0</v>
      </c>
      <c r="F6" s="130">
        <v>0</v>
      </c>
      <c r="G6" s="130">
        <v>0</v>
      </c>
      <c r="H6" s="778"/>
      <c r="I6" s="1214"/>
      <c r="J6" s="1214"/>
      <c r="K6" s="1214"/>
      <c r="L6" s="1214"/>
      <c r="M6" s="1214"/>
      <c r="N6" s="1214"/>
      <c r="O6" s="1214"/>
    </row>
    <row r="7" spans="1:15" ht="54.75" customHeight="1">
      <c r="A7" s="1215"/>
      <c r="B7" s="316">
        <v>3</v>
      </c>
      <c r="C7" s="318" t="s">
        <v>667</v>
      </c>
      <c r="D7" s="129">
        <v>0</v>
      </c>
      <c r="E7" s="130">
        <v>0</v>
      </c>
      <c r="F7" s="130">
        <v>0</v>
      </c>
      <c r="G7" s="130">
        <v>0</v>
      </c>
      <c r="H7" s="131"/>
      <c r="I7" s="1214"/>
      <c r="J7" s="1214"/>
      <c r="K7" s="1214"/>
      <c r="L7" s="1214"/>
      <c r="M7" s="1214"/>
      <c r="N7" s="1214"/>
      <c r="O7" s="1214"/>
    </row>
    <row r="8" spans="1:15" ht="67.5" customHeight="1">
      <c r="A8" s="1215"/>
      <c r="B8" s="316">
        <v>4</v>
      </c>
      <c r="C8" s="318" t="s">
        <v>662</v>
      </c>
      <c r="D8" s="129">
        <v>0</v>
      </c>
      <c r="E8" s="130">
        <v>0</v>
      </c>
      <c r="F8" s="130">
        <v>0</v>
      </c>
      <c r="G8" s="130">
        <v>0</v>
      </c>
      <c r="H8" s="131"/>
      <c r="I8" s="1214"/>
      <c r="J8" s="1214"/>
      <c r="K8" s="1214"/>
      <c r="L8" s="1214"/>
      <c r="M8" s="1214"/>
      <c r="N8" s="1214"/>
      <c r="O8" s="1214"/>
    </row>
    <row r="9" spans="1:15" ht="68.25" customHeight="1">
      <c r="A9" s="1215"/>
      <c r="B9" s="316">
        <v>5</v>
      </c>
      <c r="C9" s="318" t="s">
        <v>663</v>
      </c>
      <c r="D9" s="129">
        <v>0</v>
      </c>
      <c r="E9" s="130">
        <v>0</v>
      </c>
      <c r="F9" s="130">
        <v>0</v>
      </c>
      <c r="G9" s="130">
        <v>0</v>
      </c>
      <c r="H9" s="131"/>
      <c r="I9" s="1214"/>
      <c r="J9" s="1214"/>
      <c r="K9" s="1214"/>
      <c r="L9" s="1214"/>
      <c r="M9" s="1214"/>
      <c r="N9" s="1214"/>
      <c r="O9" s="1214"/>
    </row>
    <row r="10" spans="1:15" ht="64.5" customHeight="1">
      <c r="A10" s="1215"/>
      <c r="B10" s="316">
        <v>6</v>
      </c>
      <c r="C10" s="318" t="s">
        <v>665</v>
      </c>
      <c r="D10" s="129">
        <v>0</v>
      </c>
      <c r="E10" s="130">
        <v>0</v>
      </c>
      <c r="F10" s="130">
        <v>0</v>
      </c>
      <c r="G10" s="130">
        <v>0</v>
      </c>
      <c r="H10" s="131"/>
      <c r="I10" s="1214"/>
      <c r="J10" s="1214"/>
      <c r="K10" s="1214"/>
      <c r="L10" s="1214"/>
      <c r="M10" s="1214"/>
      <c r="N10" s="1214"/>
      <c r="O10" s="1214"/>
    </row>
    <row r="11" spans="1:15" ht="68.25" customHeight="1">
      <c r="A11" s="1215"/>
      <c r="B11" s="316">
        <v>7</v>
      </c>
      <c r="C11" s="318" t="s">
        <v>1199</v>
      </c>
      <c r="D11" s="129">
        <v>0</v>
      </c>
      <c r="E11" s="130">
        <v>0</v>
      </c>
      <c r="F11" s="130">
        <v>0</v>
      </c>
      <c r="G11" s="130">
        <v>0</v>
      </c>
      <c r="H11" s="131"/>
      <c r="I11" s="1214"/>
      <c r="J11" s="1214"/>
      <c r="K11" s="1214"/>
      <c r="L11" s="1214"/>
      <c r="M11" s="1214"/>
      <c r="N11" s="1214"/>
      <c r="O11" s="1214"/>
    </row>
    <row r="12" spans="1:15" ht="68.25" customHeight="1">
      <c r="A12" s="1215"/>
      <c r="B12" s="319">
        <v>8</v>
      </c>
      <c r="C12" s="318" t="s">
        <v>666</v>
      </c>
      <c r="D12" s="129">
        <v>0</v>
      </c>
      <c r="E12" s="132">
        <v>0</v>
      </c>
      <c r="F12" s="132">
        <v>0</v>
      </c>
      <c r="G12" s="132">
        <v>0</v>
      </c>
      <c r="H12" s="133"/>
      <c r="I12" s="1214"/>
      <c r="J12" s="1214"/>
      <c r="K12" s="1214"/>
      <c r="L12" s="1214"/>
      <c r="M12" s="1214"/>
      <c r="N12" s="1214"/>
      <c r="O12" s="1214"/>
    </row>
    <row r="13" spans="1:15" ht="68.25" customHeight="1">
      <c r="A13" s="1215"/>
      <c r="B13" s="319">
        <v>9</v>
      </c>
      <c r="C13" s="320">
        <f>+'Loan Information'!E3</f>
        <v>0</v>
      </c>
      <c r="D13" s="180">
        <f>+'Loan Information'!E4</f>
        <v>0</v>
      </c>
      <c r="E13" s="132">
        <v>0</v>
      </c>
      <c r="F13" s="132">
        <v>0</v>
      </c>
      <c r="G13" s="132">
        <v>0</v>
      </c>
      <c r="H13" s="133"/>
      <c r="I13" s="1214"/>
      <c r="J13" s="1214"/>
      <c r="K13" s="1214"/>
      <c r="L13" s="1214"/>
      <c r="M13" s="1214"/>
      <c r="N13" s="1214"/>
      <c r="O13" s="1214"/>
    </row>
    <row r="14" spans="1:15" ht="68.25" customHeight="1">
      <c r="A14" s="1215"/>
      <c r="B14" s="319">
        <v>10</v>
      </c>
      <c r="C14" s="321">
        <f>+'Loan Information'!E20</f>
        <v>0</v>
      </c>
      <c r="D14" s="180">
        <f>+'Loan Information'!E21</f>
        <v>0</v>
      </c>
      <c r="E14" s="132">
        <v>0</v>
      </c>
      <c r="F14" s="132">
        <v>0</v>
      </c>
      <c r="G14" s="132">
        <v>0</v>
      </c>
      <c r="H14" s="133"/>
      <c r="I14" s="1214"/>
      <c r="J14" s="1214"/>
      <c r="K14" s="1214"/>
      <c r="L14" s="1214"/>
      <c r="M14" s="1214"/>
      <c r="N14" s="1214"/>
      <c r="O14" s="1214"/>
    </row>
    <row r="15" spans="1:15" ht="68.25" customHeight="1">
      <c r="A15" s="1215"/>
      <c r="B15" s="319">
        <v>11</v>
      </c>
      <c r="C15" s="135" t="s">
        <v>39</v>
      </c>
      <c r="D15" s="129"/>
      <c r="E15" s="771"/>
      <c r="F15" s="771"/>
      <c r="G15" s="771"/>
      <c r="H15" s="779"/>
      <c r="I15" s="1214"/>
      <c r="J15" s="1214"/>
      <c r="K15" s="1214"/>
      <c r="L15" s="1214"/>
      <c r="M15" s="1214"/>
      <c r="N15" s="1214"/>
      <c r="O15" s="1214"/>
    </row>
    <row r="16" spans="1:15" ht="68.25" customHeight="1">
      <c r="A16" s="1215"/>
      <c r="B16" s="319">
        <v>12</v>
      </c>
      <c r="C16" s="135" t="s">
        <v>39</v>
      </c>
      <c r="D16" s="129"/>
      <c r="E16" s="771"/>
      <c r="F16" s="771"/>
      <c r="G16" s="771"/>
      <c r="H16" s="779"/>
      <c r="I16" s="1214"/>
      <c r="J16" s="1214"/>
      <c r="K16" s="1214"/>
      <c r="L16" s="1214"/>
      <c r="M16" s="1214"/>
      <c r="N16" s="1214"/>
      <c r="O16" s="1214"/>
    </row>
    <row r="17" spans="1:15" ht="68.25" customHeight="1">
      <c r="A17" s="1215"/>
      <c r="B17" s="319">
        <v>13</v>
      </c>
      <c r="C17" s="135" t="s">
        <v>39</v>
      </c>
      <c r="D17" s="129"/>
      <c r="E17" s="771"/>
      <c r="F17" s="771"/>
      <c r="G17" s="771"/>
      <c r="H17" s="133"/>
      <c r="I17" s="1214"/>
      <c r="J17" s="1214"/>
      <c r="K17" s="1214"/>
      <c r="L17" s="1214"/>
      <c r="M17" s="1214"/>
      <c r="N17" s="1214"/>
      <c r="O17" s="1214"/>
    </row>
    <row r="18" spans="1:15" ht="68.25" customHeight="1">
      <c r="A18" s="1215"/>
      <c r="B18" s="319">
        <v>14</v>
      </c>
      <c r="C18" s="135" t="s">
        <v>39</v>
      </c>
      <c r="D18" s="129"/>
      <c r="E18" s="771"/>
      <c r="F18" s="771"/>
      <c r="G18" s="771"/>
      <c r="H18" s="133"/>
      <c r="I18" s="1214"/>
      <c r="J18" s="1214"/>
      <c r="K18" s="1214"/>
      <c r="L18" s="1214"/>
      <c r="M18" s="1214"/>
      <c r="N18" s="1214"/>
      <c r="O18" s="1214"/>
    </row>
    <row r="19" spans="1:15" ht="102" customHeight="1" thickBot="1">
      <c r="A19" s="1215"/>
      <c r="B19" s="322">
        <v>15</v>
      </c>
      <c r="C19" s="136" t="s">
        <v>39</v>
      </c>
      <c r="D19" s="129"/>
      <c r="E19" s="772"/>
      <c r="F19" s="772"/>
      <c r="G19" s="772"/>
      <c r="H19" s="134"/>
      <c r="I19" s="1214"/>
      <c r="J19" s="1214"/>
      <c r="K19" s="1214"/>
      <c r="L19" s="1214"/>
      <c r="M19" s="1214"/>
      <c r="N19" s="1214"/>
      <c r="O19" s="1214"/>
    </row>
    <row r="20" spans="1:15">
      <c r="A20" s="1215"/>
      <c r="B20" s="323"/>
      <c r="C20" s="307" t="s">
        <v>64</v>
      </c>
      <c r="D20" s="1216">
        <f>SUM(D5:D19)</f>
        <v>0</v>
      </c>
      <c r="E20" s="1218">
        <f>SUM(E5:E19)</f>
        <v>0</v>
      </c>
      <c r="F20" s="1218">
        <f>SUM(F5:F19)</f>
        <v>0</v>
      </c>
      <c r="G20" s="1218">
        <f>SUM(G5:G19)</f>
        <v>0</v>
      </c>
      <c r="H20" s="502"/>
      <c r="I20" s="1214"/>
      <c r="J20" s="1214"/>
      <c r="K20" s="1214"/>
      <c r="L20" s="1214"/>
      <c r="M20" s="1214"/>
      <c r="N20" s="1214"/>
      <c r="O20" s="1214"/>
    </row>
    <row r="21" spans="1:15" ht="14" thickBot="1">
      <c r="A21" s="1215"/>
      <c r="B21" s="324"/>
      <c r="C21" s="325"/>
      <c r="D21" s="1217"/>
      <c r="E21" s="1219"/>
      <c r="F21" s="1219"/>
      <c r="G21" s="1219"/>
      <c r="H21" s="503"/>
      <c r="I21" s="1214"/>
      <c r="J21" s="1214"/>
      <c r="K21" s="1214"/>
      <c r="L21" s="1214"/>
      <c r="M21" s="1214"/>
      <c r="N21" s="1214"/>
      <c r="O21" s="1214"/>
    </row>
    <row r="22" spans="1:15">
      <c r="A22" s="1215"/>
      <c r="B22" s="93"/>
      <c r="C22" s="21" t="s">
        <v>476</v>
      </c>
      <c r="D22" s="21"/>
      <c r="E22" s="21"/>
      <c r="F22" s="21"/>
      <c r="G22" s="21"/>
      <c r="H22" s="21"/>
      <c r="I22" s="1214"/>
      <c r="J22" s="1214"/>
      <c r="K22" s="1214"/>
      <c r="L22" s="1214"/>
      <c r="M22" s="1214"/>
      <c r="N22" s="1214"/>
      <c r="O22" s="1214"/>
    </row>
    <row r="23" spans="1:15">
      <c r="A23" s="1215"/>
      <c r="B23" s="1222" t="s">
        <v>562</v>
      </c>
      <c r="C23" s="1223"/>
      <c r="D23" s="1223"/>
      <c r="E23" s="1223"/>
      <c r="F23" s="1223"/>
      <c r="G23" s="1223"/>
      <c r="H23" s="1224"/>
      <c r="I23" s="1214"/>
      <c r="J23" s="1214"/>
      <c r="K23" s="1214"/>
      <c r="L23" s="1214"/>
      <c r="M23" s="1214"/>
      <c r="N23" s="1214"/>
      <c r="O23" s="1214"/>
    </row>
    <row r="24" spans="1:15">
      <c r="A24" s="1215"/>
      <c r="B24" s="1225"/>
      <c r="C24" s="1226"/>
      <c r="D24" s="1226"/>
      <c r="E24" s="1226"/>
      <c r="F24" s="1226"/>
      <c r="G24" s="1226"/>
      <c r="H24" s="1227"/>
      <c r="I24" s="1214"/>
      <c r="J24" s="1214"/>
      <c r="K24" s="1214"/>
      <c r="L24" s="1214"/>
      <c r="M24" s="1214"/>
      <c r="N24" s="1214"/>
      <c r="O24" s="1214"/>
    </row>
    <row r="25" spans="1:15">
      <c r="A25" s="1215"/>
      <c r="B25" s="1225"/>
      <c r="C25" s="1226"/>
      <c r="D25" s="1226"/>
      <c r="E25" s="1226"/>
      <c r="F25" s="1226"/>
      <c r="G25" s="1226"/>
      <c r="H25" s="1227"/>
      <c r="I25" s="1214"/>
      <c r="J25" s="1214"/>
      <c r="K25" s="1214"/>
      <c r="L25" s="1214"/>
      <c r="M25" s="1214"/>
      <c r="N25" s="1214"/>
      <c r="O25" s="1214"/>
    </row>
    <row r="26" spans="1:15">
      <c r="A26" s="1215"/>
      <c r="B26" s="1225"/>
      <c r="C26" s="1226"/>
      <c r="D26" s="1226"/>
      <c r="E26" s="1226"/>
      <c r="F26" s="1226"/>
      <c r="G26" s="1226"/>
      <c r="H26" s="1227"/>
      <c r="I26" s="1214"/>
      <c r="J26" s="1214"/>
      <c r="K26" s="1214"/>
      <c r="L26" s="1214"/>
      <c r="M26" s="1214"/>
      <c r="N26" s="1214"/>
      <c r="O26" s="1214"/>
    </row>
    <row r="27" spans="1:15">
      <c r="A27" s="1215"/>
      <c r="B27" s="1225"/>
      <c r="C27" s="1226"/>
      <c r="D27" s="1226"/>
      <c r="E27" s="1226"/>
      <c r="F27" s="1226"/>
      <c r="G27" s="1226"/>
      <c r="H27" s="1227"/>
      <c r="I27" s="1214"/>
      <c r="J27" s="1214"/>
      <c r="K27" s="1214"/>
      <c r="L27" s="1214"/>
      <c r="M27" s="1214"/>
      <c r="N27" s="1214"/>
      <c r="O27" s="1214"/>
    </row>
    <row r="28" spans="1:15">
      <c r="A28" s="1215"/>
      <c r="B28" s="1225"/>
      <c r="C28" s="1226"/>
      <c r="D28" s="1226"/>
      <c r="E28" s="1226"/>
      <c r="F28" s="1226"/>
      <c r="G28" s="1226"/>
      <c r="H28" s="1227"/>
      <c r="I28" s="1214"/>
      <c r="J28" s="1214"/>
      <c r="K28" s="1214"/>
      <c r="L28" s="1214"/>
      <c r="M28" s="1214"/>
      <c r="N28" s="1214"/>
      <c r="O28" s="1214"/>
    </row>
    <row r="29" spans="1:15">
      <c r="A29" s="1215"/>
      <c r="B29" s="1225"/>
      <c r="C29" s="1226"/>
      <c r="D29" s="1226"/>
      <c r="E29" s="1226"/>
      <c r="F29" s="1226"/>
      <c r="G29" s="1226"/>
      <c r="H29" s="1227"/>
      <c r="I29" s="1214"/>
      <c r="J29" s="1214"/>
      <c r="K29" s="1214"/>
      <c r="L29" s="1214"/>
      <c r="M29" s="1214"/>
      <c r="N29" s="1214"/>
      <c r="O29" s="1214"/>
    </row>
    <row r="30" spans="1:15">
      <c r="A30" s="1215"/>
      <c r="B30" s="1225"/>
      <c r="C30" s="1226"/>
      <c r="D30" s="1226"/>
      <c r="E30" s="1226"/>
      <c r="F30" s="1226"/>
      <c r="G30" s="1226"/>
      <c r="H30" s="1227"/>
      <c r="I30" s="1214"/>
      <c r="J30" s="1214"/>
      <c r="K30" s="1214"/>
      <c r="L30" s="1214"/>
      <c r="M30" s="1214"/>
      <c r="N30" s="1214"/>
      <c r="O30" s="1214"/>
    </row>
    <row r="31" spans="1:15">
      <c r="A31" s="1215"/>
      <c r="B31" s="1225"/>
      <c r="C31" s="1226"/>
      <c r="D31" s="1226"/>
      <c r="E31" s="1226"/>
      <c r="F31" s="1226"/>
      <c r="G31" s="1226"/>
      <c r="H31" s="1227"/>
      <c r="I31" s="1214"/>
      <c r="J31" s="1214"/>
      <c r="K31" s="1214"/>
      <c r="L31" s="1214"/>
      <c r="M31" s="1214"/>
      <c r="N31" s="1214"/>
      <c r="O31" s="1214"/>
    </row>
    <row r="32" spans="1:15">
      <c r="A32" s="1215"/>
      <c r="B32" s="1225"/>
      <c r="C32" s="1226"/>
      <c r="D32" s="1226"/>
      <c r="E32" s="1226"/>
      <c r="F32" s="1226"/>
      <c r="G32" s="1226"/>
      <c r="H32" s="1227"/>
      <c r="I32" s="1214"/>
      <c r="J32" s="1214"/>
      <c r="K32" s="1214"/>
      <c r="L32" s="1214"/>
      <c r="M32" s="1214"/>
      <c r="N32" s="1214"/>
      <c r="O32" s="1214"/>
    </row>
    <row r="33" spans="1:15">
      <c r="A33" s="1215"/>
      <c r="B33" s="1225"/>
      <c r="C33" s="1226"/>
      <c r="D33" s="1226"/>
      <c r="E33" s="1226"/>
      <c r="F33" s="1226"/>
      <c r="G33" s="1226"/>
      <c r="H33" s="1227"/>
      <c r="I33" s="1214"/>
      <c r="J33" s="1214"/>
      <c r="K33" s="1214"/>
      <c r="L33" s="1214"/>
      <c r="M33" s="1214"/>
      <c r="N33" s="1214"/>
      <c r="O33" s="1214"/>
    </row>
    <row r="34" spans="1:15">
      <c r="A34" s="1215"/>
      <c r="B34" s="1225"/>
      <c r="C34" s="1226"/>
      <c r="D34" s="1226"/>
      <c r="E34" s="1226"/>
      <c r="F34" s="1226"/>
      <c r="G34" s="1226"/>
      <c r="H34" s="1227"/>
      <c r="I34" s="1214"/>
      <c r="J34" s="1214"/>
      <c r="K34" s="1214"/>
      <c r="L34" s="1214"/>
      <c r="M34" s="1214"/>
      <c r="N34" s="1214"/>
      <c r="O34" s="1214"/>
    </row>
    <row r="35" spans="1:15">
      <c r="A35" s="1215"/>
      <c r="B35" s="1225"/>
      <c r="C35" s="1226"/>
      <c r="D35" s="1226"/>
      <c r="E35" s="1226"/>
      <c r="F35" s="1226"/>
      <c r="G35" s="1226"/>
      <c r="H35" s="1227"/>
      <c r="I35" s="1214"/>
      <c r="J35" s="1214"/>
      <c r="K35" s="1214"/>
      <c r="L35" s="1214"/>
      <c r="M35" s="1214"/>
      <c r="N35" s="1214"/>
      <c r="O35" s="1214"/>
    </row>
    <row r="36" spans="1:15">
      <c r="A36" s="1215"/>
      <c r="B36" s="1225"/>
      <c r="C36" s="1226"/>
      <c r="D36" s="1226"/>
      <c r="E36" s="1226"/>
      <c r="F36" s="1226"/>
      <c r="G36" s="1226"/>
      <c r="H36" s="1227"/>
      <c r="I36" s="1214"/>
      <c r="J36" s="1214"/>
      <c r="K36" s="1214"/>
      <c r="L36" s="1214"/>
      <c r="M36" s="1214"/>
      <c r="N36" s="1214"/>
      <c r="O36" s="1214"/>
    </row>
    <row r="37" spans="1:15">
      <c r="A37" s="1215"/>
      <c r="B37" s="1225"/>
      <c r="C37" s="1226"/>
      <c r="D37" s="1226"/>
      <c r="E37" s="1226"/>
      <c r="F37" s="1226"/>
      <c r="G37" s="1226"/>
      <c r="H37" s="1227"/>
      <c r="I37" s="1214"/>
      <c r="J37" s="1214"/>
      <c r="K37" s="1214"/>
      <c r="L37" s="1214"/>
      <c r="M37" s="1214"/>
      <c r="N37" s="1214"/>
      <c r="O37" s="1214"/>
    </row>
    <row r="38" spans="1:15">
      <c r="A38" s="1215"/>
      <c r="B38" s="1225"/>
      <c r="C38" s="1226"/>
      <c r="D38" s="1226"/>
      <c r="E38" s="1226"/>
      <c r="F38" s="1226"/>
      <c r="G38" s="1226"/>
      <c r="H38" s="1227"/>
      <c r="I38" s="1214"/>
      <c r="J38" s="1214"/>
      <c r="K38" s="1214"/>
      <c r="L38" s="1214"/>
      <c r="M38" s="1214"/>
      <c r="N38" s="1214"/>
      <c r="O38" s="1214"/>
    </row>
    <row r="39" spans="1:15">
      <c r="A39" s="1215"/>
      <c r="B39" s="1225"/>
      <c r="C39" s="1226"/>
      <c r="D39" s="1226"/>
      <c r="E39" s="1226"/>
      <c r="F39" s="1226"/>
      <c r="G39" s="1226"/>
      <c r="H39" s="1227"/>
      <c r="I39" s="1214"/>
      <c r="J39" s="1214"/>
      <c r="K39" s="1214"/>
      <c r="L39" s="1214"/>
      <c r="M39" s="1214"/>
      <c r="N39" s="1214"/>
      <c r="O39" s="1214"/>
    </row>
    <row r="40" spans="1:15" ht="14" thickBot="1">
      <c r="A40" s="1215"/>
      <c r="B40" s="1228"/>
      <c r="C40" s="1229"/>
      <c r="D40" s="1229"/>
      <c r="E40" s="1229"/>
      <c r="F40" s="1229"/>
      <c r="G40" s="1229"/>
      <c r="H40" s="1230"/>
      <c r="I40" s="1214"/>
      <c r="J40" s="1214"/>
      <c r="K40" s="1214"/>
      <c r="L40" s="1214"/>
      <c r="M40" s="1214"/>
      <c r="N40" s="1214"/>
      <c r="O40" s="1214"/>
    </row>
    <row r="41" spans="1:15" ht="14" thickTop="1"/>
  </sheetData>
  <sheetProtection algorithmName="SHA-512" hashValue="Mp/eDQLFXgrfXJDY0dOCMkfj+H62XEdBy8VnrOFDMMIPp6HakknCc/JhBFv80oX/JKk/dLw4LpY9do+NDr4xUQ==" saltValue="ubU/7kCORIkEOBn8GBZt5w==" spinCount="100000" sheet="1" objects="1" scenarios="1"/>
  <mergeCells count="14">
    <mergeCell ref="I3:O30"/>
    <mergeCell ref="B23:H40"/>
    <mergeCell ref="D3:D4"/>
    <mergeCell ref="B3:B4"/>
    <mergeCell ref="E3:G3"/>
    <mergeCell ref="I31:O40"/>
    <mergeCell ref="G20:G21"/>
    <mergeCell ref="F20:F21"/>
    <mergeCell ref="B2:C2"/>
    <mergeCell ref="A1:A4"/>
    <mergeCell ref="A5:A40"/>
    <mergeCell ref="D20:D21"/>
    <mergeCell ref="E20:E21"/>
    <mergeCell ref="D2:G2"/>
  </mergeCells>
  <pageMargins left="0.7" right="0.7" top="0.75" bottom="0.75" header="0.3" footer="0.3"/>
  <pageSetup scale="51"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24</vt:i4>
      </vt:variant>
      <vt:variant>
        <vt:lpstr>Named Ranges</vt:lpstr>
      </vt:variant>
      <vt:variant>
        <vt:i4>12</vt:i4>
      </vt:variant>
    </vt:vector>
  </HeadingPairs>
  <TitlesOfParts>
    <vt:vector size="36" baseType="lpstr">
      <vt:lpstr>Cover</vt:lpstr>
      <vt:lpstr>Primary Input</vt:lpstr>
      <vt:lpstr>Eligibility</vt:lpstr>
      <vt:lpstr>Types of Housing</vt:lpstr>
      <vt:lpstr>Development Team</vt:lpstr>
      <vt:lpstr>Financial Considerations</vt:lpstr>
      <vt:lpstr>Rental Income</vt:lpstr>
      <vt:lpstr>Utility Allowance</vt:lpstr>
      <vt:lpstr>Match Leverage</vt:lpstr>
      <vt:lpstr>Rehab or New Construction</vt:lpstr>
      <vt:lpstr>Loan Information</vt:lpstr>
      <vt:lpstr>Amortization</vt:lpstr>
      <vt:lpstr>Sources and Uses</vt:lpstr>
      <vt:lpstr>Pro Forma Calculation</vt:lpstr>
      <vt:lpstr>Pro Forma</vt:lpstr>
      <vt:lpstr>Properties</vt:lpstr>
      <vt:lpstr>Project Schedule</vt:lpstr>
      <vt:lpstr>Competitive Scorig</vt:lpstr>
      <vt:lpstr>Completed Projects</vt:lpstr>
      <vt:lpstr>Certification</vt:lpstr>
      <vt:lpstr>Checklist &amp; Application Order</vt:lpstr>
      <vt:lpstr>Lists</vt:lpstr>
      <vt:lpstr>SLR</vt:lpstr>
      <vt:lpstr>2018 Rents</vt:lpstr>
      <vt:lpstr>'Competitive Scorig'!OLE_LINK1</vt:lpstr>
      <vt:lpstr>'Checklist &amp; Application Order'!Print_Area</vt:lpstr>
      <vt:lpstr>'Competitive Scorig'!Print_Area</vt:lpstr>
      <vt:lpstr>Cover!Print_Area</vt:lpstr>
      <vt:lpstr>'Development Team'!Print_Area</vt:lpstr>
      <vt:lpstr>Eligibility!Print_Area</vt:lpstr>
      <vt:lpstr>'Loan Information'!Print_Area</vt:lpstr>
      <vt:lpstr>'Match Leverage'!Print_Area</vt:lpstr>
      <vt:lpstr>'Primary Input'!Print_Area</vt:lpstr>
      <vt:lpstr>'Pro Forma Calculation'!Print_Area</vt:lpstr>
      <vt:lpstr>'Rental Income'!Print_Area</vt:lpstr>
      <vt:lpstr>'Sources and Uses'!Print_Area</vt:lpstr>
    </vt:vector>
  </TitlesOfParts>
  <Company>Parkin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Parkin</dc:creator>
  <cp:lastModifiedBy>Microsoft Office User</cp:lastModifiedBy>
  <cp:lastPrinted>2016-06-13T15:37:51Z</cp:lastPrinted>
  <dcterms:created xsi:type="dcterms:W3CDTF">2008-03-06T16:24:03Z</dcterms:created>
  <dcterms:modified xsi:type="dcterms:W3CDTF">2018-09-18T20:57:48Z</dcterms:modified>
</cp:coreProperties>
</file>