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home\Website Postings\New Version\"/>
    </mc:Choice>
  </mc:AlternateContent>
  <workbookProtection workbookPassword="CC14" lockStructure="1"/>
  <bookViews>
    <workbookView xWindow="0" yWindow="0" windowWidth="12960" windowHeight="5265" tabRatio="729"/>
  </bookViews>
  <sheets>
    <sheet name="Cover" sheetId="4" r:id="rId1"/>
    <sheet name="Primary Input" sheetId="5" r:id="rId2"/>
    <sheet name="Lists" sheetId="49" state="hidden" r:id="rId3"/>
    <sheet name="Underwriting" sheetId="50" state="hidden" r:id="rId4"/>
    <sheet name="Eligibility" sheetId="26" r:id="rId5"/>
    <sheet name="Types of Housing" sheetId="21" r:id="rId6"/>
    <sheet name="Development Team" sheetId="23" r:id="rId7"/>
    <sheet name="Financial Considerations" sheetId="24" r:id="rId8"/>
    <sheet name="Rental Income" sheetId="7" r:id="rId9"/>
    <sheet name="Utility Allowance" sheetId="46" r:id="rId10"/>
    <sheet name="Leverage" sheetId="37" r:id="rId11"/>
    <sheet name="Rehab or New Construction" sheetId="41" r:id="rId12"/>
    <sheet name="Loan Information" sheetId="11" r:id="rId13"/>
    <sheet name="Amortization" sheetId="48" state="hidden" r:id="rId14"/>
    <sheet name="Sources and Uses" sheetId="10" r:id="rId15"/>
    <sheet name="Pro Forma Calculation" sheetId="13" r:id="rId16"/>
    <sheet name="Pro Forma" sheetId="45" r:id="rId17"/>
    <sheet name="Properties" sheetId="47" r:id="rId18"/>
    <sheet name="Project Schedule" sheetId="40" r:id="rId19"/>
    <sheet name="Competitive Scorig" sheetId="36" state="hidden" r:id="rId20"/>
    <sheet name="Completed Projects" sheetId="35" r:id="rId21"/>
    <sheet name="Certification" sheetId="42" r:id="rId22"/>
    <sheet name="Funing and Units Instructions" sheetId="52" r:id="rId23"/>
    <sheet name="Funding and Units Worksheet" sheetId="51" r:id="rId24"/>
    <sheet name="Checklist &amp; Application Order" sheetId="30" r:id="rId25"/>
    <sheet name="SLR" sheetId="38" state="hidden" r:id="rId26"/>
    <sheet name="2018 Rents" sheetId="43" state="hidden" r:id="rId27"/>
  </sheets>
  <externalReferences>
    <externalReference r:id="rId28"/>
    <externalReference r:id="rId29"/>
    <externalReference r:id="rId30"/>
    <externalReference r:id="rId31"/>
    <externalReference r:id="rId32"/>
    <externalReference r:id="rId33"/>
    <externalReference r:id="rId34"/>
  </externalReferences>
  <definedNames>
    <definedName name="_total">[1]Subsidy!$AK$48</definedName>
    <definedName name="acq_cost_other_1">'[1]Sources &amp; Uses'!$F$89</definedName>
    <definedName name="acq_cost_other_2">'[1]Sources &amp; Uses'!$F$90</definedName>
    <definedName name="acq_inbasis">'[1]Sources &amp; Uses'!$H$93</definedName>
    <definedName name="acq_total">'[1]Sources &amp; Uses'!$F$93</definedName>
    <definedName name="Application_and_Tax_Credit_Fees">'[1]Sources &amp; Uses'!$F$112</definedName>
    <definedName name="Architects_Fee_Design">'[1]Sources &amp; Uses'!$F$99</definedName>
    <definedName name="Architects_Fee_Supervisory">'[1]Sources &amp; Uses'!$F$100</definedName>
    <definedName name="bld_type_3">[1]General!$I$131</definedName>
    <definedName name="Bldg">[2]StartInput!$AC$126:$AC$128</definedName>
    <definedName name="Bond_Premium">'[1]Sources &amp; Uses'!$F$71</definedName>
    <definedName name="builder_profit_limit">'[1]Sources &amp; Uses'!$H$69</definedName>
    <definedName name="Builders_Profit">'[1]Sources &amp; Uses'!$F$69</definedName>
    <definedName name="building_acces_area">[3]General!$I$214</definedName>
    <definedName name="building_resid_area">[3]General!$I$212</definedName>
    <definedName name="capyrs">'[4]DS&amp;LoanSizing'!$AF$81:$AF$120</definedName>
    <definedName name="CDBG_grant_total">[1]Subsidy!$C$48</definedName>
    <definedName name="CDBG_hard_total">[1]Subsidy!$W$48</definedName>
    <definedName name="CDBG_soft_total">[1]Subsidy!$L$48</definedName>
    <definedName name="Consultant_Fees">'[1]Sources &amp; Uses'!$F$116</definedName>
    <definedName name="Contingency_Fee">'[1]Sources &amp; Uses'!$F$114</definedName>
    <definedName name="Contrib_Total">'[1]Sources &amp; Uses'!$F$228</definedName>
    <definedName name="Cost_Certification_Audit_Fee">'[1]Sources &amp; Uses'!$F$111</definedName>
    <definedName name="cost_land">'[1]Sources &amp; Uses'!$F$87</definedName>
    <definedName name="Cr_Enh_Other_total">[1]Subsidy!$AN$48</definedName>
    <definedName name="credit_enhancement_subtotal">[1]Subsidy!$AN$49</definedName>
    <definedName name="Deferred_Dev_Fee_Total">'[1]Sources &amp; Uses'!$F$234</definedName>
    <definedName name="dev_fee_limit">'[1]Sources &amp; Uses'!$H$115</definedName>
    <definedName name="dev_syndcost_total">'[1]Sources &amp; Uses'!$F$139</definedName>
    <definedName name="dev_syndcost1_val">'[1]Sources &amp; Uses'!$F$135</definedName>
    <definedName name="Developer_Fee">'[1]Sources &amp; Uses'!$F$115</definedName>
    <definedName name="Econ">[2]StartInput!$X$31:$X$33</definedName>
    <definedName name="Examination_Fee">'[1]Sources &amp; Uses'!$F$105</definedName>
    <definedName name="Extraordinary_Reserve">'[1]Sources &amp; Uses'!$F$144</definedName>
    <definedName name="Fees_Other_total">'[1]Sources &amp; Uses'!$F$117</definedName>
    <definedName name="FHAtype">[2]StartInput!$X$12:$X$20</definedName>
    <definedName name="Financing_Fee">'[1]Sources &amp; Uses'!$F$107</definedName>
    <definedName name="FinMthd">'[4]DS&amp;LoanSizing'!$AE$81:$AE$84</definedName>
    <definedName name="footer">'[1]Print Out'!$AA$255</definedName>
    <definedName name="General_Overhead">'[1]Sources &amp; Uses'!$F$68</definedName>
    <definedName name="general_overhead_limit">'[1]Sources &amp; Uses'!$H$68</definedName>
    <definedName name="General_Requirements">'[1]Sources &amp; Uses'!$F$53</definedName>
    <definedName name="genreq_limit">'[1]Sources &amp; Uses'!$H$53</definedName>
    <definedName name="govt_grant_subtotal">[1]Subsidy!$I$49</definedName>
    <definedName name="govt_hard_subtotal">[1]Subsidy!$AE$49</definedName>
    <definedName name="govt_soft_subtotal">[1]Subsidy!$T$49</definedName>
    <definedName name="Gross_Equity">'[1]Sources &amp; Uses'!$F$237</definedName>
    <definedName name="hard_total">'[1]Sources &amp; Uses'!$F$81</definedName>
    <definedName name="historic_tax_credits_total">[1]Subsidy!$AH$48</definedName>
    <definedName name="historic_tot">'[1]Sources &amp; Uses'!$F$218</definedName>
    <definedName name="HOME_grant_total">[1]Subsidy!$E$48</definedName>
    <definedName name="HOME_hard_total">[1]Subsidy!$Y$48</definedName>
    <definedName name="HOME_soft_total">[1]Subsidy!$N$48</definedName>
    <definedName name="HOPEVI_grant_total">[1]Subsidy!$H$48</definedName>
    <definedName name="HOPEVI_hard_total">[1]Subsidy!$AC$48</definedName>
    <definedName name="HOPEVI_soft_total">[1]Subsidy!$R$48</definedName>
    <definedName name="hud_other_total">[1]Subsidy!$AT$48</definedName>
    <definedName name="Initial_Operating_Deficit_Reserve">'[1]Sources &amp; Uses'!$F$142</definedName>
    <definedName name="Inspection_Fee">'[1]Sources &amp; Uses'!$F$106</definedName>
    <definedName name="Insurance">'[1]Sources &amp; Uses'!$F$103</definedName>
    <definedName name="Interest_on_Construction_Loan">'[1]Sources &amp; Uses'!$F$101</definedName>
    <definedName name="intermediary_cost">'[1]TDC Limits'!$C$68</definedName>
    <definedName name="IOI">[2]StartInput!$X$21:$X$22</definedName>
    <definedName name="land_donation_total">[1]Subsidy!$AI$48</definedName>
    <definedName name="Legal">'[1]Sources &amp; Uses'!$F$109</definedName>
    <definedName name="Letter_of_Credit_total">[1]Subsidy!$AM$48</definedName>
    <definedName name="LIHTC_Total">'[1]Sources &amp; Uses'!$F$239</definedName>
    <definedName name="list_parishes">[5]Lists!$B$19:$B$83</definedName>
    <definedName name="Local_grant_total">[1]Subsidy!$G$48</definedName>
    <definedName name="Local_hard_total">[1]Subsidy!$AA$48</definedName>
    <definedName name="Local_soft_total">[1]Subsidy!$P$48</definedName>
    <definedName name="max_request">[1]General!$H$27</definedName>
    <definedName name="Miscellaneous">'[1]Sources &amp; Uses'!$F$70</definedName>
    <definedName name="mod_rehab_total">[1]Subsidy!$AS$48</definedName>
    <definedName name="Mortgage_Insurance_Premium">'[1]Sources &amp; Uses'!$F$104</definedName>
    <definedName name="Mtg1_Ann_DS">'[1]Sources &amp; Uses'!$F$181</definedName>
    <definedName name="Mtg1_Curr_Prin">'[1]Sources &amp; Uses'!$F$178</definedName>
    <definedName name="Mtg1_Int_Rate">'[1]Sources &amp; Uses'!$F$180</definedName>
    <definedName name="Mtg1_Lender_Name">'[1]Sources &amp; Uses'!$F$176</definedName>
    <definedName name="Mtg1_Term">'[1]Sources &amp; Uses'!$F$179</definedName>
    <definedName name="Mtg2_Ann_DS">'[1]Sources &amp; Uses'!$F$189</definedName>
    <definedName name="Mtg2_Curr_Prin">'[1]Sources &amp; Uses'!$F$186</definedName>
    <definedName name="Mtg2_Int_Rate">'[1]Sources &amp; Uses'!$F$188</definedName>
    <definedName name="Mtg2_Lender_Name">'[1]Sources &amp; Uses'!$F$184</definedName>
    <definedName name="Mtg2_Term">'[1]Sources &amp; Uses'!$F$187</definedName>
    <definedName name="Note1_Ann_DS">'[1]Sources &amp; Uses'!$F$200</definedName>
    <definedName name="Note1_Curr_Prin">'[1]Sources &amp; Uses'!$F$197</definedName>
    <definedName name="Note1_Int_Rate">'[1]Sources &amp; Uses'!$F$199</definedName>
    <definedName name="Note1_Lender_Name">'[1]Sources &amp; Uses'!$F$195</definedName>
    <definedName name="Note1_Term">'[1]Sources &amp; Uses'!$F$198</definedName>
    <definedName name="Note2_Ann_DS">'[1]Sources &amp; Uses'!$F$208</definedName>
    <definedName name="Note2_Curr_Prin">'[1]Sources &amp; Uses'!$F$205</definedName>
    <definedName name="Note2_Int_Rate">'[1]Sources &amp; Uses'!$F$207</definedName>
    <definedName name="Note2_Lender_Name">'[1]Sources &amp; Uses'!$F$203</definedName>
    <definedName name="Note2_Term">'[1]Sources &amp; Uses'!$F$206</definedName>
    <definedName name="OLE_LINK1" localSheetId="19">'Competitive Scorig'!$B$6</definedName>
    <definedName name="operating_assistance_subtotal">[1]Subsidy!$AW$49</definedName>
    <definedName name="Ordinary_Reserve">'[1]Sources &amp; Uses'!$F$143</definedName>
    <definedName name="Organization">'[1]Sources &amp; Uses'!$F$110</definedName>
    <definedName name="Other_Fees_Paid_by_Contractor">'[1]Sources &amp; Uses'!$F$72</definedName>
    <definedName name="Other_grant_total">[1]Subsidy!$I$48</definedName>
    <definedName name="Other_hard_total">[1]Subsidy!$AD$48</definedName>
    <definedName name="other_project_total">[1]Subsidy!$AW$48</definedName>
    <definedName name="Other_soft_total">[1]Subsidy!$S$48</definedName>
    <definedName name="other_tenant_total">[1]Subsidy!$AR$48</definedName>
    <definedName name="parish">'Primary Input'!#REF!</definedName>
    <definedName name="pool_CHDO">[1]Criteria!$I$34</definedName>
    <definedName name="pool_Homeownership">[1]Criteria!$I$37</definedName>
    <definedName name="pool_PHA">[1]Criteria!$I$39</definedName>
    <definedName name="pool_Rural_Areas">[1]Criteria!$I$35</definedName>
    <definedName name="PrimType">[4]LoanInput!$AD$14:$AD$18</definedName>
    <definedName name="_xlnm.Print_Area" localSheetId="24">'Checklist &amp; Application Order'!$A$1:$N$56</definedName>
    <definedName name="_xlnm.Print_Area" localSheetId="19">'Competitive Scorig'!$A$1:$J$113</definedName>
    <definedName name="_xlnm.Print_Area" localSheetId="0">Cover!$A$1:$I$45</definedName>
    <definedName name="_xlnm.Print_Area" localSheetId="6">'Development Team'!$A$1:$T$55</definedName>
    <definedName name="_xlnm.Print_Area" localSheetId="4">Eligibility!$A$1:$K$50</definedName>
    <definedName name="_xlnm.Print_Area" localSheetId="10">Leverage!$A$1:$H$39</definedName>
    <definedName name="_xlnm.Print_Area" localSheetId="12">'Loan Information'!$A$1:$F$55</definedName>
    <definedName name="_xlnm.Print_Area" localSheetId="1">'Primary Input'!$A$1:$H$107</definedName>
    <definedName name="_xlnm.Print_Area" localSheetId="15">'Pro Forma Calculation'!$A$1:$K$107</definedName>
    <definedName name="_xlnm.Print_Area" localSheetId="8">'Rental Income'!$A$1:$N$67</definedName>
    <definedName name="_xlnm.Print_Area" localSheetId="14">'Sources and Uses'!$A$1:$J$51</definedName>
    <definedName name="Private_Mortg_Insurance_total">[1]Subsidy!$AL$48</definedName>
    <definedName name="ra_total">[1]Subsidy!$AU$48</definedName>
    <definedName name="RD_Loan_hard_total">[1]Subsidy!$AB$48</definedName>
    <definedName name="RD_Loan_soft_total">[1]Subsidy!$Q$48</definedName>
    <definedName name="Relocation_Expenses">'[1]Sources &amp; Uses'!$F$113</definedName>
    <definedName name="Replacement_Reserve">'[1]Sources &amp; Uses'!$F$145</definedName>
    <definedName name="Residential_Occupancy_Rate">[1]Income!$H$6</definedName>
    <definedName name="Sec8_tenant_total">[1]Subsidy!$AP$48</definedName>
    <definedName name="sources_of_funds_total">'[1]Sources &amp; Uses'!$F$241</definedName>
    <definedName name="State_grant_total">[1]Subsidy!$F$48</definedName>
    <definedName name="State_hard_total">[1]Subsidy!$Z$48</definedName>
    <definedName name="State_soft_total">[1]Subsidy!$O$48</definedName>
    <definedName name="structur_gp">[1]General!$D$41</definedName>
    <definedName name="structur_llp">[1]General!$D$48</definedName>
    <definedName name="structur_lp">[1]General!$D$42</definedName>
    <definedName name="sub_other_total">[1]Subsidy!$AJ$48</definedName>
    <definedName name="syn_Ia_address">[1]Syndication!$D$19</definedName>
    <definedName name="syn_Ia_name">[1]Syndication!$D$18</definedName>
    <definedName name="syn_Ia_tel">[1]Syndication!$E$21</definedName>
    <definedName name="syn_If">[6]Syndication!$J$34</definedName>
    <definedName name="syn_II_inst_1">[1]Syndication!$H$57</definedName>
    <definedName name="syn_II_inst_2">[1]Syndication!$H$58</definedName>
    <definedName name="syn_II_inst_3">[1]Syndication!$H$59</definedName>
    <definedName name="syn_public_offer">[6]Syndication!$C$212</definedName>
    <definedName name="tax_abate_assist_total">[1]Subsidy!$AV$48</definedName>
    <definedName name="tax_abate_sub_total">[1]Subsidy!$AG$48</definedName>
    <definedName name="tax_id">[1]General!$I$63</definedName>
    <definedName name="Taxes">'[1]Sources &amp; Uses'!$F$102</definedName>
    <definedName name="taxpyr_name">[1]General!$F$30</definedName>
    <definedName name="tdc_total">'[3]Sources &amp; Uses'!$F$127</definedName>
    <definedName name="Title_and_Recording">'[1]Sources &amp; Uses'!$F$108</definedName>
    <definedName name="Type">[2]StartInput!$AC$120:$AC$122</definedName>
    <definedName name="Type2">[2]StartInput!$AD$122:$AD$123</definedName>
    <definedName name="UDAG_grant_total">[1]Subsidy!$D$48</definedName>
    <definedName name="UDAG_hard_total">[1]Subsidy!$X$48</definedName>
    <definedName name="UDAG_soft_total">[1]Subsidy!$M$48</definedName>
    <definedName name="UrbType">[2]StartInput!$AC$123:$AC$125</definedName>
    <definedName name="uses_of_funds_total">'[1]Sources &amp; Uses'!$F$170</definedName>
    <definedName name="value_other_subtotal">[1]Subsidy!$AJ$49</definedName>
    <definedName name="voucher_tenant_total">[1]Subsidy!$AQ$48</definedName>
    <definedName name="YN">[2]GPRCompare!$D$101:$D$102</definedName>
    <definedName name="zoning_attached">[1]General!$J$75</definedName>
  </definedNames>
  <calcPr calcId="162913"/>
</workbook>
</file>

<file path=xl/calcChain.xml><?xml version="1.0" encoding="utf-8"?>
<calcChain xmlns="http://schemas.openxmlformats.org/spreadsheetml/2006/main">
  <c r="L240" i="50" l="1"/>
  <c r="H385" i="50" l="1"/>
  <c r="I386" i="50" l="1"/>
  <c r="E10" i="4" l="1"/>
  <c r="E11" i="4"/>
  <c r="F41" i="49" l="1"/>
  <c r="F44" i="49"/>
  <c r="B32" i="38" l="1"/>
  <c r="B31" i="38"/>
  <c r="B30" i="38"/>
  <c r="B29" i="38"/>
  <c r="B28" i="38"/>
  <c r="B27" i="38"/>
  <c r="H37" i="26"/>
  <c r="H6" i="26"/>
  <c r="E39" i="5"/>
  <c r="D36" i="49"/>
  <c r="H38" i="5" s="1"/>
  <c r="F43" i="49" l="1"/>
  <c r="E86" i="5" l="1"/>
  <c r="Q113" i="49"/>
  <c r="U107" i="49"/>
  <c r="T107" i="49"/>
  <c r="S107" i="49"/>
  <c r="R107" i="49"/>
  <c r="Q107" i="49"/>
  <c r="U113" i="49" l="1"/>
  <c r="Z4" i="51"/>
  <c r="Y4" i="51"/>
  <c r="X4" i="51"/>
  <c r="W4" i="51"/>
  <c r="V4" i="51"/>
  <c r="U4" i="51"/>
  <c r="T10" i="51" l="1"/>
  <c r="T11" i="51" s="1"/>
  <c r="S106" i="49" s="1"/>
  <c r="R113" i="49"/>
  <c r="T113" i="49"/>
  <c r="S113" i="49"/>
  <c r="H34" i="50"/>
  <c r="H33" i="50"/>
  <c r="H32" i="50"/>
  <c r="H31" i="50"/>
  <c r="H30" i="50"/>
  <c r="H29" i="50"/>
  <c r="H27" i="50"/>
  <c r="H26" i="50"/>
  <c r="H25" i="50"/>
  <c r="H24" i="50"/>
  <c r="H23" i="50"/>
  <c r="H22" i="50"/>
  <c r="U106" i="49" l="1"/>
  <c r="U112" i="49" s="1"/>
  <c r="Q112" i="49"/>
  <c r="T106" i="49"/>
  <c r="T112" i="49" s="1"/>
  <c r="Q106" i="49"/>
  <c r="R106" i="49"/>
  <c r="R112" i="49" s="1"/>
  <c r="S112" i="49"/>
  <c r="H35" i="50"/>
  <c r="T20" i="51"/>
  <c r="U20" i="51"/>
  <c r="D8" i="51"/>
  <c r="E8" i="51" s="1"/>
  <c r="H82" i="50"/>
  <c r="H81" i="50"/>
  <c r="H79" i="50"/>
  <c r="E85" i="5" l="1"/>
  <c r="E84" i="5"/>
  <c r="E83" i="5"/>
  <c r="E81" i="5"/>
  <c r="E80" i="5"/>
  <c r="E82" i="5"/>
  <c r="E87" i="5" l="1"/>
  <c r="E78" i="5"/>
  <c r="E69" i="5"/>
  <c r="E60" i="5"/>
  <c r="H248" i="50"/>
  <c r="H247" i="50"/>
  <c r="H246" i="50"/>
  <c r="H245" i="50"/>
  <c r="H244" i="50"/>
  <c r="H243" i="50"/>
  <c r="E88" i="5" l="1"/>
  <c r="H16" i="50"/>
  <c r="H208" i="50" s="1"/>
  <c r="U95" i="49"/>
  <c r="T95" i="49"/>
  <c r="S95" i="49"/>
  <c r="R95" i="49"/>
  <c r="Q95" i="49"/>
  <c r="Q80" i="49"/>
  <c r="R80" i="49"/>
  <c r="S80" i="49"/>
  <c r="T80" i="49"/>
  <c r="U91" i="49"/>
  <c r="U105" i="49" s="1"/>
  <c r="U109" i="49" s="1"/>
  <c r="T91" i="49"/>
  <c r="T105" i="49" s="1"/>
  <c r="T109" i="49" s="1"/>
  <c r="S91" i="49"/>
  <c r="S105" i="49" s="1"/>
  <c r="S109" i="49" s="1"/>
  <c r="R91" i="49"/>
  <c r="R105" i="49" s="1"/>
  <c r="R109" i="49" s="1"/>
  <c r="Q91" i="49"/>
  <c r="Q105" i="49" s="1"/>
  <c r="Q109" i="49" s="1"/>
  <c r="P90" i="49"/>
  <c r="P75" i="49"/>
  <c r="Q118" i="49" l="1"/>
  <c r="T8" i="51" s="1"/>
  <c r="Q94" i="49"/>
  <c r="Q108" i="49"/>
  <c r="Q111" i="49"/>
  <c r="R94" i="49"/>
  <c r="R108" i="49"/>
  <c r="R111" i="49"/>
  <c r="S94" i="49"/>
  <c r="S111" i="49"/>
  <c r="S108" i="49"/>
  <c r="T94" i="49"/>
  <c r="T111" i="49"/>
  <c r="T108" i="49"/>
  <c r="U94" i="49"/>
  <c r="U111" i="49"/>
  <c r="U108" i="49"/>
  <c r="U80" i="49"/>
  <c r="G43" i="49"/>
  <c r="D6" i="51"/>
  <c r="E6" i="51" s="1"/>
  <c r="D5" i="51"/>
  <c r="F58" i="41"/>
  <c r="I385" i="50" s="1"/>
  <c r="R115" i="49" l="1"/>
  <c r="R114" i="49"/>
  <c r="S114" i="49"/>
  <c r="S115" i="49"/>
  <c r="U115" i="49"/>
  <c r="U114" i="49"/>
  <c r="T114" i="49"/>
  <c r="T115" i="49"/>
  <c r="Q115" i="49"/>
  <c r="Q114" i="49"/>
  <c r="V80" i="49"/>
  <c r="E40" i="49"/>
  <c r="E45" i="49" s="1"/>
  <c r="Q119" i="49" l="1"/>
  <c r="T7" i="51" s="1"/>
  <c r="H429" i="50"/>
  <c r="H10" i="50"/>
  <c r="H547" i="50" l="1"/>
  <c r="H412" i="50"/>
  <c r="H411" i="50"/>
  <c r="H410" i="50"/>
  <c r="H409" i="50"/>
  <c r="H408" i="50"/>
  <c r="H407" i="50"/>
  <c r="H406" i="50"/>
  <c r="H405" i="50"/>
  <c r="H80" i="50"/>
  <c r="B4" i="50"/>
  <c r="F8" i="10" l="1"/>
  <c r="AA8" i="7"/>
  <c r="AA3" i="7"/>
  <c r="H358" i="50" l="1"/>
  <c r="H359" i="50"/>
  <c r="H360" i="50"/>
  <c r="H361" i="50"/>
  <c r="L405" i="50"/>
  <c r="L409" i="50"/>
  <c r="H404" i="50"/>
  <c r="E68" i="49"/>
  <c r="E71" i="49" s="1"/>
  <c r="E67" i="49"/>
  <c r="E70" i="49" s="1"/>
  <c r="E56" i="49"/>
  <c r="E57" i="49"/>
  <c r="E59" i="49" l="1"/>
  <c r="E72" i="49"/>
  <c r="H442" i="50" s="1"/>
  <c r="AE3" i="49"/>
  <c r="AE4" i="49"/>
  <c r="H511" i="50"/>
  <c r="H507" i="50"/>
  <c r="Y4" i="49"/>
  <c r="Y3" i="49"/>
  <c r="Y2" i="49"/>
  <c r="Y100" i="49" s="1"/>
  <c r="Z100" i="49" l="1"/>
  <c r="AA100" i="49"/>
  <c r="AB100" i="49"/>
  <c r="AC100" i="49"/>
  <c r="AD100" i="49"/>
  <c r="AE100" i="49"/>
  <c r="AE7" i="49" l="1"/>
  <c r="I23" i="48"/>
  <c r="L23" i="48" s="1"/>
  <c r="I22" i="48"/>
  <c r="L22" i="48" s="1"/>
  <c r="I21" i="48"/>
  <c r="L21" i="48" s="1"/>
  <c r="I20" i="48"/>
  <c r="L20" i="48" s="1"/>
  <c r="I19" i="48"/>
  <c r="L19" i="48" s="1"/>
  <c r="AH108" i="49"/>
  <c r="AH107" i="49"/>
  <c r="AH106" i="49"/>
  <c r="AH105" i="49"/>
  <c r="AH104" i="49"/>
  <c r="AH103" i="49"/>
  <c r="AH102" i="49"/>
  <c r="AF102" i="49" s="1"/>
  <c r="Y8" i="49" s="1"/>
  <c r="Y7" i="49"/>
  <c r="Y6" i="49"/>
  <c r="G42" i="49" l="1"/>
  <c r="G41" i="49"/>
  <c r="G40" i="49"/>
  <c r="H508" i="50"/>
  <c r="H504" i="50"/>
  <c r="H13" i="50"/>
  <c r="H12" i="50"/>
  <c r="H78" i="50" l="1"/>
  <c r="F46" i="49"/>
  <c r="H32" i="5" s="1"/>
  <c r="H28" i="50"/>
  <c r="F9" i="50"/>
  <c r="E9" i="50"/>
  <c r="D9" i="50"/>
  <c r="B3" i="4" l="1"/>
  <c r="B2" i="4"/>
  <c r="F42" i="49"/>
  <c r="F40" i="49"/>
  <c r="F45" i="49" l="1"/>
  <c r="H510" i="50"/>
  <c r="H506" i="50"/>
  <c r="H509" i="50"/>
  <c r="H505" i="50"/>
  <c r="H521" i="50" s="1"/>
  <c r="AE2" i="49" s="1"/>
  <c r="H297" i="50"/>
  <c r="H298" i="50" s="1"/>
  <c r="H312" i="50" s="1"/>
  <c r="H90" i="50"/>
  <c r="H88" i="50"/>
  <c r="H87" i="50"/>
  <c r="H86" i="50"/>
  <c r="H85" i="50"/>
  <c r="H83" i="50"/>
  <c r="H77" i="50"/>
  <c r="H76" i="50"/>
  <c r="H75" i="50"/>
  <c r="H74" i="50"/>
  <c r="H73" i="50"/>
  <c r="H72" i="50"/>
  <c r="H71" i="50"/>
  <c r="H70" i="50"/>
  <c r="H69" i="50"/>
  <c r="H68" i="50"/>
  <c r="H67" i="50"/>
  <c r="H66" i="50"/>
  <c r="H65" i="50"/>
  <c r="H64" i="50"/>
  <c r="H63" i="50"/>
  <c r="H62" i="50"/>
  <c r="H61" i="50"/>
  <c r="H60" i="50"/>
  <c r="H58" i="50"/>
  <c r="H57" i="50"/>
  <c r="H56" i="50"/>
  <c r="H55" i="50"/>
  <c r="H54" i="50"/>
  <c r="H53" i="50"/>
  <c r="H51" i="50"/>
  <c r="H50" i="50"/>
  <c r="H49" i="50"/>
  <c r="H48" i="50"/>
  <c r="H47" i="50"/>
  <c r="H46" i="50"/>
  <c r="H37" i="5" l="1"/>
  <c r="E5" i="51"/>
  <c r="AE6" i="49"/>
  <c r="AN17" i="49"/>
  <c r="AQ25" i="49" s="1"/>
  <c r="AL17" i="49"/>
  <c r="AQ23" i="49" s="1"/>
  <c r="AO19" i="49" s="1"/>
  <c r="AE8" i="49" s="1"/>
  <c r="AJ17" i="49"/>
  <c r="AQ21" i="49" s="1"/>
  <c r="AH17" i="49"/>
  <c r="AQ19" i="49" s="1"/>
  <c r="AM17" i="49"/>
  <c r="AQ24" i="49" s="1"/>
  <c r="AK17" i="49"/>
  <c r="AQ22" i="49" s="1"/>
  <c r="AI17" i="49"/>
  <c r="AQ20" i="49" s="1"/>
  <c r="H106" i="50"/>
  <c r="H107" i="50"/>
  <c r="H103" i="50"/>
  <c r="H84" i="50"/>
  <c r="H104" i="50"/>
  <c r="H105" i="50"/>
  <c r="H108" i="50"/>
  <c r="I551" i="50"/>
  <c r="I550" i="50"/>
  <c r="I511" i="50"/>
  <c r="I510" i="50"/>
  <c r="I509" i="50"/>
  <c r="I507" i="50"/>
  <c r="I506" i="50"/>
  <c r="I505" i="50"/>
  <c r="H500" i="50"/>
  <c r="I499" i="50"/>
  <c r="I498" i="50"/>
  <c r="I492" i="50"/>
  <c r="H487" i="50"/>
  <c r="H491" i="50" s="1"/>
  <c r="I486" i="50"/>
  <c r="I485" i="50"/>
  <c r="C485" i="50"/>
  <c r="C484" i="50"/>
  <c r="C483" i="50"/>
  <c r="C482" i="50"/>
  <c r="C481" i="50"/>
  <c r="I480" i="50"/>
  <c r="I479" i="50"/>
  <c r="I478" i="50"/>
  <c r="I477" i="50"/>
  <c r="I476" i="50"/>
  <c r="I475" i="50"/>
  <c r="I474" i="50"/>
  <c r="I473" i="50"/>
  <c r="I472" i="50"/>
  <c r="I471" i="50"/>
  <c r="I470" i="50"/>
  <c r="I469" i="50"/>
  <c r="I468" i="50"/>
  <c r="I467" i="50"/>
  <c r="I466" i="50"/>
  <c r="I465" i="50"/>
  <c r="I464" i="50"/>
  <c r="I463" i="50"/>
  <c r="I462" i="50"/>
  <c r="I461" i="50"/>
  <c r="I460" i="50"/>
  <c r="I453" i="50"/>
  <c r="I452" i="50"/>
  <c r="I451" i="50"/>
  <c r="I449" i="50"/>
  <c r="I448" i="50"/>
  <c r="H445" i="50"/>
  <c r="I430" i="50"/>
  <c r="I429" i="50"/>
  <c r="I421" i="50"/>
  <c r="I420" i="50"/>
  <c r="I419" i="50"/>
  <c r="I418" i="50"/>
  <c r="I415" i="50"/>
  <c r="I414" i="50"/>
  <c r="I413" i="50"/>
  <c r="I410" i="50"/>
  <c r="I409" i="50"/>
  <c r="I408" i="50"/>
  <c r="I407" i="50"/>
  <c r="I406" i="50"/>
  <c r="I405" i="50"/>
  <c r="I404" i="50"/>
  <c r="H403" i="50"/>
  <c r="I403" i="50" s="1"/>
  <c r="I384" i="50"/>
  <c r="I361" i="50"/>
  <c r="I360" i="50"/>
  <c r="I359" i="50"/>
  <c r="I358" i="50"/>
  <c r="I330" i="50"/>
  <c r="I329" i="50"/>
  <c r="I328" i="50"/>
  <c r="I327" i="50"/>
  <c r="I326" i="50"/>
  <c r="I325" i="50"/>
  <c r="I324" i="50"/>
  <c r="I323" i="50"/>
  <c r="I322" i="50"/>
  <c r="I321" i="50"/>
  <c r="I320" i="50"/>
  <c r="I319" i="50"/>
  <c r="I318" i="50"/>
  <c r="I317" i="50"/>
  <c r="I316" i="50"/>
  <c r="I315" i="50"/>
  <c r="I314" i="50"/>
  <c r="I313" i="50"/>
  <c r="I291" i="50"/>
  <c r="I290" i="50"/>
  <c r="I289" i="50"/>
  <c r="I288" i="50"/>
  <c r="I287" i="50"/>
  <c r="I286" i="50"/>
  <c r="I285" i="50"/>
  <c r="I284" i="50"/>
  <c r="I283" i="50"/>
  <c r="I282" i="50"/>
  <c r="I281" i="50"/>
  <c r="I280" i="50"/>
  <c r="I279" i="50"/>
  <c r="I278" i="50"/>
  <c r="I277" i="50"/>
  <c r="I276" i="50"/>
  <c r="I275" i="50"/>
  <c r="I274" i="50"/>
  <c r="I89" i="50"/>
  <c r="I88" i="50"/>
  <c r="I87" i="50"/>
  <c r="I86" i="50"/>
  <c r="I85" i="50"/>
  <c r="I82" i="50"/>
  <c r="I81" i="50"/>
  <c r="I80" i="50"/>
  <c r="I79" i="50"/>
  <c r="I78" i="50"/>
  <c r="I77" i="50"/>
  <c r="I76" i="50"/>
  <c r="I75" i="50"/>
  <c r="I74" i="50"/>
  <c r="I73" i="50"/>
  <c r="I72" i="50"/>
  <c r="I71" i="50"/>
  <c r="I70" i="50"/>
  <c r="I69" i="50"/>
  <c r="I68" i="50"/>
  <c r="I67" i="50"/>
  <c r="I66" i="50"/>
  <c r="I65" i="50"/>
  <c r="I64" i="50"/>
  <c r="I63" i="50"/>
  <c r="I62" i="50"/>
  <c r="I61" i="50"/>
  <c r="I60" i="50"/>
  <c r="I59" i="50"/>
  <c r="I58" i="50"/>
  <c r="I57" i="50"/>
  <c r="I56" i="50"/>
  <c r="I55" i="50"/>
  <c r="I54" i="50"/>
  <c r="I53" i="50"/>
  <c r="I52" i="50"/>
  <c r="I51" i="50"/>
  <c r="I50" i="50"/>
  <c r="I49" i="50"/>
  <c r="I48" i="50"/>
  <c r="I47" i="50"/>
  <c r="I46" i="50"/>
  <c r="I45" i="50"/>
  <c r="I27" i="50"/>
  <c r="I26" i="50"/>
  <c r="I25" i="50"/>
  <c r="I24" i="50"/>
  <c r="I23" i="50"/>
  <c r="I22" i="50"/>
  <c r="I20" i="50"/>
  <c r="I19" i="50"/>
  <c r="H109" i="50" l="1"/>
  <c r="H513" i="50"/>
  <c r="F7" i="10"/>
  <c r="H15" i="50" s="1"/>
  <c r="T76" i="49"/>
  <c r="T79" i="49" s="1"/>
  <c r="U76" i="49"/>
  <c r="U79" i="49" s="1"/>
  <c r="S76" i="49"/>
  <c r="R76" i="49"/>
  <c r="Q76" i="49"/>
  <c r="Q79" i="49" s="1"/>
  <c r="AQ32" i="45"/>
  <c r="AO32" i="45"/>
  <c r="AM32" i="45"/>
  <c r="AK32" i="45"/>
  <c r="AI32" i="45"/>
  <c r="I18" i="48"/>
  <c r="L18" i="48"/>
  <c r="I17" i="48"/>
  <c r="L17" i="48"/>
  <c r="I16" i="48"/>
  <c r="L16" i="48"/>
  <c r="L15" i="48"/>
  <c r="I15" i="48"/>
  <c r="I14" i="48"/>
  <c r="L14" i="48"/>
  <c r="I13" i="48"/>
  <c r="L13" i="48"/>
  <c r="I12" i="48"/>
  <c r="L12" i="48"/>
  <c r="I11" i="48"/>
  <c r="L11" i="48"/>
  <c r="I10" i="48"/>
  <c r="L10" i="48"/>
  <c r="I9" i="48"/>
  <c r="L9" i="48"/>
  <c r="I8" i="48"/>
  <c r="L8" i="48"/>
  <c r="I7" i="48"/>
  <c r="L7" i="48"/>
  <c r="I6" i="48"/>
  <c r="L6" i="48"/>
  <c r="I5" i="48"/>
  <c r="L5" i="48"/>
  <c r="L4" i="48"/>
  <c r="C4" i="48"/>
  <c r="D4" i="48" s="1"/>
  <c r="K1" i="48"/>
  <c r="T3" i="51"/>
  <c r="H1" i="43"/>
  <c r="I1" i="43"/>
  <c r="J1" i="43"/>
  <c r="K1" i="43"/>
  <c r="L1" i="43"/>
  <c r="M1" i="43"/>
  <c r="N1" i="43"/>
  <c r="O1" i="43"/>
  <c r="P1" i="43"/>
  <c r="Q1" i="43"/>
  <c r="R1" i="43"/>
  <c r="S1" i="43"/>
  <c r="T1" i="43"/>
  <c r="U1" i="43"/>
  <c r="V1" i="43"/>
  <c r="W1" i="43"/>
  <c r="X1" i="43"/>
  <c r="Y1" i="43"/>
  <c r="Z1" i="43"/>
  <c r="AA1" i="43"/>
  <c r="AB1" i="43"/>
  <c r="AC1" i="43"/>
  <c r="AD1" i="43"/>
  <c r="AE1" i="43"/>
  <c r="AF1" i="43"/>
  <c r="AG1" i="43"/>
  <c r="AH1" i="43"/>
  <c r="AI1" i="43"/>
  <c r="AJ1" i="43"/>
  <c r="AK1" i="43"/>
  <c r="AL1" i="43"/>
  <c r="AM1" i="43"/>
  <c r="AN1" i="43"/>
  <c r="AO1" i="43"/>
  <c r="AJ15" i="5"/>
  <c r="AJ113" i="5"/>
  <c r="AJ112" i="5"/>
  <c r="AJ111" i="5"/>
  <c r="AJ110" i="5"/>
  <c r="AJ109" i="5"/>
  <c r="AJ108" i="5"/>
  <c r="AJ106" i="5"/>
  <c r="AJ105" i="5"/>
  <c r="AJ104" i="5"/>
  <c r="AJ103" i="5"/>
  <c r="AJ102" i="5"/>
  <c r="AJ101" i="5"/>
  <c r="AJ100" i="5"/>
  <c r="AJ99" i="5"/>
  <c r="AJ98" i="5"/>
  <c r="AJ97" i="5"/>
  <c r="AJ96" i="5"/>
  <c r="AJ95" i="5"/>
  <c r="AJ94" i="5"/>
  <c r="AJ93" i="5"/>
  <c r="AJ92" i="5"/>
  <c r="AJ91" i="5"/>
  <c r="AJ90" i="5"/>
  <c r="AJ89" i="5"/>
  <c r="AJ88" i="5"/>
  <c r="AJ77" i="5"/>
  <c r="AJ76" i="5"/>
  <c r="AJ75" i="5"/>
  <c r="AJ74" i="5"/>
  <c r="AJ73" i="5"/>
  <c r="AJ72" i="5"/>
  <c r="AJ71" i="5"/>
  <c r="AJ51" i="5"/>
  <c r="AJ50" i="5"/>
  <c r="AJ45" i="5"/>
  <c r="AJ44" i="5"/>
  <c r="AJ43" i="5"/>
  <c r="AJ42" i="5"/>
  <c r="AJ41" i="5"/>
  <c r="AJ40" i="5"/>
  <c r="AJ39" i="5"/>
  <c r="AJ37" i="5"/>
  <c r="AJ33" i="5"/>
  <c r="AJ32" i="5"/>
  <c r="AJ31" i="5"/>
  <c r="AJ30" i="5"/>
  <c r="AJ29" i="5"/>
  <c r="AJ28" i="5"/>
  <c r="AJ23" i="5"/>
  <c r="AJ22" i="5"/>
  <c r="AJ21" i="5"/>
  <c r="AJ20" i="5"/>
  <c r="AJ19" i="5"/>
  <c r="AJ18" i="5"/>
  <c r="AJ14" i="5"/>
  <c r="AJ13" i="5"/>
  <c r="AJ12" i="5"/>
  <c r="AJ11" i="5"/>
  <c r="AJ10" i="5"/>
  <c r="AJ9" i="5"/>
  <c r="D14" i="21" s="1"/>
  <c r="AJ8" i="5"/>
  <c r="AJ7" i="5"/>
  <c r="B38" i="45"/>
  <c r="AG32" i="45"/>
  <c r="AE32" i="45"/>
  <c r="AC32" i="45"/>
  <c r="AA32" i="45"/>
  <c r="Y32" i="45"/>
  <c r="W32" i="45"/>
  <c r="U32" i="45"/>
  <c r="S32" i="45"/>
  <c r="Q32" i="45"/>
  <c r="O32" i="45"/>
  <c r="M32" i="45"/>
  <c r="K32" i="45"/>
  <c r="I32" i="45"/>
  <c r="G32" i="45"/>
  <c r="E32" i="45"/>
  <c r="W25" i="45"/>
  <c r="U25" i="45"/>
  <c r="S25" i="45"/>
  <c r="Q25" i="45"/>
  <c r="O25" i="45"/>
  <c r="M25" i="45"/>
  <c r="K25" i="45"/>
  <c r="I25" i="45"/>
  <c r="G25" i="45"/>
  <c r="E25" i="45"/>
  <c r="D17" i="45"/>
  <c r="D16" i="45"/>
  <c r="E16" i="45"/>
  <c r="D12" i="45"/>
  <c r="E3" i="7"/>
  <c r="N3" i="7" s="1"/>
  <c r="E4" i="7"/>
  <c r="N16" i="7" s="1"/>
  <c r="M16" i="7"/>
  <c r="K4" i="7"/>
  <c r="E5" i="7"/>
  <c r="N5" i="7" s="1"/>
  <c r="E6" i="7"/>
  <c r="E7" i="7"/>
  <c r="E8" i="7"/>
  <c r="N8" i="7" s="1"/>
  <c r="E9" i="7"/>
  <c r="N21" i="7" s="1"/>
  <c r="F2" i="45"/>
  <c r="H2" i="45"/>
  <c r="J2" i="45"/>
  <c r="L2" i="45"/>
  <c r="N2" i="45"/>
  <c r="P2" i="45"/>
  <c r="R2" i="45"/>
  <c r="T2" i="45"/>
  <c r="V2" i="45"/>
  <c r="X2" i="45"/>
  <c r="Z2" i="45"/>
  <c r="AB2" i="45"/>
  <c r="AD2" i="45"/>
  <c r="AF2" i="45"/>
  <c r="AH2" i="45"/>
  <c r="AJ2" i="45"/>
  <c r="AL2" i="45"/>
  <c r="AN2" i="45"/>
  <c r="AP2" i="45"/>
  <c r="F16" i="45"/>
  <c r="G16" i="45" s="1"/>
  <c r="F71" i="41"/>
  <c r="F30" i="41"/>
  <c r="E61" i="49" s="1"/>
  <c r="C1" i="42"/>
  <c r="B1" i="35"/>
  <c r="H1" i="40"/>
  <c r="A2" i="13"/>
  <c r="E1" i="10"/>
  <c r="C1" i="26"/>
  <c r="D1" i="11"/>
  <c r="D1" i="41"/>
  <c r="B3" i="37"/>
  <c r="D1" i="7"/>
  <c r="A2" i="24"/>
  <c r="F1" i="23"/>
  <c r="A2" i="21"/>
  <c r="A2" i="5"/>
  <c r="AL183" i="5"/>
  <c r="AL182" i="5"/>
  <c r="AL181" i="5"/>
  <c r="AL180" i="5"/>
  <c r="AL179" i="5"/>
  <c r="AL178" i="5"/>
  <c r="AL177" i="5"/>
  <c r="AL176" i="5"/>
  <c r="AL175" i="5"/>
  <c r="AL174" i="5"/>
  <c r="AL173" i="5"/>
  <c r="AL172" i="5"/>
  <c r="AL171" i="5"/>
  <c r="AL170" i="5"/>
  <c r="AL169" i="5"/>
  <c r="AL168" i="5"/>
  <c r="AL167" i="5"/>
  <c r="AL166" i="5"/>
  <c r="AL165" i="5"/>
  <c r="AL164" i="5"/>
  <c r="AL163" i="5"/>
  <c r="AL162" i="5"/>
  <c r="AL161" i="5"/>
  <c r="AL160" i="5"/>
  <c r="AL159" i="5"/>
  <c r="AL158" i="5"/>
  <c r="AL157" i="5"/>
  <c r="AL156" i="5"/>
  <c r="AL155" i="5"/>
  <c r="AL154" i="5"/>
  <c r="AL153" i="5"/>
  <c r="AL152" i="5"/>
  <c r="AL151" i="5"/>
  <c r="AL150" i="5"/>
  <c r="AL149" i="5"/>
  <c r="AL148" i="5"/>
  <c r="AL147" i="5"/>
  <c r="AL146" i="5"/>
  <c r="AL145" i="5"/>
  <c r="AL144" i="5"/>
  <c r="AL143" i="5"/>
  <c r="AL142" i="5"/>
  <c r="AL141" i="5"/>
  <c r="AL140" i="5"/>
  <c r="AL139" i="5"/>
  <c r="AL138" i="5"/>
  <c r="AL137" i="5"/>
  <c r="AL136" i="5"/>
  <c r="AL135" i="5"/>
  <c r="AL134" i="5"/>
  <c r="AL133" i="5"/>
  <c r="AL132" i="5"/>
  <c r="AL131" i="5"/>
  <c r="AL130" i="5"/>
  <c r="AL129" i="5"/>
  <c r="AL128" i="5"/>
  <c r="AL127" i="5"/>
  <c r="AL126" i="5"/>
  <c r="AL125" i="5"/>
  <c r="AL124" i="5"/>
  <c r="AL123" i="5"/>
  <c r="AL122" i="5"/>
  <c r="AL121" i="5"/>
  <c r="AL120" i="5"/>
  <c r="H39" i="26"/>
  <c r="F66" i="41"/>
  <c r="J109" i="36"/>
  <c r="J106" i="36"/>
  <c r="J104" i="36"/>
  <c r="J101" i="36"/>
  <c r="J98" i="36"/>
  <c r="J92" i="36"/>
  <c r="J93" i="36"/>
  <c r="J94" i="36"/>
  <c r="J95" i="36"/>
  <c r="J96" i="36"/>
  <c r="J91" i="36"/>
  <c r="J90" i="36"/>
  <c r="J89" i="36"/>
  <c r="J87" i="36"/>
  <c r="J85" i="36"/>
  <c r="J84" i="36"/>
  <c r="J83" i="36"/>
  <c r="J71" i="36"/>
  <c r="J62" i="36"/>
  <c r="J42" i="36"/>
  <c r="J35" i="36"/>
  <c r="J30" i="36"/>
  <c r="J25" i="36"/>
  <c r="J22" i="36"/>
  <c r="J19" i="36"/>
  <c r="J18" i="36"/>
  <c r="J12" i="36"/>
  <c r="J9" i="36"/>
  <c r="J6" i="36"/>
  <c r="J5" i="36"/>
  <c r="J54" i="36"/>
  <c r="J60" i="36"/>
  <c r="J59" i="36"/>
  <c r="J58" i="36"/>
  <c r="J57" i="36"/>
  <c r="J56" i="36"/>
  <c r="J51" i="36"/>
  <c r="C34" i="7"/>
  <c r="H38" i="26"/>
  <c r="G78" i="41"/>
  <c r="F77" i="41"/>
  <c r="H432" i="50" s="1"/>
  <c r="I432" i="50" s="1"/>
  <c r="F75" i="41"/>
  <c r="F73" i="41"/>
  <c r="H431" i="50" s="1"/>
  <c r="I431" i="50" s="1"/>
  <c r="H48" i="26"/>
  <c r="H47" i="26"/>
  <c r="H46" i="26"/>
  <c r="H45" i="26"/>
  <c r="D13" i="37"/>
  <c r="C13" i="37"/>
  <c r="D12" i="37"/>
  <c r="C12" i="37"/>
  <c r="S3" i="7"/>
  <c r="D8" i="21"/>
  <c r="I14" i="21" s="1"/>
  <c r="H7" i="26"/>
  <c r="J29" i="5"/>
  <c r="E11" i="38"/>
  <c r="G41" i="38"/>
  <c r="G40" i="38"/>
  <c r="G39" i="38"/>
  <c r="G42" i="38"/>
  <c r="G43" i="38"/>
  <c r="A6" i="38"/>
  <c r="E14" i="38"/>
  <c r="E9" i="38"/>
  <c r="G19" i="37"/>
  <c r="F19" i="37"/>
  <c r="E19" i="37"/>
  <c r="H40" i="26"/>
  <c r="H36" i="26"/>
  <c r="H35" i="26"/>
  <c r="H34" i="26"/>
  <c r="H33" i="26"/>
  <c r="H32" i="26"/>
  <c r="D30" i="21"/>
  <c r="S8" i="7"/>
  <c r="S7" i="7"/>
  <c r="S6" i="7"/>
  <c r="S4" i="7"/>
  <c r="H9" i="24"/>
  <c r="H8" i="24"/>
  <c r="H31" i="26"/>
  <c r="H30" i="26"/>
  <c r="H29" i="26"/>
  <c r="H28" i="26"/>
  <c r="H23" i="26"/>
  <c r="H19" i="26"/>
  <c r="H18" i="26"/>
  <c r="H15" i="26"/>
  <c r="H14" i="26"/>
  <c r="H13" i="26"/>
  <c r="H12" i="26"/>
  <c r="H9" i="26"/>
  <c r="H8" i="26"/>
  <c r="H5" i="26"/>
  <c r="H4" i="26"/>
  <c r="I48" i="10"/>
  <c r="F34" i="10" s="1"/>
  <c r="F45" i="10"/>
  <c r="I25" i="13"/>
  <c r="K25" i="13"/>
  <c r="I40" i="13"/>
  <c r="D13" i="45" s="1"/>
  <c r="F13" i="45" s="1"/>
  <c r="I49" i="13"/>
  <c r="D14" i="45" s="1"/>
  <c r="I64" i="13"/>
  <c r="D15" i="45" s="1"/>
  <c r="F15" i="45" s="1"/>
  <c r="H15" i="45" s="1"/>
  <c r="I74" i="13"/>
  <c r="E12" i="11"/>
  <c r="I85" i="13" s="1"/>
  <c r="I97" i="13" s="1"/>
  <c r="E29" i="11"/>
  <c r="I86" i="13"/>
  <c r="D31" i="45"/>
  <c r="F49" i="13"/>
  <c r="F76" i="13"/>
  <c r="F78" i="13"/>
  <c r="F82" i="13"/>
  <c r="E49" i="13"/>
  <c r="M27" i="7"/>
  <c r="M28" i="7"/>
  <c r="M29" i="7"/>
  <c r="M30" i="7"/>
  <c r="M31" i="7"/>
  <c r="E11" i="13"/>
  <c r="E18" i="13"/>
  <c r="E26" i="13"/>
  <c r="E17" i="13"/>
  <c r="E25" i="13"/>
  <c r="E41" i="13"/>
  <c r="E64" i="13"/>
  <c r="E76" i="13"/>
  <c r="E74" i="13"/>
  <c r="E40" i="13"/>
  <c r="F11" i="13"/>
  <c r="F17" i="13"/>
  <c r="F25" i="13"/>
  <c r="F41" i="13"/>
  <c r="F64" i="13"/>
  <c r="F74" i="13"/>
  <c r="F40" i="13"/>
  <c r="G11" i="13"/>
  <c r="G18" i="13"/>
  <c r="G26" i="13"/>
  <c r="G17" i="13"/>
  <c r="G25" i="13"/>
  <c r="G41" i="13"/>
  <c r="G76" i="13"/>
  <c r="G49" i="13"/>
  <c r="G64" i="13"/>
  <c r="G74" i="13"/>
  <c r="H11" i="13"/>
  <c r="H17" i="13"/>
  <c r="H18" i="13"/>
  <c r="H26" i="13"/>
  <c r="H25" i="13"/>
  <c r="H41" i="13"/>
  <c r="H49" i="13"/>
  <c r="H64" i="13"/>
  <c r="H76" i="13"/>
  <c r="H74" i="13"/>
  <c r="I41" i="13"/>
  <c r="G40" i="13"/>
  <c r="K16" i="26"/>
  <c r="H16" i="26" s="1"/>
  <c r="K24" i="13"/>
  <c r="K21" i="13"/>
  <c r="K10" i="13"/>
  <c r="B93" i="13"/>
  <c r="F10" i="7"/>
  <c r="H25" i="26"/>
  <c r="H41" i="26"/>
  <c r="H26" i="26"/>
  <c r="E10" i="26"/>
  <c r="H10" i="26" s="1"/>
  <c r="E3" i="26"/>
  <c r="H3" i="26" s="1"/>
  <c r="D94" i="13"/>
  <c r="H40" i="13"/>
  <c r="F5" i="10"/>
  <c r="F4" i="10"/>
  <c r="E38" i="11"/>
  <c r="M33" i="7"/>
  <c r="M32" i="7"/>
  <c r="L34" i="7"/>
  <c r="I34" i="7"/>
  <c r="H34" i="7"/>
  <c r="G34" i="7"/>
  <c r="F34" i="7"/>
  <c r="E34" i="7"/>
  <c r="D34" i="7"/>
  <c r="L22" i="7"/>
  <c r="I22" i="7"/>
  <c r="H22" i="7"/>
  <c r="G22" i="7"/>
  <c r="F22" i="7"/>
  <c r="E22" i="7"/>
  <c r="D22" i="7"/>
  <c r="C22" i="7"/>
  <c r="B21" i="7"/>
  <c r="B33" i="7"/>
  <c r="H48" i="7"/>
  <c r="G8" i="7"/>
  <c r="W8" i="7"/>
  <c r="Z8" i="7"/>
  <c r="G48" i="7"/>
  <c r="H296" i="50" s="1"/>
  <c r="G7" i="7"/>
  <c r="W7" i="7" s="1"/>
  <c r="F48" i="7"/>
  <c r="H295" i="50" s="1"/>
  <c r="E48" i="7"/>
  <c r="H294" i="50" s="1"/>
  <c r="D48" i="7"/>
  <c r="H293" i="50" s="1"/>
  <c r="G4" i="7"/>
  <c r="W4" i="7"/>
  <c r="AA4" i="7" s="1"/>
  <c r="C48" i="7"/>
  <c r="H292" i="50" s="1"/>
  <c r="D13" i="21"/>
  <c r="C42" i="4"/>
  <c r="M18" i="7"/>
  <c r="M17" i="7"/>
  <c r="M22" i="7" s="1"/>
  <c r="M20" i="7"/>
  <c r="M21" i="7"/>
  <c r="K9" i="7"/>
  <c r="M19" i="7"/>
  <c r="K7" i="7"/>
  <c r="M15" i="7"/>
  <c r="K3" i="7"/>
  <c r="G1" i="24"/>
  <c r="J50" i="13"/>
  <c r="F18" i="13"/>
  <c r="F26" i="13"/>
  <c r="J16" i="36"/>
  <c r="J11" i="36"/>
  <c r="Y8" i="7"/>
  <c r="AC8" i="7" s="1"/>
  <c r="E62" i="49"/>
  <c r="E24" i="26"/>
  <c r="H24" i="26"/>
  <c r="H10" i="24"/>
  <c r="J112" i="36"/>
  <c r="Z4" i="7"/>
  <c r="F40" i="38" s="1"/>
  <c r="E78" i="13"/>
  <c r="E82" i="13"/>
  <c r="F88" i="13"/>
  <c r="F90" i="13"/>
  <c r="F97" i="13"/>
  <c r="H78" i="13"/>
  <c r="H82" i="13"/>
  <c r="G78" i="13"/>
  <c r="G82" i="13"/>
  <c r="K8" i="7"/>
  <c r="E12" i="45"/>
  <c r="D7" i="45"/>
  <c r="E31" i="45"/>
  <c r="F31" i="45"/>
  <c r="E27" i="11"/>
  <c r="F12" i="45"/>
  <c r="H12" i="45" s="1"/>
  <c r="K6" i="7"/>
  <c r="G97" i="13"/>
  <c r="G88" i="13"/>
  <c r="G90" i="13"/>
  <c r="F92" i="13"/>
  <c r="F94" i="13"/>
  <c r="E88" i="13"/>
  <c r="E90" i="13"/>
  <c r="E97" i="13"/>
  <c r="H97" i="13"/>
  <c r="H88" i="13"/>
  <c r="H90" i="13"/>
  <c r="F7" i="45"/>
  <c r="G7" i="45" s="1"/>
  <c r="E7" i="45"/>
  <c r="E92" i="13"/>
  <c r="E94" i="13"/>
  <c r="G92" i="13"/>
  <c r="G94" i="13"/>
  <c r="H92" i="13"/>
  <c r="H94" i="13"/>
  <c r="E1" i="11" l="1"/>
  <c r="T2" i="51"/>
  <c r="C3" i="13"/>
  <c r="D1" i="26"/>
  <c r="H146" i="50"/>
  <c r="H153" i="50" s="1"/>
  <c r="S79" i="49"/>
  <c r="B14" i="46"/>
  <c r="D3" i="51"/>
  <c r="D1" i="45"/>
  <c r="B1" i="46"/>
  <c r="H145" i="50"/>
  <c r="H152" i="50" s="1"/>
  <c r="R79" i="49"/>
  <c r="H11" i="50"/>
  <c r="I11" i="50" s="1"/>
  <c r="D4" i="51"/>
  <c r="E4" i="51" s="1"/>
  <c r="F9" i="10"/>
  <c r="AA7" i="7"/>
  <c r="Y7" i="7"/>
  <c r="C43" i="38" s="1"/>
  <c r="Z7" i="7"/>
  <c r="F43" i="38" s="1"/>
  <c r="Y4" i="7"/>
  <c r="C40" i="38" s="1"/>
  <c r="G5" i="7"/>
  <c r="W5" i="7" s="1"/>
  <c r="M34" i="7"/>
  <c r="L8" i="7"/>
  <c r="G6" i="7"/>
  <c r="W6" i="7" s="1"/>
  <c r="E17" i="45"/>
  <c r="E10" i="11"/>
  <c r="D30" i="45"/>
  <c r="F30" i="45" s="1"/>
  <c r="F42" i="45" s="1"/>
  <c r="D19" i="37"/>
  <c r="D42" i="45"/>
  <c r="E30" i="45"/>
  <c r="H144" i="50"/>
  <c r="H151" i="50" s="1"/>
  <c r="E91" i="5"/>
  <c r="E15" i="45"/>
  <c r="I76" i="13"/>
  <c r="E13" i="45"/>
  <c r="F67" i="41"/>
  <c r="E63" i="49"/>
  <c r="H441" i="50" s="1"/>
  <c r="F72" i="41"/>
  <c r="H13" i="24" s="1"/>
  <c r="F32" i="10"/>
  <c r="F70" i="41"/>
  <c r="G71" i="41" s="1"/>
  <c r="F17" i="45"/>
  <c r="G17" i="45" s="1"/>
  <c r="D18" i="45"/>
  <c r="F14" i="45"/>
  <c r="H14" i="45" s="1"/>
  <c r="E14" i="45"/>
  <c r="D20" i="45"/>
  <c r="F76" i="41"/>
  <c r="H11" i="24" s="1"/>
  <c r="F74" i="41"/>
  <c r="H12" i="24" s="1"/>
  <c r="K5" i="7"/>
  <c r="L5" i="7" s="1"/>
  <c r="D1" i="21"/>
  <c r="B13" i="46"/>
  <c r="A4" i="24"/>
  <c r="I1" i="35"/>
  <c r="N20" i="7"/>
  <c r="D2" i="37"/>
  <c r="G1" i="7"/>
  <c r="L9" i="7"/>
  <c r="P1" i="45"/>
  <c r="G1" i="10"/>
  <c r="N9" i="7"/>
  <c r="Z1" i="45"/>
  <c r="H1" i="23"/>
  <c r="H16" i="45"/>
  <c r="I16" i="45" s="1"/>
  <c r="E1" i="40"/>
  <c r="B3" i="40"/>
  <c r="H1" i="42"/>
  <c r="H1" i="47"/>
  <c r="H1" i="5"/>
  <c r="I1" i="13"/>
  <c r="H1" i="26"/>
  <c r="J1" i="21"/>
  <c r="N4" i="7"/>
  <c r="L4" i="7"/>
  <c r="F33" i="10"/>
  <c r="H8" i="21"/>
  <c r="H134" i="50"/>
  <c r="I15" i="50"/>
  <c r="I77" i="43"/>
  <c r="H77" i="43"/>
  <c r="G77" i="43"/>
  <c r="F77" i="43"/>
  <c r="L77" i="43"/>
  <c r="J9" i="7" s="1"/>
  <c r="K77" i="43"/>
  <c r="J77" i="43"/>
  <c r="E18" i="38"/>
  <c r="E30" i="38" s="1"/>
  <c r="H147" i="50"/>
  <c r="H154" i="50" s="1"/>
  <c r="H148" i="50"/>
  <c r="H155" i="50" s="1"/>
  <c r="H149" i="50"/>
  <c r="H156" i="50" s="1"/>
  <c r="J76" i="43"/>
  <c r="B43" i="38" s="1"/>
  <c r="E94" i="5"/>
  <c r="H88" i="5"/>
  <c r="I80" i="13"/>
  <c r="D24" i="45" s="1"/>
  <c r="F24" i="45" s="1"/>
  <c r="E95" i="5"/>
  <c r="E96" i="5" s="1"/>
  <c r="E19" i="38"/>
  <c r="E31" i="38" s="1"/>
  <c r="E15" i="38"/>
  <c r="E27" i="38" s="1"/>
  <c r="E92" i="5"/>
  <c r="E16" i="38"/>
  <c r="E28" i="38" s="1"/>
  <c r="E93" i="5"/>
  <c r="E17" i="38"/>
  <c r="E29" i="38" s="1"/>
  <c r="G3" i="7"/>
  <c r="W3" i="7" s="1"/>
  <c r="B33" i="38"/>
  <c r="E1" i="41"/>
  <c r="I72" i="43"/>
  <c r="H197" i="50" s="1"/>
  <c r="H309" i="50" s="1"/>
  <c r="J15" i="45"/>
  <c r="L15" i="45" s="1"/>
  <c r="I15" i="45"/>
  <c r="I12" i="45"/>
  <c r="J12" i="45"/>
  <c r="L12" i="45" s="1"/>
  <c r="G15" i="45"/>
  <c r="G12" i="45"/>
  <c r="H7" i="45"/>
  <c r="J7" i="45" s="1"/>
  <c r="E11" i="26"/>
  <c r="F24" i="10"/>
  <c r="J75" i="43"/>
  <c r="N19" i="7"/>
  <c r="L7" i="7"/>
  <c r="N7" i="7"/>
  <c r="L6" i="7"/>
  <c r="N18" i="7"/>
  <c r="N6" i="7"/>
  <c r="N15" i="7"/>
  <c r="L3" i="7"/>
  <c r="E10" i="7"/>
  <c r="N17" i="7"/>
  <c r="D24" i="21"/>
  <c r="D19" i="21"/>
  <c r="H31" i="45"/>
  <c r="G31" i="45"/>
  <c r="G13" i="45"/>
  <c r="H13" i="45"/>
  <c r="D23" i="21"/>
  <c r="D18" i="21"/>
  <c r="D22" i="21"/>
  <c r="D16" i="21"/>
  <c r="K73" i="43"/>
  <c r="H192" i="50" s="1"/>
  <c r="H304" i="50" s="1"/>
  <c r="D20" i="21"/>
  <c r="D15" i="21"/>
  <c r="D25" i="21"/>
  <c r="F75" i="43"/>
  <c r="C83" i="43" s="1"/>
  <c r="F76" i="43"/>
  <c r="B39" i="38" s="1"/>
  <c r="K72" i="43"/>
  <c r="D17" i="21"/>
  <c r="J74" i="43"/>
  <c r="H284" i="50" s="1"/>
  <c r="H323" i="50" s="1"/>
  <c r="H72" i="43"/>
  <c r="H196" i="50" s="1"/>
  <c r="H308" i="50" s="1"/>
  <c r="I75" i="43"/>
  <c r="H73" i="43"/>
  <c r="H189" i="50" s="1"/>
  <c r="H301" i="50" s="1"/>
  <c r="G74" i="43"/>
  <c r="H281" i="50" s="1"/>
  <c r="H320" i="50" s="1"/>
  <c r="H76" i="43"/>
  <c r="B41" i="38" s="1"/>
  <c r="K75" i="43"/>
  <c r="L74" i="43"/>
  <c r="H74" i="43"/>
  <c r="H282" i="50" s="1"/>
  <c r="H321" i="50" s="1"/>
  <c r="E71" i="43"/>
  <c r="G73" i="43"/>
  <c r="H188" i="50" s="1"/>
  <c r="H300" i="50" s="1"/>
  <c r="K76" i="43"/>
  <c r="I73" i="43"/>
  <c r="H190" i="50" s="1"/>
  <c r="H302" i="50" s="1"/>
  <c r="H75" i="43"/>
  <c r="K74" i="43"/>
  <c r="H285" i="50" s="1"/>
  <c r="H324" i="50" s="1"/>
  <c r="L75" i="43"/>
  <c r="J72" i="43"/>
  <c r="L73" i="43"/>
  <c r="H193" i="50" s="1"/>
  <c r="H305" i="50" s="1"/>
  <c r="I76" i="43"/>
  <c r="B42" i="38" s="1"/>
  <c r="F74" i="43"/>
  <c r="H280" i="50" s="1"/>
  <c r="H319" i="50" s="1"/>
  <c r="I74" i="43"/>
  <c r="H283" i="50" s="1"/>
  <c r="H322" i="50" s="1"/>
  <c r="L76" i="43"/>
  <c r="J73" i="43"/>
  <c r="H191" i="50" s="1"/>
  <c r="H303" i="50" s="1"/>
  <c r="F72" i="43"/>
  <c r="H194" i="50" s="1"/>
  <c r="H306" i="50" s="1"/>
  <c r="L72" i="43"/>
  <c r="G75" i="43"/>
  <c r="G72" i="43"/>
  <c r="F73" i="43"/>
  <c r="G76" i="43"/>
  <c r="B40" i="38" s="1"/>
  <c r="D21" i="21"/>
  <c r="H157" i="50" l="1"/>
  <c r="H167" i="50" s="1"/>
  <c r="I167" i="50" s="1"/>
  <c r="V79" i="49"/>
  <c r="H14" i="24"/>
  <c r="H18" i="50"/>
  <c r="D7" i="51"/>
  <c r="F33" i="45"/>
  <c r="G33" i="45" s="1"/>
  <c r="G14" i="45"/>
  <c r="H17" i="45"/>
  <c r="J17" i="45" s="1"/>
  <c r="K17" i="45" s="1"/>
  <c r="F42" i="10"/>
  <c r="E10" i="38" s="1"/>
  <c r="E12" i="38" s="1"/>
  <c r="C32" i="38" s="1"/>
  <c r="D32" i="38" s="1"/>
  <c r="H437" i="50"/>
  <c r="G75" i="41"/>
  <c r="H438" i="50"/>
  <c r="AA5" i="7"/>
  <c r="Y5" i="7"/>
  <c r="C41" i="38" s="1"/>
  <c r="Z5" i="7"/>
  <c r="F41" i="38" s="1"/>
  <c r="AA6" i="7"/>
  <c r="Y6" i="7"/>
  <c r="C42" i="38" s="1"/>
  <c r="Z6" i="7"/>
  <c r="F42" i="38" s="1"/>
  <c r="G30" i="45"/>
  <c r="H30" i="45"/>
  <c r="J30" i="45" s="1"/>
  <c r="L30" i="45" s="1"/>
  <c r="D33" i="45"/>
  <c r="G73" i="41"/>
  <c r="H439" i="50"/>
  <c r="F18" i="45"/>
  <c r="E18" i="45"/>
  <c r="E20" i="45"/>
  <c r="H435" i="50"/>
  <c r="G77" i="41"/>
  <c r="K10" i="7"/>
  <c r="J16" i="45"/>
  <c r="K16" i="45" s="1"/>
  <c r="K12" i="45"/>
  <c r="I7" i="45"/>
  <c r="K15" i="45"/>
  <c r="H278" i="50"/>
  <c r="H317" i="50" s="1"/>
  <c r="J7" i="7"/>
  <c r="AD7" i="7" s="1"/>
  <c r="H279" i="50"/>
  <c r="H318" i="50" s="1"/>
  <c r="J8" i="7"/>
  <c r="AD8" i="7" s="1"/>
  <c r="H274" i="50"/>
  <c r="H313" i="50" s="1"/>
  <c r="J3" i="7"/>
  <c r="AD3" i="7" s="1"/>
  <c r="H275" i="50"/>
  <c r="H314" i="50" s="1"/>
  <c r="J4" i="7"/>
  <c r="AD4" i="7" s="1"/>
  <c r="H276" i="50"/>
  <c r="H315" i="50" s="1"/>
  <c r="J5" i="7"/>
  <c r="AD5" i="7" s="1"/>
  <c r="H277" i="50"/>
  <c r="H316" i="50" s="1"/>
  <c r="J6" i="7"/>
  <c r="AD6" i="7" s="1"/>
  <c r="D39" i="38"/>
  <c r="H187" i="50"/>
  <c r="H299" i="50" s="1"/>
  <c r="AB4" i="7"/>
  <c r="H40" i="38" s="1"/>
  <c r="H195" i="50"/>
  <c r="H307" i="50" s="1"/>
  <c r="AB7" i="7"/>
  <c r="H43" i="38" s="1"/>
  <c r="H198" i="50"/>
  <c r="H310" i="50" s="1"/>
  <c r="AB8" i="7"/>
  <c r="H199" i="50"/>
  <c r="H311" i="50" s="1"/>
  <c r="E32" i="38"/>
  <c r="L10" i="7"/>
  <c r="I8" i="13" s="1"/>
  <c r="I14" i="13" s="1"/>
  <c r="I17" i="13" s="1"/>
  <c r="D6" i="45" s="1"/>
  <c r="E24" i="45"/>
  <c r="I7" i="7"/>
  <c r="D43" i="38"/>
  <c r="I6" i="7"/>
  <c r="D42" i="38"/>
  <c r="I5" i="7"/>
  <c r="D41" i="38"/>
  <c r="I4" i="7"/>
  <c r="D40" i="38"/>
  <c r="BC5" i="7"/>
  <c r="I3" i="7"/>
  <c r="Y3" i="7"/>
  <c r="Z3" i="7"/>
  <c r="BC6" i="7"/>
  <c r="H24" i="45"/>
  <c r="G24" i="45"/>
  <c r="J14" i="45"/>
  <c r="I14" i="45"/>
  <c r="N12" i="45"/>
  <c r="M12" i="45"/>
  <c r="K7" i="45"/>
  <c r="L7" i="45"/>
  <c r="J42" i="45"/>
  <c r="I31" i="45"/>
  <c r="J31" i="45"/>
  <c r="M15" i="45"/>
  <c r="N15" i="45"/>
  <c r="J13" i="45"/>
  <c r="I13" i="45"/>
  <c r="BC4" i="7"/>
  <c r="BC7" i="7"/>
  <c r="BC3" i="7"/>
  <c r="F43" i="45" l="1"/>
  <c r="H209" i="50"/>
  <c r="H212" i="50" s="1"/>
  <c r="J25" i="51" s="1"/>
  <c r="H17" i="50"/>
  <c r="H102" i="50"/>
  <c r="F48" i="10"/>
  <c r="D50" i="10" s="1"/>
  <c r="D29" i="21"/>
  <c r="D31" i="21" s="1"/>
  <c r="H31" i="21" s="1"/>
  <c r="E20" i="26"/>
  <c r="H20" i="26" s="1"/>
  <c r="H42" i="45"/>
  <c r="I17" i="45"/>
  <c r="L17" i="45"/>
  <c r="N17" i="45" s="1"/>
  <c r="O17" i="45" s="1"/>
  <c r="K30" i="45"/>
  <c r="I30" i="45"/>
  <c r="AB5" i="7"/>
  <c r="H41" i="38" s="1"/>
  <c r="AB6" i="7"/>
  <c r="H42" i="38" s="1"/>
  <c r="H533" i="50"/>
  <c r="D43" i="45"/>
  <c r="H532" i="50" s="1"/>
  <c r="E33" i="45"/>
  <c r="H33" i="45"/>
  <c r="I10" i="7"/>
  <c r="G18" i="45"/>
  <c r="H18" i="45"/>
  <c r="F20" i="45"/>
  <c r="G20" i="45" s="1"/>
  <c r="L16" i="45"/>
  <c r="M16" i="45" s="1"/>
  <c r="C31" i="38"/>
  <c r="D31" i="38" s="1"/>
  <c r="F31" i="38" s="1"/>
  <c r="E13" i="38"/>
  <c r="C27" i="38"/>
  <c r="D27" i="38" s="1"/>
  <c r="F27" i="38" s="1"/>
  <c r="I11" i="13"/>
  <c r="D5" i="45" s="1"/>
  <c r="H524" i="50" s="1"/>
  <c r="C30" i="38"/>
  <c r="D30" i="38" s="1"/>
  <c r="F30" i="38" s="1"/>
  <c r="C29" i="38"/>
  <c r="D29" i="38" s="1"/>
  <c r="F29" i="38" s="1"/>
  <c r="C28" i="38"/>
  <c r="D28" i="38" s="1"/>
  <c r="F28" i="38" s="1"/>
  <c r="F32" i="38"/>
  <c r="AC4" i="7"/>
  <c r="E40" i="38" s="1"/>
  <c r="AC5" i="7"/>
  <c r="E41" i="38" s="1"/>
  <c r="AC6" i="7"/>
  <c r="E42" i="38" s="1"/>
  <c r="AC7" i="7"/>
  <c r="E43" i="38" s="1"/>
  <c r="F39" i="38"/>
  <c r="AB3" i="7"/>
  <c r="H39" i="38" s="1"/>
  <c r="C39" i="38"/>
  <c r="AC3" i="7"/>
  <c r="E39" i="38" s="1"/>
  <c r="L31" i="45"/>
  <c r="L33" i="45" s="1"/>
  <c r="K31" i="45"/>
  <c r="N7" i="45"/>
  <c r="M7" i="45"/>
  <c r="K14" i="45"/>
  <c r="L14" i="45"/>
  <c r="L42" i="45"/>
  <c r="M30" i="45"/>
  <c r="N30" i="45"/>
  <c r="O12" i="45"/>
  <c r="P12" i="45"/>
  <c r="J33" i="45"/>
  <c r="K13" i="45"/>
  <c r="L13" i="45"/>
  <c r="O15" i="45"/>
  <c r="P15" i="45"/>
  <c r="E6" i="45"/>
  <c r="F6" i="45"/>
  <c r="J24" i="45"/>
  <c r="I24" i="45"/>
  <c r="D49" i="10" l="1"/>
  <c r="H15" i="24"/>
  <c r="H214" i="50"/>
  <c r="J27" i="51" s="1"/>
  <c r="H213" i="50"/>
  <c r="J26" i="51" s="1"/>
  <c r="H211" i="50"/>
  <c r="J24" i="51" s="1"/>
  <c r="H215" i="50"/>
  <c r="H210" i="50"/>
  <c r="I212" i="50"/>
  <c r="F23" i="10"/>
  <c r="H14" i="50"/>
  <c r="H93" i="50" s="1"/>
  <c r="E22" i="26"/>
  <c r="H22" i="26" s="1"/>
  <c r="E17" i="26"/>
  <c r="H17" i="26" s="1"/>
  <c r="E21" i="26"/>
  <c r="H21" i="26" s="1"/>
  <c r="N16" i="45"/>
  <c r="P16" i="45" s="1"/>
  <c r="P17" i="45"/>
  <c r="R17" i="45" s="1"/>
  <c r="M17" i="45"/>
  <c r="H43" i="45"/>
  <c r="I33" i="45"/>
  <c r="J18" i="45"/>
  <c r="I18" i="45"/>
  <c r="H20" i="45"/>
  <c r="I20" i="45" s="1"/>
  <c r="F33" i="38"/>
  <c r="D33" i="38"/>
  <c r="C34" i="38" s="1"/>
  <c r="I18" i="13"/>
  <c r="I26" i="13" s="1"/>
  <c r="I78" i="13" s="1"/>
  <c r="I82" i="13" s="1"/>
  <c r="I88" i="13" s="1"/>
  <c r="I92" i="13" s="1"/>
  <c r="I94" i="13" s="1"/>
  <c r="L24" i="45"/>
  <c r="K24" i="45"/>
  <c r="R15" i="45"/>
  <c r="Q15" i="45"/>
  <c r="F5" i="45"/>
  <c r="D9" i="45"/>
  <c r="E5" i="45"/>
  <c r="H6" i="45"/>
  <c r="G6" i="45"/>
  <c r="O7" i="45"/>
  <c r="P7" i="45"/>
  <c r="J43" i="45"/>
  <c r="K33" i="45"/>
  <c r="N42" i="45"/>
  <c r="P30" i="45"/>
  <c r="O30" i="45"/>
  <c r="R12" i="45"/>
  <c r="Q12" i="45"/>
  <c r="L43" i="45"/>
  <c r="M33" i="45"/>
  <c r="N31" i="45"/>
  <c r="M31" i="45"/>
  <c r="N13" i="45"/>
  <c r="M13" i="45"/>
  <c r="M14" i="45"/>
  <c r="N14" i="45"/>
  <c r="E20" i="38" l="1"/>
  <c r="E21" i="38" s="1"/>
  <c r="H11" i="26" s="1"/>
  <c r="F11" i="38"/>
  <c r="H216" i="50"/>
  <c r="I211" i="50"/>
  <c r="I213" i="50"/>
  <c r="I214" i="50"/>
  <c r="J23" i="51"/>
  <c r="I210" i="50"/>
  <c r="D28" i="51"/>
  <c r="J28" i="51"/>
  <c r="I215" i="50"/>
  <c r="H111" i="50"/>
  <c r="H116" i="50" s="1"/>
  <c r="H369" i="50"/>
  <c r="H433" i="50"/>
  <c r="I18" i="50"/>
  <c r="H110" i="50"/>
  <c r="H333" i="50" s="1"/>
  <c r="I333" i="50" s="1"/>
  <c r="H347" i="50"/>
  <c r="I347" i="50" s="1"/>
  <c r="Q17" i="45"/>
  <c r="O16" i="45"/>
  <c r="H96" i="50"/>
  <c r="I30" i="50" s="1"/>
  <c r="H98" i="50"/>
  <c r="I32" i="50" s="1"/>
  <c r="H99" i="50"/>
  <c r="I33" i="50" s="1"/>
  <c r="H100" i="50"/>
  <c r="I34" i="50" s="1"/>
  <c r="H95" i="50"/>
  <c r="I29" i="50" s="1"/>
  <c r="H97" i="50"/>
  <c r="I31" i="50" s="1"/>
  <c r="K18" i="45"/>
  <c r="L18" i="45"/>
  <c r="J20" i="45"/>
  <c r="K20" i="45" s="1"/>
  <c r="H94" i="50"/>
  <c r="R30" i="45"/>
  <c r="Q30" i="45"/>
  <c r="P42" i="45"/>
  <c r="D46" i="45"/>
  <c r="E9" i="45"/>
  <c r="D22" i="45"/>
  <c r="T15" i="45"/>
  <c r="S15" i="45"/>
  <c r="O14" i="45"/>
  <c r="P14" i="45"/>
  <c r="G5" i="45"/>
  <c r="H5" i="45"/>
  <c r="F9" i="45"/>
  <c r="T17" i="45"/>
  <c r="S17" i="45"/>
  <c r="S12" i="45"/>
  <c r="T12" i="45"/>
  <c r="R7" i="45"/>
  <c r="Q7" i="45"/>
  <c r="Q16" i="45"/>
  <c r="R16" i="45"/>
  <c r="I6" i="45"/>
  <c r="J6" i="45"/>
  <c r="P13" i="45"/>
  <c r="O13" i="45"/>
  <c r="P31" i="45"/>
  <c r="P33" i="45" s="1"/>
  <c r="O31" i="45"/>
  <c r="N33" i="45"/>
  <c r="N24" i="45"/>
  <c r="M24" i="45"/>
  <c r="J30" i="51" l="1"/>
  <c r="H123" i="50"/>
  <c r="H222" i="50" s="1"/>
  <c r="H131" i="50"/>
  <c r="H113" i="50"/>
  <c r="H128" i="50" s="1"/>
  <c r="R78" i="49" s="1"/>
  <c r="H254" i="50"/>
  <c r="H112" i="50"/>
  <c r="H227" i="50" s="1"/>
  <c r="H205" i="50"/>
  <c r="H115" i="50"/>
  <c r="H114" i="50"/>
  <c r="U81" i="49"/>
  <c r="U96" i="49"/>
  <c r="U98" i="49" s="1"/>
  <c r="H117" i="50"/>
  <c r="H232" i="50" s="1"/>
  <c r="H57" i="49"/>
  <c r="J13" i="51" s="1"/>
  <c r="H159" i="50"/>
  <c r="H163" i="50"/>
  <c r="H61" i="49"/>
  <c r="H164" i="50"/>
  <c r="H62" i="49"/>
  <c r="H160" i="50"/>
  <c r="H58" i="49"/>
  <c r="H161" i="50"/>
  <c r="H59" i="49"/>
  <c r="H162" i="50"/>
  <c r="H60" i="49"/>
  <c r="H101" i="50"/>
  <c r="I35" i="50" s="1"/>
  <c r="M18" i="45"/>
  <c r="N18" i="45"/>
  <c r="L20" i="45"/>
  <c r="M20" i="45" s="1"/>
  <c r="Q33" i="45"/>
  <c r="P43" i="45"/>
  <c r="V17" i="45"/>
  <c r="U17" i="45"/>
  <c r="E22" i="45"/>
  <c r="D27" i="45"/>
  <c r="S7" i="45"/>
  <c r="T7" i="45"/>
  <c r="J5" i="45"/>
  <c r="H9" i="45"/>
  <c r="I5" i="45"/>
  <c r="O24" i="45"/>
  <c r="P24" i="45"/>
  <c r="K6" i="45"/>
  <c r="L6" i="45"/>
  <c r="Q14" i="45"/>
  <c r="R14" i="45"/>
  <c r="F22" i="45"/>
  <c r="F46" i="45"/>
  <c r="G9" i="45"/>
  <c r="U12" i="45"/>
  <c r="V12" i="45"/>
  <c r="Q13" i="45"/>
  <c r="R13" i="45"/>
  <c r="N43" i="45"/>
  <c r="O33" i="45"/>
  <c r="U15" i="45"/>
  <c r="V15" i="45"/>
  <c r="Q31" i="45"/>
  <c r="R31" i="45"/>
  <c r="S16" i="45"/>
  <c r="T16" i="45"/>
  <c r="T30" i="45"/>
  <c r="R42" i="45"/>
  <c r="S30" i="45"/>
  <c r="H269" i="50" l="1"/>
  <c r="H231" i="50"/>
  <c r="K27" i="51"/>
  <c r="H239" i="50"/>
  <c r="F27" i="51" s="1"/>
  <c r="H175" i="50"/>
  <c r="L61" i="49" s="1"/>
  <c r="D17" i="51" s="1"/>
  <c r="U78" i="49"/>
  <c r="U82" i="49" s="1"/>
  <c r="H119" i="50"/>
  <c r="H218" i="50" s="1"/>
  <c r="H122" i="50"/>
  <c r="H221" i="50" s="1"/>
  <c r="H124" i="50"/>
  <c r="H223" i="50" s="1"/>
  <c r="H240" i="50" s="1"/>
  <c r="H120" i="50"/>
  <c r="H219" i="50" s="1"/>
  <c r="H140" i="50"/>
  <c r="K17" i="51"/>
  <c r="H121" i="50"/>
  <c r="H220" i="50" s="1"/>
  <c r="Q81" i="49"/>
  <c r="H136" i="50"/>
  <c r="H127" i="50"/>
  <c r="H141" i="50"/>
  <c r="I62" i="49" s="1"/>
  <c r="H18" i="51" s="1"/>
  <c r="H132" i="50"/>
  <c r="H251" i="50"/>
  <c r="S81" i="49"/>
  <c r="H129" i="50"/>
  <c r="T81" i="49"/>
  <c r="H130" i="50"/>
  <c r="T78" i="49" s="1"/>
  <c r="R96" i="49"/>
  <c r="R98" i="49" s="1"/>
  <c r="R81" i="49"/>
  <c r="R82" i="49" s="1"/>
  <c r="H204" i="50"/>
  <c r="H202" i="50"/>
  <c r="S96" i="49"/>
  <c r="S98" i="49" s="1"/>
  <c r="H250" i="50"/>
  <c r="H201" i="50"/>
  <c r="Q96" i="49"/>
  <c r="Q97" i="49" s="1"/>
  <c r="U83" i="49"/>
  <c r="H252" i="50"/>
  <c r="H253" i="50"/>
  <c r="H203" i="50"/>
  <c r="U97" i="49"/>
  <c r="H183" i="50"/>
  <c r="J61" i="49" s="1"/>
  <c r="F17" i="51" s="1"/>
  <c r="H206" i="50"/>
  <c r="J15" i="51"/>
  <c r="J18" i="51"/>
  <c r="J16" i="51"/>
  <c r="J14" i="51"/>
  <c r="J17" i="51"/>
  <c r="H165" i="50"/>
  <c r="H168" i="50" s="1"/>
  <c r="O18" i="45"/>
  <c r="P18" i="45"/>
  <c r="N20" i="45"/>
  <c r="O20" i="45" s="1"/>
  <c r="Y5" i="49"/>
  <c r="Y9" i="49" s="1"/>
  <c r="Y10" i="49" s="1"/>
  <c r="H514" i="50" s="1"/>
  <c r="H515" i="50" s="1"/>
  <c r="T31" i="45"/>
  <c r="T33" i="45" s="1"/>
  <c r="S31" i="45"/>
  <c r="U16" i="45"/>
  <c r="V16" i="45"/>
  <c r="Q24" i="45"/>
  <c r="R24" i="45"/>
  <c r="G22" i="45"/>
  <c r="F27" i="45"/>
  <c r="T13" i="45"/>
  <c r="S13" i="45"/>
  <c r="S14" i="45"/>
  <c r="T14" i="45"/>
  <c r="I9" i="45"/>
  <c r="H46" i="45"/>
  <c r="H22" i="45"/>
  <c r="K5" i="45"/>
  <c r="L5" i="45"/>
  <c r="J9" i="45"/>
  <c r="X17" i="45"/>
  <c r="W17" i="45"/>
  <c r="E27" i="45"/>
  <c r="D35" i="45"/>
  <c r="D50" i="45" s="1"/>
  <c r="D47" i="45" s="1"/>
  <c r="U30" i="45"/>
  <c r="V30" i="45"/>
  <c r="T42" i="45"/>
  <c r="W12" i="45"/>
  <c r="X12" i="45"/>
  <c r="N6" i="45"/>
  <c r="M6" i="45"/>
  <c r="V7" i="45"/>
  <c r="U7" i="45"/>
  <c r="R33" i="45"/>
  <c r="X15" i="45"/>
  <c r="W15" i="45"/>
  <c r="T82" i="49" l="1"/>
  <c r="H268" i="50"/>
  <c r="H230" i="50"/>
  <c r="H26" i="51" s="1"/>
  <c r="S78" i="49"/>
  <c r="V78" i="49" s="1"/>
  <c r="H173" i="50"/>
  <c r="L59" i="49" s="1"/>
  <c r="D15" i="51" s="1"/>
  <c r="E15" i="51" s="1"/>
  <c r="I239" i="50"/>
  <c r="H266" i="50"/>
  <c r="D24" i="51" s="1"/>
  <c r="E24" i="51" s="1"/>
  <c r="H228" i="50"/>
  <c r="H24" i="51" s="1"/>
  <c r="H267" i="50"/>
  <c r="D25" i="51" s="1"/>
  <c r="E25" i="51" s="1"/>
  <c r="H229" i="50"/>
  <c r="H25" i="51" s="1"/>
  <c r="L25" i="51" s="1"/>
  <c r="K28" i="51"/>
  <c r="F28" i="51"/>
  <c r="H235" i="50"/>
  <c r="H265" i="50"/>
  <c r="K25" i="51"/>
  <c r="H237" i="50"/>
  <c r="F25" i="51" s="1"/>
  <c r="K26" i="51"/>
  <c r="H238" i="50"/>
  <c r="F26" i="51" s="1"/>
  <c r="K24" i="51"/>
  <c r="H236" i="50"/>
  <c r="E17" i="51"/>
  <c r="H75" i="5"/>
  <c r="H27" i="51"/>
  <c r="L27" i="51" s="1"/>
  <c r="H28" i="51"/>
  <c r="H23" i="51"/>
  <c r="K13" i="51"/>
  <c r="Q78" i="49"/>
  <c r="Q82" i="49" s="1"/>
  <c r="H171" i="50"/>
  <c r="H62" i="5" s="1"/>
  <c r="H139" i="50"/>
  <c r="I60" i="49" s="1"/>
  <c r="H16" i="51" s="1"/>
  <c r="K16" i="51"/>
  <c r="H224" i="50"/>
  <c r="K23" i="51"/>
  <c r="G27" i="51"/>
  <c r="H181" i="50"/>
  <c r="J59" i="49" s="1"/>
  <c r="F15" i="51" s="1"/>
  <c r="K15" i="51"/>
  <c r="G17" i="51"/>
  <c r="H137" i="50"/>
  <c r="K14" i="51"/>
  <c r="H176" i="50"/>
  <c r="H67" i="5" s="1"/>
  <c r="K18" i="51"/>
  <c r="H125" i="50"/>
  <c r="Q83" i="49"/>
  <c r="H138" i="50"/>
  <c r="S83" i="49"/>
  <c r="H180" i="50"/>
  <c r="J58" i="49" s="1"/>
  <c r="F14" i="51" s="1"/>
  <c r="H172" i="50"/>
  <c r="L58" i="49" s="1"/>
  <c r="D14" i="51" s="1"/>
  <c r="H174" i="50"/>
  <c r="L60" i="49" s="1"/>
  <c r="D16" i="51" s="1"/>
  <c r="R97" i="49"/>
  <c r="T96" i="49"/>
  <c r="T97" i="49" s="1"/>
  <c r="R83" i="49"/>
  <c r="J20" i="51"/>
  <c r="I57" i="49"/>
  <c r="H13" i="51" s="1"/>
  <c r="S97" i="49"/>
  <c r="H182" i="50"/>
  <c r="J60" i="49" s="1"/>
  <c r="F16" i="51" s="1"/>
  <c r="D26" i="51"/>
  <c r="E26" i="51" s="1"/>
  <c r="D27" i="51"/>
  <c r="E27" i="51" s="1"/>
  <c r="Q98" i="49"/>
  <c r="H179" i="50"/>
  <c r="H184" i="50"/>
  <c r="J62" i="49" s="1"/>
  <c r="F18" i="51" s="1"/>
  <c r="L18" i="51" s="1"/>
  <c r="H133" i="50"/>
  <c r="H207" i="50"/>
  <c r="I208" i="50" s="1"/>
  <c r="T83" i="49"/>
  <c r="V81" i="49"/>
  <c r="Q18" i="45"/>
  <c r="R18" i="45"/>
  <c r="P20" i="45"/>
  <c r="Q20" i="45" s="1"/>
  <c r="U33" i="45"/>
  <c r="T43" i="45"/>
  <c r="Y12" i="45"/>
  <c r="Z12" i="45"/>
  <c r="Z17" i="45"/>
  <c r="Y17" i="45"/>
  <c r="N5" i="45"/>
  <c r="L9" i="45"/>
  <c r="M5" i="45"/>
  <c r="W7" i="45"/>
  <c r="X7" i="45"/>
  <c r="V13" i="45"/>
  <c r="U13" i="45"/>
  <c r="R43" i="45"/>
  <c r="S33" i="45"/>
  <c r="K9" i="45"/>
  <c r="J46" i="45"/>
  <c r="J22" i="45"/>
  <c r="S24" i="45"/>
  <c r="T24" i="45"/>
  <c r="V42" i="45"/>
  <c r="X30" i="45"/>
  <c r="W30" i="45"/>
  <c r="W16" i="45"/>
  <c r="X16" i="45"/>
  <c r="I22" i="45"/>
  <c r="H27" i="45"/>
  <c r="P6" i="45"/>
  <c r="O6" i="45"/>
  <c r="D37" i="45"/>
  <c r="E35" i="45"/>
  <c r="U14" i="45"/>
  <c r="V14" i="45"/>
  <c r="H512" i="50"/>
  <c r="I512" i="50" s="1"/>
  <c r="F35" i="45"/>
  <c r="F50" i="45" s="1"/>
  <c r="F47" i="45" s="1"/>
  <c r="G27" i="45"/>
  <c r="Z15" i="45"/>
  <c r="Y15" i="45"/>
  <c r="V31" i="45"/>
  <c r="U31" i="45"/>
  <c r="H64" i="5" l="1"/>
  <c r="S82" i="49"/>
  <c r="Q85" i="49" s="1"/>
  <c r="M27" i="51"/>
  <c r="L28" i="51"/>
  <c r="M28" i="51" s="1"/>
  <c r="L26" i="51"/>
  <c r="M26" i="51" s="1"/>
  <c r="L16" i="51"/>
  <c r="H76" i="5"/>
  <c r="I240" i="50"/>
  <c r="D23" i="51"/>
  <c r="E23" i="51" s="1"/>
  <c r="H271" i="50"/>
  <c r="M25" i="51"/>
  <c r="I27" i="51"/>
  <c r="P27" i="51" s="1"/>
  <c r="H241" i="50"/>
  <c r="K30" i="51"/>
  <c r="K29" i="51"/>
  <c r="E16" i="51"/>
  <c r="K19" i="51"/>
  <c r="E14" i="51"/>
  <c r="I23" i="51"/>
  <c r="I26" i="51"/>
  <c r="P26" i="51" s="1"/>
  <c r="I24" i="51"/>
  <c r="P24" i="51" s="1"/>
  <c r="I235" i="50"/>
  <c r="F23" i="51"/>
  <c r="L23" i="51" s="1"/>
  <c r="G102" i="49"/>
  <c r="I18" i="51"/>
  <c r="H79" i="49" s="1"/>
  <c r="I28" i="51"/>
  <c r="L57" i="49"/>
  <c r="D13" i="51" s="1"/>
  <c r="I207" i="50"/>
  <c r="M16" i="51"/>
  <c r="H72" i="5"/>
  <c r="F24" i="51"/>
  <c r="L24" i="51" s="1"/>
  <c r="M24" i="51" s="1"/>
  <c r="K20" i="51"/>
  <c r="L62" i="49"/>
  <c r="G15" i="51"/>
  <c r="H102" i="49"/>
  <c r="G28" i="51"/>
  <c r="G16" i="51"/>
  <c r="G14" i="51"/>
  <c r="I13" i="51"/>
  <c r="G100" i="49"/>
  <c r="G98" i="49"/>
  <c r="I59" i="49"/>
  <c r="H142" i="50"/>
  <c r="H101" i="49"/>
  <c r="G101" i="49"/>
  <c r="H177" i="50"/>
  <c r="H65" i="5"/>
  <c r="K62" i="49"/>
  <c r="M62" i="49"/>
  <c r="Q86" i="49"/>
  <c r="J57" i="49"/>
  <c r="H185" i="50"/>
  <c r="T98" i="49"/>
  <c r="Q101" i="49" s="1"/>
  <c r="H71" i="5"/>
  <c r="K60" i="49"/>
  <c r="Q100" i="49"/>
  <c r="H73" i="5"/>
  <c r="I238" i="50"/>
  <c r="H233" i="50"/>
  <c r="I25" i="51"/>
  <c r="P25" i="51" s="1"/>
  <c r="H74" i="5"/>
  <c r="I236" i="50"/>
  <c r="I237" i="50"/>
  <c r="I58" i="49"/>
  <c r="H63" i="5"/>
  <c r="T18" i="45"/>
  <c r="S18" i="45"/>
  <c r="R20" i="45"/>
  <c r="S20" i="45" s="1"/>
  <c r="X31" i="45"/>
  <c r="X33" i="45" s="1"/>
  <c r="W31" i="45"/>
  <c r="AA15" i="45"/>
  <c r="AB15" i="45"/>
  <c r="Z16" i="45"/>
  <c r="Y16" i="45"/>
  <c r="F37" i="45"/>
  <c r="G35" i="45"/>
  <c r="O5" i="45"/>
  <c r="P5" i="45"/>
  <c r="N9" i="45"/>
  <c r="H35" i="45"/>
  <c r="H50" i="45" s="1"/>
  <c r="H47" i="45" s="1"/>
  <c r="I27" i="45"/>
  <c r="U24" i="45"/>
  <c r="V24" i="45"/>
  <c r="X13" i="45"/>
  <c r="W13" i="45"/>
  <c r="E37" i="45"/>
  <c r="D38" i="45"/>
  <c r="E4" i="48" s="1"/>
  <c r="J27" i="45"/>
  <c r="K22" i="45"/>
  <c r="Y7" i="45"/>
  <c r="Z7" i="45"/>
  <c r="AB17" i="45"/>
  <c r="AA17" i="45"/>
  <c r="AB12" i="45"/>
  <c r="AA12" i="45"/>
  <c r="W14" i="45"/>
  <c r="X14" i="45"/>
  <c r="Y30" i="45"/>
  <c r="Z30" i="45"/>
  <c r="X42" i="45"/>
  <c r="R6" i="45"/>
  <c r="Q6" i="45"/>
  <c r="V33" i="45"/>
  <c r="M9" i="45"/>
  <c r="L22" i="45"/>
  <c r="L46" i="45"/>
  <c r="D30" i="51" l="1"/>
  <c r="P23" i="51"/>
  <c r="M23" i="51"/>
  <c r="G97" i="49"/>
  <c r="K57" i="49"/>
  <c r="F13" i="51"/>
  <c r="L13" i="51" s="1"/>
  <c r="H15" i="51"/>
  <c r="D18" i="51"/>
  <c r="E18" i="51" s="1"/>
  <c r="H89" i="49"/>
  <c r="I89" i="49" s="1"/>
  <c r="I29" i="51"/>
  <c r="E13" i="51"/>
  <c r="M13" i="51"/>
  <c r="H87" i="49"/>
  <c r="I87" i="49" s="1"/>
  <c r="I16" i="51"/>
  <c r="H77" i="49" s="1"/>
  <c r="I77" i="49" s="1"/>
  <c r="M60" i="49" s="1"/>
  <c r="K58" i="49"/>
  <c r="H14" i="51"/>
  <c r="I30" i="51"/>
  <c r="H98" i="49"/>
  <c r="G24" i="51"/>
  <c r="G23" i="51"/>
  <c r="G25" i="51"/>
  <c r="N25" i="51"/>
  <c r="G18" i="51"/>
  <c r="H100" i="49"/>
  <c r="G26" i="51"/>
  <c r="N16" i="51"/>
  <c r="H74" i="49"/>
  <c r="K59" i="49"/>
  <c r="H97" i="49"/>
  <c r="G99" i="49"/>
  <c r="H99" i="49"/>
  <c r="H30" i="51"/>
  <c r="I79" i="49"/>
  <c r="F30" i="51"/>
  <c r="I61" i="49"/>
  <c r="H66" i="5"/>
  <c r="V18" i="45"/>
  <c r="U18" i="45"/>
  <c r="T20" i="45"/>
  <c r="U20" i="45" s="1"/>
  <c r="S6" i="45"/>
  <c r="T6" i="45"/>
  <c r="J35" i="45"/>
  <c r="J50" i="45" s="1"/>
  <c r="J47" i="45" s="1"/>
  <c r="K27" i="45"/>
  <c r="Y33" i="45"/>
  <c r="X43" i="45"/>
  <c r="AC12" i="45"/>
  <c r="AD12" i="45"/>
  <c r="J4" i="48"/>
  <c r="K4" i="48" s="1"/>
  <c r="F4" i="48"/>
  <c r="G4" i="48" s="1"/>
  <c r="C5" i="48" s="1"/>
  <c r="AB16" i="45"/>
  <c r="AA16" i="45"/>
  <c r="H37" i="45"/>
  <c r="I35" i="45"/>
  <c r="AC15" i="45"/>
  <c r="AD15" i="45"/>
  <c r="AB30" i="45"/>
  <c r="Z42" i="45"/>
  <c r="AA30" i="45"/>
  <c r="D39" i="45"/>
  <c r="O9" i="45"/>
  <c r="N22" i="45"/>
  <c r="N46" i="45"/>
  <c r="M22" i="45"/>
  <c r="L27" i="45"/>
  <c r="AD17" i="45"/>
  <c r="AC17" i="45"/>
  <c r="P9" i="45"/>
  <c r="Q5" i="45"/>
  <c r="R5" i="45"/>
  <c r="Y14" i="45"/>
  <c r="Z14" i="45"/>
  <c r="AA7" i="45"/>
  <c r="AB7" i="45"/>
  <c r="W33" i="45"/>
  <c r="V43" i="45"/>
  <c r="Y13" i="45"/>
  <c r="Z13" i="45"/>
  <c r="W24" i="45"/>
  <c r="X24" i="45"/>
  <c r="G37" i="45"/>
  <c r="F38" i="45"/>
  <c r="E5" i="48" s="1"/>
  <c r="Y31" i="45"/>
  <c r="Z31" i="45"/>
  <c r="Z33" i="45" s="1"/>
  <c r="M14" i="51" l="1"/>
  <c r="L14" i="51"/>
  <c r="M15" i="51"/>
  <c r="L15" i="51"/>
  <c r="D20" i="51"/>
  <c r="P16" i="51"/>
  <c r="O16" i="51" s="1"/>
  <c r="P18" i="51"/>
  <c r="O25" i="51"/>
  <c r="I15" i="51"/>
  <c r="P15" i="51" s="1"/>
  <c r="H17" i="51"/>
  <c r="M18" i="51"/>
  <c r="N18" i="51" s="1"/>
  <c r="O18" i="51" s="1"/>
  <c r="H259" i="50"/>
  <c r="O23" i="51"/>
  <c r="G29" i="51"/>
  <c r="E19" i="51"/>
  <c r="E28" i="51"/>
  <c r="P28" i="51" s="1"/>
  <c r="E20" i="51"/>
  <c r="G30" i="51"/>
  <c r="G13" i="51"/>
  <c r="N26" i="51"/>
  <c r="N28" i="51"/>
  <c r="N23" i="51"/>
  <c r="H84" i="49"/>
  <c r="I84" i="49" s="1"/>
  <c r="I14" i="51"/>
  <c r="P14" i="51" s="1"/>
  <c r="F20" i="51"/>
  <c r="I74" i="49"/>
  <c r="M57" i="49" s="1"/>
  <c r="L30" i="51"/>
  <c r="K61" i="49"/>
  <c r="X18" i="45"/>
  <c r="W18" i="45"/>
  <c r="V20" i="45"/>
  <c r="W20" i="45" s="1"/>
  <c r="F39" i="45"/>
  <c r="D5" i="48"/>
  <c r="Z43" i="45"/>
  <c r="AA33" i="45"/>
  <c r="AA31" i="45"/>
  <c r="AB31" i="45"/>
  <c r="AB13" i="45"/>
  <c r="AA13" i="45"/>
  <c r="H38" i="45"/>
  <c r="E6" i="48" s="1"/>
  <c r="I37" i="45"/>
  <c r="AE17" i="45"/>
  <c r="AF17" i="45"/>
  <c r="J5" i="48"/>
  <c r="K5" i="48" s="1"/>
  <c r="M5" i="48" s="1"/>
  <c r="F5" i="48"/>
  <c r="R9" i="45"/>
  <c r="S5" i="45"/>
  <c r="T5" i="45"/>
  <c r="M27" i="45"/>
  <c r="L35" i="45"/>
  <c r="L50" i="45" s="1"/>
  <c r="L47" i="45" s="1"/>
  <c r="AD30" i="45"/>
  <c r="AB42" i="45"/>
  <c r="AC30" i="45"/>
  <c r="AD16" i="45"/>
  <c r="AC16" i="45"/>
  <c r="K35" i="45"/>
  <c r="J37" i="45"/>
  <c r="M4" i="48"/>
  <c r="U6" i="45"/>
  <c r="V6" i="45"/>
  <c r="AD7" i="45"/>
  <c r="AC7" i="45"/>
  <c r="P22" i="45"/>
  <c r="Q9" i="45"/>
  <c r="P46" i="45"/>
  <c r="AF15" i="45"/>
  <c r="AE15" i="45"/>
  <c r="Y24" i="45"/>
  <c r="Z24" i="45"/>
  <c r="O22" i="45"/>
  <c r="N27" i="45"/>
  <c r="AA14" i="45"/>
  <c r="AB14" i="45"/>
  <c r="AF12" i="45"/>
  <c r="AE12" i="45"/>
  <c r="H76" i="49" l="1"/>
  <c r="I76" i="49" s="1"/>
  <c r="M59" i="49" s="1"/>
  <c r="N15" i="51"/>
  <c r="O15" i="51" s="1"/>
  <c r="E30" i="51"/>
  <c r="M17" i="51"/>
  <c r="L17" i="51"/>
  <c r="D39" i="51"/>
  <c r="O26" i="51"/>
  <c r="D37" i="51"/>
  <c r="H257" i="50"/>
  <c r="E29" i="51"/>
  <c r="G20" i="51"/>
  <c r="G19" i="51"/>
  <c r="P13" i="51"/>
  <c r="H262" i="50"/>
  <c r="H260" i="50"/>
  <c r="I17" i="51"/>
  <c r="P17" i="51" s="1"/>
  <c r="H86" i="49"/>
  <c r="I86" i="49" s="1"/>
  <c r="N13" i="51"/>
  <c r="O13" i="51" s="1"/>
  <c r="H75" i="49"/>
  <c r="I75" i="49" s="1"/>
  <c r="M58" i="49" s="1"/>
  <c r="H20" i="51"/>
  <c r="Z18" i="45"/>
  <c r="Y18" i="45"/>
  <c r="X20" i="45"/>
  <c r="Y20" i="45" s="1"/>
  <c r="H39" i="45"/>
  <c r="G5" i="48"/>
  <c r="C6" i="48" s="1"/>
  <c r="D6" i="48" s="1"/>
  <c r="AE7" i="45"/>
  <c r="AF7" i="45"/>
  <c r="U5" i="45"/>
  <c r="T9" i="45"/>
  <c r="V5" i="45"/>
  <c r="H525" i="50" s="1"/>
  <c r="AH12" i="45"/>
  <c r="AG12" i="45"/>
  <c r="AE16" i="45"/>
  <c r="AF16" i="45"/>
  <c r="Q22" i="45"/>
  <c r="P27" i="45"/>
  <c r="L37" i="45"/>
  <c r="M35" i="45"/>
  <c r="AC31" i="45"/>
  <c r="AD31" i="45"/>
  <c r="AD33" i="45" s="1"/>
  <c r="AB24" i="45"/>
  <c r="AA24" i="45"/>
  <c r="X6" i="45"/>
  <c r="W6" i="45"/>
  <c r="F6" i="48"/>
  <c r="J6" i="48"/>
  <c r="K6" i="48" s="1"/>
  <c r="M6" i="48" s="1"/>
  <c r="AD14" i="45"/>
  <c r="AC14" i="45"/>
  <c r="R46" i="45"/>
  <c r="R22" i="45"/>
  <c r="S9" i="45"/>
  <c r="AH15" i="45"/>
  <c r="AG15" i="45"/>
  <c r="AB33" i="45"/>
  <c r="O27" i="45"/>
  <c r="N35" i="45"/>
  <c r="N50" i="45" s="1"/>
  <c r="N47" i="45" s="1"/>
  <c r="AF30" i="45"/>
  <c r="AE30" i="45"/>
  <c r="AD42" i="45"/>
  <c r="AG17" i="45"/>
  <c r="AH17" i="45"/>
  <c r="K37" i="45"/>
  <c r="J38" i="45"/>
  <c r="E7" i="48" s="1"/>
  <c r="AD13" i="45"/>
  <c r="AC13" i="45"/>
  <c r="D36" i="51" l="1"/>
  <c r="P20" i="51"/>
  <c r="D34" i="51"/>
  <c r="P30" i="51"/>
  <c r="O28" i="51"/>
  <c r="I19" i="51"/>
  <c r="I20" i="51"/>
  <c r="N17" i="51"/>
  <c r="O17" i="51" s="1"/>
  <c r="H85" i="49"/>
  <c r="I85" i="49" s="1"/>
  <c r="L20" i="51"/>
  <c r="H78" i="49"/>
  <c r="I78" i="49" s="1"/>
  <c r="M61" i="49" s="1"/>
  <c r="AB18" i="45"/>
  <c r="AA18" i="45"/>
  <c r="Z20" i="45"/>
  <c r="AA20" i="45" s="1"/>
  <c r="G6" i="48"/>
  <c r="C7" i="48" s="1"/>
  <c r="D7" i="48" s="1"/>
  <c r="J39" i="45"/>
  <c r="P35" i="45"/>
  <c r="P50" i="45" s="1"/>
  <c r="P47" i="45" s="1"/>
  <c r="Q27" i="45"/>
  <c r="R27" i="45"/>
  <c r="S22" i="45"/>
  <c r="W5" i="45"/>
  <c r="V9" i="45"/>
  <c r="X5" i="45"/>
  <c r="AD43" i="45"/>
  <c r="AE33" i="45"/>
  <c r="O35" i="45"/>
  <c r="N37" i="45"/>
  <c r="AD24" i="45"/>
  <c r="AC24" i="45"/>
  <c r="T46" i="45"/>
  <c r="T22" i="45"/>
  <c r="U9" i="45"/>
  <c r="AE31" i="45"/>
  <c r="AF31" i="45"/>
  <c r="M37" i="45"/>
  <c r="L38" i="45"/>
  <c r="E8" i="48" s="1"/>
  <c r="AH16" i="45"/>
  <c r="AG16" i="45"/>
  <c r="AI15" i="45"/>
  <c r="AJ15" i="45"/>
  <c r="AJ17" i="45"/>
  <c r="AI17" i="45"/>
  <c r="Z6" i="45"/>
  <c r="Y6" i="45"/>
  <c r="AI12" i="45"/>
  <c r="AJ12" i="45"/>
  <c r="AE13" i="45"/>
  <c r="AF13" i="45"/>
  <c r="AB43" i="45"/>
  <c r="AC33" i="45"/>
  <c r="AE14" i="45"/>
  <c r="AF14" i="45"/>
  <c r="AH7" i="45"/>
  <c r="AG7" i="45"/>
  <c r="J7" i="48"/>
  <c r="K7" i="48" s="1"/>
  <c r="F7" i="48"/>
  <c r="AH30" i="45"/>
  <c r="AG30" i="45"/>
  <c r="AF42" i="45"/>
  <c r="N24" i="51" l="1"/>
  <c r="M30" i="51"/>
  <c r="H88" i="49"/>
  <c r="I88" i="49" s="1"/>
  <c r="N27" i="51" s="1"/>
  <c r="D38" i="51" s="1"/>
  <c r="N14" i="51"/>
  <c r="M20" i="51"/>
  <c r="I80" i="49"/>
  <c r="H44" i="50"/>
  <c r="AC18" i="45"/>
  <c r="AD18" i="45"/>
  <c r="AB20" i="45"/>
  <c r="AC20" i="45" s="1"/>
  <c r="G7" i="48"/>
  <c r="C8" i="48" s="1"/>
  <c r="D8" i="48" s="1"/>
  <c r="L39" i="45"/>
  <c r="AL17" i="45"/>
  <c r="AK17" i="45"/>
  <c r="X9" i="45"/>
  <c r="Z5" i="45"/>
  <c r="Y5" i="45"/>
  <c r="AK15" i="45"/>
  <c r="AL15" i="45"/>
  <c r="AF24" i="45"/>
  <c r="H541" i="50" s="1"/>
  <c r="AE24" i="45"/>
  <c r="AI7" i="45"/>
  <c r="AJ7" i="45"/>
  <c r="AK12" i="45"/>
  <c r="AL12" i="45"/>
  <c r="O37" i="45"/>
  <c r="N38" i="45"/>
  <c r="E9" i="48" s="1"/>
  <c r="AG14" i="45"/>
  <c r="AH14" i="45"/>
  <c r="U22" i="45"/>
  <c r="T27" i="45"/>
  <c r="V22" i="45"/>
  <c r="W9" i="45"/>
  <c r="V46" i="45"/>
  <c r="AG13" i="45"/>
  <c r="AH13" i="45"/>
  <c r="AH31" i="45"/>
  <c r="AH33" i="45" s="1"/>
  <c r="AG31" i="45"/>
  <c r="AJ16" i="45"/>
  <c r="AI16" i="45"/>
  <c r="R35" i="45"/>
  <c r="R50" i="45" s="1"/>
  <c r="R47" i="45" s="1"/>
  <c r="S27" i="45"/>
  <c r="AF33" i="45"/>
  <c r="J8" i="48"/>
  <c r="K8" i="48" s="1"/>
  <c r="M8" i="48" s="1"/>
  <c r="F8" i="48"/>
  <c r="AJ30" i="45"/>
  <c r="AH42" i="45"/>
  <c r="H536" i="50" s="1"/>
  <c r="AI30" i="45"/>
  <c r="AA6" i="45"/>
  <c r="AB6" i="45"/>
  <c r="Q35" i="45"/>
  <c r="P37" i="45"/>
  <c r="M7" i="48"/>
  <c r="D35" i="51" l="1"/>
  <c r="D40" i="51" s="1"/>
  <c r="H261" i="50"/>
  <c r="O27" i="51"/>
  <c r="H258" i="50"/>
  <c r="O24" i="51"/>
  <c r="N20" i="51"/>
  <c r="H33" i="5" s="1"/>
  <c r="O14" i="51"/>
  <c r="I90" i="49"/>
  <c r="N30" i="51"/>
  <c r="H34" i="5" s="1"/>
  <c r="AF18" i="45"/>
  <c r="AE18" i="45"/>
  <c r="AD20" i="45"/>
  <c r="AE20" i="45" s="1"/>
  <c r="G8" i="48"/>
  <c r="C9" i="48" s="1"/>
  <c r="D9" i="48" s="1"/>
  <c r="N39" i="45"/>
  <c r="R37" i="45"/>
  <c r="S35" i="45"/>
  <c r="AH43" i="45"/>
  <c r="AI33" i="45"/>
  <c r="AM15" i="45"/>
  <c r="AN15" i="45"/>
  <c r="Q37" i="45"/>
  <c r="P38" i="45"/>
  <c r="E10" i="48" s="1"/>
  <c r="AK16" i="45"/>
  <c r="AL16" i="45"/>
  <c r="AN12" i="45"/>
  <c r="AM12" i="45"/>
  <c r="U27" i="45"/>
  <c r="T35" i="45"/>
  <c r="T50" i="45" s="1"/>
  <c r="T47" i="45" s="1"/>
  <c r="AA5" i="45"/>
  <c r="AB5" i="45"/>
  <c r="Z9" i="45"/>
  <c r="V27" i="45"/>
  <c r="W22" i="45"/>
  <c r="AL30" i="45"/>
  <c r="AK30" i="45"/>
  <c r="AJ42" i="45"/>
  <c r="AI31" i="45"/>
  <c r="AJ31" i="45"/>
  <c r="AI14" i="45"/>
  <c r="AJ14" i="45"/>
  <c r="AL7" i="45"/>
  <c r="AK7" i="45"/>
  <c r="Y9" i="45"/>
  <c r="X22" i="45"/>
  <c r="X46" i="45"/>
  <c r="AD6" i="45"/>
  <c r="AC6" i="45"/>
  <c r="AG33" i="45"/>
  <c r="AF43" i="45"/>
  <c r="H537" i="50" s="1"/>
  <c r="AI13" i="45"/>
  <c r="AJ13" i="45"/>
  <c r="F9" i="48"/>
  <c r="J9" i="48"/>
  <c r="K9" i="48" s="1"/>
  <c r="AM17" i="45"/>
  <c r="AN17" i="45"/>
  <c r="AG24" i="45"/>
  <c r="AH24" i="45"/>
  <c r="H263" i="50" l="1"/>
  <c r="I263" i="50" s="1"/>
  <c r="AH18" i="45"/>
  <c r="AG18" i="45"/>
  <c r="AF20" i="45"/>
  <c r="AG20" i="45" s="1"/>
  <c r="G9" i="48"/>
  <c r="C10" i="48" s="1"/>
  <c r="D10" i="48" s="1"/>
  <c r="AM30" i="45"/>
  <c r="AL42" i="45"/>
  <c r="AN30" i="45"/>
  <c r="X27" i="45"/>
  <c r="Y22" i="45"/>
  <c r="H535" i="50"/>
  <c r="W27" i="45"/>
  <c r="V35" i="45"/>
  <c r="V50" i="45" s="1"/>
  <c r="V47" i="45" s="1"/>
  <c r="AL31" i="45"/>
  <c r="AL33" i="45" s="1"/>
  <c r="AK31" i="45"/>
  <c r="AI24" i="45"/>
  <c r="AJ24" i="45"/>
  <c r="AP12" i="45"/>
  <c r="AO12" i="45"/>
  <c r="AM16" i="45"/>
  <c r="AN16" i="45"/>
  <c r="AN7" i="45"/>
  <c r="AM7" i="45"/>
  <c r="AB9" i="45"/>
  <c r="AD5" i="45"/>
  <c r="AC5" i="45"/>
  <c r="AL14" i="45"/>
  <c r="AK14" i="45"/>
  <c r="P39" i="45"/>
  <c r="AK13" i="45"/>
  <c r="AL13" i="45"/>
  <c r="AA9" i="45"/>
  <c r="Z46" i="45"/>
  <c r="Z22" i="45"/>
  <c r="AO17" i="45"/>
  <c r="AP17" i="45"/>
  <c r="AQ17" i="45" s="1"/>
  <c r="M9" i="48"/>
  <c r="AF6" i="45"/>
  <c r="AE6" i="45"/>
  <c r="AJ33" i="45"/>
  <c r="T37" i="45"/>
  <c r="U35" i="45"/>
  <c r="F10" i="48"/>
  <c r="J10" i="48"/>
  <c r="K10" i="48" s="1"/>
  <c r="M10" i="48" s="1"/>
  <c r="AP15" i="45"/>
  <c r="AQ15" i="45" s="1"/>
  <c r="AO15" i="45"/>
  <c r="R38" i="45"/>
  <c r="E11" i="48" s="1"/>
  <c r="S37" i="45"/>
  <c r="AI18" i="45" l="1"/>
  <c r="AJ18" i="45"/>
  <c r="AH20" i="45"/>
  <c r="AI20" i="45" s="1"/>
  <c r="G10" i="48"/>
  <c r="C11" i="48" s="1"/>
  <c r="D11" i="48" s="1"/>
  <c r="U37" i="45"/>
  <c r="T38" i="45"/>
  <c r="E12" i="48" s="1"/>
  <c r="F11" i="48"/>
  <c r="J11" i="48"/>
  <c r="K11" i="48" s="1"/>
  <c r="M11" i="48" s="1"/>
  <c r="AP7" i="45"/>
  <c r="AQ7" i="45" s="1"/>
  <c r="AO7" i="45"/>
  <c r="X35" i="45"/>
  <c r="X50" i="45" s="1"/>
  <c r="X47" i="45" s="1"/>
  <c r="Y27" i="45"/>
  <c r="AM33" i="45"/>
  <c r="AL43" i="45"/>
  <c r="AG6" i="45"/>
  <c r="AH6" i="45"/>
  <c r="AO30" i="45"/>
  <c r="AN42" i="45"/>
  <c r="AP30" i="45"/>
  <c r="AN14" i="45"/>
  <c r="AM14" i="45"/>
  <c r="AN31" i="45"/>
  <c r="AN33" i="45" s="1"/>
  <c r="AM31" i="45"/>
  <c r="AL24" i="45"/>
  <c r="AK24" i="45"/>
  <c r="V37" i="45"/>
  <c r="W35" i="45"/>
  <c r="H534" i="50"/>
  <c r="AC9" i="45"/>
  <c r="AB46" i="45"/>
  <c r="AB22" i="45"/>
  <c r="Z27" i="45"/>
  <c r="AA22" i="45"/>
  <c r="AK33" i="45"/>
  <c r="AJ43" i="45"/>
  <c r="R39" i="45"/>
  <c r="AP16" i="45"/>
  <c r="AQ16" i="45" s="1"/>
  <c r="AO16" i="45"/>
  <c r="AN13" i="45"/>
  <c r="AM13" i="45"/>
  <c r="AF5" i="45"/>
  <c r="AE5" i="45"/>
  <c r="AD9" i="45"/>
  <c r="AQ12" i="45"/>
  <c r="AL18" i="45" l="1"/>
  <c r="AK18" i="45"/>
  <c r="AJ20" i="45"/>
  <c r="AK20" i="45" s="1"/>
  <c r="G11" i="48"/>
  <c r="C12" i="48" s="1"/>
  <c r="D12" i="48" s="1"/>
  <c r="T39" i="45"/>
  <c r="AJ6" i="45"/>
  <c r="AI6" i="45"/>
  <c r="W37" i="45"/>
  <c r="V38" i="45"/>
  <c r="E13" i="48" s="1"/>
  <c r="AO14" i="45"/>
  <c r="AP14" i="45"/>
  <c r="AQ14" i="45" s="1"/>
  <c r="AN24" i="45"/>
  <c r="AM24" i="45"/>
  <c r="AE9" i="45"/>
  <c r="AD46" i="45"/>
  <c r="AD22" i="45"/>
  <c r="AH5" i="45"/>
  <c r="AG5" i="45"/>
  <c r="AF9" i="45"/>
  <c r="AA27" i="45"/>
  <c r="Z35" i="45"/>
  <c r="Z50" i="45" s="1"/>
  <c r="Z47" i="45" s="1"/>
  <c r="F12" i="48"/>
  <c r="J12" i="48"/>
  <c r="K12" i="48" s="1"/>
  <c r="M12" i="48" s="1"/>
  <c r="AN43" i="45"/>
  <c r="AO33" i="45"/>
  <c r="AO31" i="45"/>
  <c r="AP31" i="45"/>
  <c r="AQ31" i="45" s="1"/>
  <c r="AP13" i="45"/>
  <c r="AO13" i="45"/>
  <c r="AB27" i="45"/>
  <c r="AC22" i="45"/>
  <c r="AQ30" i="45"/>
  <c r="AP42" i="45"/>
  <c r="Y35" i="45"/>
  <c r="X37" i="45"/>
  <c r="AN18" i="45" l="1"/>
  <c r="AM18" i="45"/>
  <c r="AL20" i="45"/>
  <c r="AM20" i="45" s="1"/>
  <c r="H542" i="50"/>
  <c r="D54" i="49"/>
  <c r="H529" i="50" s="1"/>
  <c r="H443" i="50" s="1"/>
  <c r="D53" i="49"/>
  <c r="H528" i="50" s="1"/>
  <c r="H444" i="50" s="1"/>
  <c r="G12" i="48"/>
  <c r="C13" i="48" s="1"/>
  <c r="D13" i="48" s="1"/>
  <c r="Z37" i="45"/>
  <c r="AA35" i="45"/>
  <c r="AQ13" i="45"/>
  <c r="AO24" i="45"/>
  <c r="AP24" i="45"/>
  <c r="AQ24" i="45" s="1"/>
  <c r="AB35" i="45"/>
  <c r="AB50" i="45" s="1"/>
  <c r="AB47" i="45" s="1"/>
  <c r="AC27" i="45"/>
  <c r="X38" i="45"/>
  <c r="E14" i="48" s="1"/>
  <c r="Y37" i="45"/>
  <c r="V39" i="45"/>
  <c r="AF22" i="45"/>
  <c r="AG9" i="45"/>
  <c r="AF46" i="45"/>
  <c r="AK6" i="45"/>
  <c r="AL6" i="45"/>
  <c r="J13" i="48"/>
  <c r="K13" i="48" s="1"/>
  <c r="M13" i="48" s="1"/>
  <c r="F13" i="48"/>
  <c r="AP33" i="45"/>
  <c r="AH9" i="45"/>
  <c r="AI5" i="45"/>
  <c r="AJ5" i="45"/>
  <c r="AE22" i="45"/>
  <c r="AD27" i="45"/>
  <c r="AP18" i="45" l="1"/>
  <c r="AO18" i="45"/>
  <c r="AN20" i="45"/>
  <c r="AO20" i="45" s="1"/>
  <c r="X39" i="45"/>
  <c r="G13" i="48"/>
  <c r="C14" i="48" s="1"/>
  <c r="D14" i="48" s="1"/>
  <c r="J14" i="48"/>
  <c r="K14" i="48" s="1"/>
  <c r="M14" i="48" s="1"/>
  <c r="F14" i="48"/>
  <c r="AK5" i="45"/>
  <c r="AJ9" i="45"/>
  <c r="AL5" i="45"/>
  <c r="AG22" i="45"/>
  <c r="AF27" i="45"/>
  <c r="H539" i="50" s="1"/>
  <c r="AA37" i="45"/>
  <c r="Z38" i="45"/>
  <c r="E15" i="48" s="1"/>
  <c r="AD35" i="45"/>
  <c r="AD50" i="45" s="1"/>
  <c r="AD47" i="45" s="1"/>
  <c r="AE27" i="45"/>
  <c r="AN6" i="45"/>
  <c r="AM6" i="45"/>
  <c r="AH46" i="45"/>
  <c r="AH22" i="45"/>
  <c r="AI9" i="45"/>
  <c r="AB37" i="45"/>
  <c r="AC35" i="45"/>
  <c r="AQ33" i="45"/>
  <c r="AP43" i="45"/>
  <c r="H543" i="50" s="1"/>
  <c r="AQ18" i="45" l="1"/>
  <c r="AP20" i="45"/>
  <c r="AQ20" i="45" s="1"/>
  <c r="Z39" i="45"/>
  <c r="G14" i="48"/>
  <c r="C15" i="48" s="1"/>
  <c r="D15" i="48" s="1"/>
  <c r="AB38" i="45"/>
  <c r="E16" i="48" s="1"/>
  <c r="AC37" i="45"/>
  <c r="AJ22" i="45"/>
  <c r="AK9" i="45"/>
  <c r="AJ46" i="45"/>
  <c r="AE35" i="45"/>
  <c r="AD37" i="45"/>
  <c r="AM5" i="45"/>
  <c r="AN5" i="45"/>
  <c r="AL9" i="45"/>
  <c r="AH27" i="45"/>
  <c r="AI22" i="45"/>
  <c r="AO6" i="45"/>
  <c r="AP6" i="45"/>
  <c r="AQ6" i="45" s="1"/>
  <c r="J15" i="48"/>
  <c r="K15" i="48" s="1"/>
  <c r="M15" i="48" s="1"/>
  <c r="F15" i="48"/>
  <c r="H540" i="50"/>
  <c r="AF35" i="45"/>
  <c r="AF50" i="45" s="1"/>
  <c r="AF47" i="45" s="1"/>
  <c r="AG27" i="45"/>
  <c r="H545" i="50" l="1"/>
  <c r="G15" i="48"/>
  <c r="C16" i="48" s="1"/>
  <c r="D16" i="48" s="1"/>
  <c r="AB39" i="45"/>
  <c r="AK22" i="45"/>
  <c r="AJ27" i="45"/>
  <c r="AI27" i="45"/>
  <c r="AH35" i="45"/>
  <c r="AH50" i="45" s="1"/>
  <c r="AH47" i="45" s="1"/>
  <c r="P54" i="45"/>
  <c r="Q54" i="45" s="1"/>
  <c r="AF37" i="45"/>
  <c r="AG35" i="45"/>
  <c r="H538" i="50"/>
  <c r="J16" i="48"/>
  <c r="K16" i="48" s="1"/>
  <c r="M16" i="48" s="1"/>
  <c r="F16" i="48"/>
  <c r="AM9" i="45"/>
  <c r="AL46" i="45"/>
  <c r="AL22" i="45"/>
  <c r="AN9" i="45"/>
  <c r="AP5" i="45"/>
  <c r="H526" i="50" s="1"/>
  <c r="AO5" i="45"/>
  <c r="AD38" i="45"/>
  <c r="E17" i="48" s="1"/>
  <c r="AE37" i="45"/>
  <c r="G16" i="48" l="1"/>
  <c r="C17" i="48" s="1"/>
  <c r="D17" i="48" s="1"/>
  <c r="AG37" i="45"/>
  <c r="AF38" i="45"/>
  <c r="E18" i="48" s="1"/>
  <c r="F17" i="48"/>
  <c r="J17" i="48"/>
  <c r="K17" i="48" s="1"/>
  <c r="M17" i="48" s="1"/>
  <c r="AN46" i="45"/>
  <c r="AO9" i="45"/>
  <c r="AN22" i="45"/>
  <c r="AL27" i="45"/>
  <c r="AM22" i="45"/>
  <c r="AK27" i="45"/>
  <c r="AJ35" i="45"/>
  <c r="AJ50" i="45" s="1"/>
  <c r="AJ47" i="45" s="1"/>
  <c r="R54" i="45"/>
  <c r="S54" i="45" s="1"/>
  <c r="AH37" i="45"/>
  <c r="AI35" i="45"/>
  <c r="AD39" i="45"/>
  <c r="AQ5" i="45"/>
  <c r="AP9" i="45"/>
  <c r="G17" i="48" l="1"/>
  <c r="C18" i="48" s="1"/>
  <c r="D18" i="48" s="1"/>
  <c r="F18" i="48"/>
  <c r="J18" i="48"/>
  <c r="K18" i="48" s="1"/>
  <c r="AP22" i="45"/>
  <c r="AP46" i="45"/>
  <c r="AQ9" i="45"/>
  <c r="AK35" i="45"/>
  <c r="AJ37" i="45"/>
  <c r="AL35" i="45"/>
  <c r="AL50" i="45" s="1"/>
  <c r="AL47" i="45" s="1"/>
  <c r="AM27" i="45"/>
  <c r="AF39" i="45"/>
  <c r="E19" i="48" s="1"/>
  <c r="AO22" i="45"/>
  <c r="AN27" i="45"/>
  <c r="AH38" i="45"/>
  <c r="AH39" i="45" s="1"/>
  <c r="AI37" i="45"/>
  <c r="J19" i="48" l="1"/>
  <c r="K19" i="48" s="1"/>
  <c r="M19" i="48" s="1"/>
  <c r="F19" i="48"/>
  <c r="G18" i="48"/>
  <c r="AJ38" i="45"/>
  <c r="AK37" i="45"/>
  <c r="AO27" i="45"/>
  <c r="AN35" i="45"/>
  <c r="AN50" i="45" s="1"/>
  <c r="AN47" i="45" s="1"/>
  <c r="AP27" i="45"/>
  <c r="AE5" i="49" s="1"/>
  <c r="AE9" i="49" s="1"/>
  <c r="AE10" i="49" s="1"/>
  <c r="H522" i="50" s="1"/>
  <c r="AQ22" i="45"/>
  <c r="M18" i="48"/>
  <c r="L28" i="48" s="1"/>
  <c r="L27" i="48"/>
  <c r="AM35" i="45"/>
  <c r="AL37" i="45"/>
  <c r="AJ39" i="45" l="1"/>
  <c r="E20" i="48"/>
  <c r="D50" i="49"/>
  <c r="H527" i="50" s="1"/>
  <c r="C19" i="48"/>
  <c r="D19" i="48" s="1"/>
  <c r="G19" i="48" s="1"/>
  <c r="C20" i="48" s="1"/>
  <c r="H546" i="50"/>
  <c r="AQ27" i="45"/>
  <c r="AP35" i="45"/>
  <c r="AN37" i="45"/>
  <c r="AO35" i="45"/>
  <c r="AM37" i="45"/>
  <c r="AL38" i="45"/>
  <c r="AR35" i="45" l="1"/>
  <c r="AP50" i="45"/>
  <c r="AP47" i="45" s="1"/>
  <c r="AL39" i="45"/>
  <c r="E21" i="48"/>
  <c r="J20" i="48"/>
  <c r="K20" i="48" s="1"/>
  <c r="M20" i="48" s="1"/>
  <c r="F20" i="48"/>
  <c r="D20" i="48"/>
  <c r="G20" i="48" s="1"/>
  <c r="C21" i="48" s="1"/>
  <c r="D21" i="48" s="1"/>
  <c r="AN38" i="45"/>
  <c r="AO37" i="45"/>
  <c r="AQ35" i="45"/>
  <c r="AP37" i="45"/>
  <c r="H544" i="50"/>
  <c r="AN39" i="45" l="1"/>
  <c r="E22" i="48"/>
  <c r="J21" i="48"/>
  <c r="K21" i="48" s="1"/>
  <c r="M21" i="48" s="1"/>
  <c r="F21" i="48"/>
  <c r="G21" i="48" s="1"/>
  <c r="C22" i="48" s="1"/>
  <c r="D22" i="48" s="1"/>
  <c r="AP38" i="45"/>
  <c r="AQ37" i="45"/>
  <c r="J22" i="48" l="1"/>
  <c r="K22" i="48" s="1"/>
  <c r="M22" i="48" s="1"/>
  <c r="F22" i="48"/>
  <c r="G22" i="48" s="1"/>
  <c r="C23" i="48" s="1"/>
  <c r="D23" i="48" s="1"/>
  <c r="AP39" i="45"/>
  <c r="E23" i="48"/>
  <c r="J23" i="48" l="1"/>
  <c r="K23" i="48" s="1"/>
  <c r="M23" i="48" s="1"/>
  <c r="F23" i="48"/>
  <c r="G23" i="48" s="1"/>
  <c r="E40" i="11" l="1"/>
  <c r="E41" i="11" s="1"/>
  <c r="H519" i="50" s="1"/>
  <c r="H518" i="50"/>
  <c r="H523" i="50" l="1"/>
  <c r="H520" i="50"/>
</calcChain>
</file>

<file path=xl/comments1.xml><?xml version="1.0" encoding="utf-8"?>
<comments xmlns="http://schemas.openxmlformats.org/spreadsheetml/2006/main">
  <authors>
    <author>nathan</author>
    <author>Robert McNeese</author>
  </authors>
  <commentList>
    <comment ref="B11" authorId="0" shapeId="0">
      <text>
        <r>
          <rPr>
            <b/>
            <sz val="8"/>
            <color indexed="81"/>
            <rFont val="Tahoma"/>
            <family val="2"/>
          </rPr>
          <t xml:space="preserve">Specify name of entity that will own and operate property.
</t>
        </r>
      </text>
    </comment>
    <comment ref="E42" authorId="1" shapeId="0">
      <text>
        <r>
          <rPr>
            <sz val="9"/>
            <color indexed="81"/>
            <rFont val="Tahoma"/>
            <charset val="1"/>
          </rPr>
          <t xml:space="preserve">Accessory buildings cannot be paid for with HOME or HTF funds. Your other sources of funding must cover this cost
</t>
        </r>
      </text>
    </comment>
    <comment ref="E46" authorId="1" shapeId="0">
      <text>
        <r>
          <rPr>
            <sz val="9"/>
            <color indexed="81"/>
            <rFont val="Tahoma"/>
            <charset val="1"/>
          </rPr>
          <t>You must provide rate sheet from theprovider with the application.</t>
        </r>
      </text>
    </comment>
    <comment ref="E47" authorId="1" shapeId="0">
      <text>
        <r>
          <rPr>
            <sz val="9"/>
            <color indexed="81"/>
            <rFont val="Tahoma"/>
            <family val="2"/>
          </rPr>
          <t xml:space="preserve">
You must provide rate sheet from theprovider with the application.</t>
        </r>
      </text>
    </comment>
    <comment ref="E48" authorId="1" shapeId="0">
      <text>
        <r>
          <rPr>
            <sz val="9"/>
            <color indexed="81"/>
            <rFont val="Tahoma"/>
            <charset val="1"/>
          </rPr>
          <t xml:space="preserve">
You must provide rate sheet from theprovider with the application.</t>
        </r>
      </text>
    </comment>
    <comment ref="E49" authorId="1" shapeId="0">
      <text>
        <r>
          <rPr>
            <sz val="9"/>
            <color indexed="81"/>
            <rFont val="Tahoma"/>
            <charset val="1"/>
          </rPr>
          <t xml:space="preserve">
You must provide rate sheet from theprovider with the application.</t>
        </r>
      </text>
    </comment>
    <comment ref="E100" authorId="1" shapeId="0">
      <text>
        <r>
          <rPr>
            <sz val="9"/>
            <color indexed="81"/>
            <rFont val="Tahoma"/>
            <charset val="1"/>
          </rPr>
          <t>An appraisal must be submitted if acquisition is a part of the application or if value or properity is being used as leverage.</t>
        </r>
      </text>
    </comment>
  </commentList>
</comments>
</file>

<file path=xl/comments2.xml><?xml version="1.0" encoding="utf-8"?>
<comments xmlns="http://schemas.openxmlformats.org/spreadsheetml/2006/main">
  <authors>
    <author>Robert McNeese</author>
  </authors>
  <commentList>
    <comment ref="A588" authorId="0" shapeId="0">
      <text>
        <r>
          <rPr>
            <b/>
            <sz val="9"/>
            <color rgb="FF000000"/>
            <rFont val="Tahoma"/>
            <family val="2"/>
          </rPr>
          <t>Robert McNeese:</t>
        </r>
        <r>
          <rPr>
            <sz val="9"/>
            <color rgb="FF000000"/>
            <rFont val="Tahoma"/>
            <family val="2"/>
          </rPr>
          <t xml:space="preserve">
</t>
        </r>
      </text>
    </comment>
  </commentList>
</comments>
</file>

<file path=xl/comments3.xml><?xml version="1.0" encoding="utf-8"?>
<comments xmlns="http://schemas.openxmlformats.org/spreadsheetml/2006/main">
  <authors>
    <author>Robert McNeese</author>
  </authors>
  <commentList>
    <comment ref="B5" authorId="0" shapeId="0">
      <text>
        <r>
          <rPr>
            <sz val="9"/>
            <color indexed="81"/>
            <rFont val="Tahoma"/>
            <charset val="1"/>
          </rPr>
          <t>Rate Sheets From All Providers Must be Submitted At Time Of Application For Utilities That The Tenant Will Pay</t>
        </r>
      </text>
    </comment>
    <comment ref="B6" authorId="0" shapeId="0">
      <text>
        <r>
          <rPr>
            <sz val="9"/>
            <color indexed="81"/>
            <rFont val="Tahoma"/>
            <charset val="1"/>
          </rPr>
          <t>Rate Sheets From All Providers Must be Submitted At Time Of Application For Utilities That The Tenant Will Pay</t>
        </r>
      </text>
    </comment>
    <comment ref="B7" authorId="0" shapeId="0">
      <text>
        <r>
          <rPr>
            <sz val="9"/>
            <color indexed="81"/>
            <rFont val="Tahoma"/>
            <charset val="1"/>
          </rPr>
          <t>Rate Sheets From All Providers Must be Submitted At Time Of Application For Utilities That The Tenant Will Pay</t>
        </r>
      </text>
    </comment>
    <comment ref="B8" authorId="0" shapeId="0">
      <text>
        <r>
          <rPr>
            <b/>
            <sz val="9"/>
            <color indexed="81"/>
            <rFont val="Tahoma"/>
            <charset val="1"/>
          </rPr>
          <t>Robert McNeese:</t>
        </r>
        <r>
          <rPr>
            <sz val="9"/>
            <color indexed="81"/>
            <rFont val="Tahoma"/>
            <charset val="1"/>
          </rPr>
          <t xml:space="preserve">
Rate Sheets From All Providers Must be Submitted At Time Of Application For Utilities That The Tenant Will Pay</t>
        </r>
      </text>
    </comment>
    <comment ref="B9" authorId="0" shapeId="0">
      <text>
        <r>
          <rPr>
            <sz val="9"/>
            <color indexed="81"/>
            <rFont val="Tahoma"/>
            <charset val="1"/>
          </rPr>
          <t>Rate Sheets From All Providers Must be Submitted At Time Of Application For Utilities That The Tenant Will Pay</t>
        </r>
      </text>
    </comment>
    <comment ref="B10" authorId="0" shapeId="0">
      <text>
        <r>
          <rPr>
            <sz val="9"/>
            <color indexed="81"/>
            <rFont val="Tahoma"/>
            <charset val="1"/>
          </rPr>
          <t>Rate Sheets From All Providers Must be Submitted At Time Of Application For Utilities That The Tenant Will Pay</t>
        </r>
      </text>
    </comment>
    <comment ref="B11" authorId="0" shapeId="0">
      <text>
        <r>
          <rPr>
            <sz val="9"/>
            <color indexed="81"/>
            <rFont val="Tahoma"/>
            <charset val="1"/>
          </rPr>
          <t>Rate Sheets From All Providers Must be Submitted At Time Of Application For Utilities That The Tenant Will Pay</t>
        </r>
      </text>
    </comment>
    <comment ref="B12" authorId="0" shapeId="0">
      <text>
        <r>
          <rPr>
            <sz val="9"/>
            <color indexed="81"/>
            <rFont val="Tahoma"/>
            <charset val="1"/>
          </rPr>
          <t>Rate Sheets From All Providers Must be Submitted At Time Of Application For Utilities That The Tenant Will Pay</t>
        </r>
      </text>
    </comment>
    <comment ref="B13" authorId="0" shapeId="0">
      <text>
        <r>
          <rPr>
            <sz val="9"/>
            <color indexed="81"/>
            <rFont val="Tahoma"/>
            <charset val="1"/>
          </rPr>
          <t>Rate Sheets From All Providers Must be Submitted At Time Of Application For Utilities That The Tenant Will Pay</t>
        </r>
      </text>
    </comment>
    <comment ref="B14" authorId="0" shapeId="0">
      <text>
        <r>
          <rPr>
            <sz val="9"/>
            <color indexed="81"/>
            <rFont val="Tahoma"/>
            <charset val="1"/>
          </rPr>
          <t>Rate Sheets From All Providers Must be Submitted At Time Of Application For Utilities That The Tenant Will Pay</t>
        </r>
      </text>
    </comment>
  </commentList>
</comments>
</file>

<file path=xl/comments4.xml><?xml version="1.0" encoding="utf-8"?>
<comments xmlns="http://schemas.openxmlformats.org/spreadsheetml/2006/main">
  <authors>
    <author>Robert McNeese</author>
  </authors>
  <commentList>
    <comment ref="E3" authorId="0" shapeId="0">
      <text>
        <r>
          <rPr>
            <sz val="9"/>
            <color indexed="81"/>
            <rFont val="Tahoma"/>
            <charset val="1"/>
          </rPr>
          <t xml:space="preserve">
This should not be LHC's HOME or HTF funding. Only include private loans.</t>
        </r>
      </text>
    </comment>
    <comment ref="E20" authorId="0" shapeId="0">
      <text>
        <r>
          <rPr>
            <sz val="9"/>
            <color indexed="81"/>
            <rFont val="Tahoma"/>
            <charset val="1"/>
          </rPr>
          <t xml:space="preserve">
This should not be LHC's HOME or HTF funding. Only include private loans.</t>
        </r>
      </text>
    </comment>
  </commentList>
</comments>
</file>

<file path=xl/comments5.xml><?xml version="1.0" encoding="utf-8"?>
<comments xmlns="http://schemas.openxmlformats.org/spreadsheetml/2006/main">
  <authors>
    <author>Robert McNeese</author>
  </authors>
  <commentList>
    <comment ref="U3" authorId="0" shapeId="0">
      <text>
        <r>
          <rPr>
            <sz val="9"/>
            <color indexed="81"/>
            <rFont val="Tahoma"/>
            <family val="2"/>
          </rPr>
          <t xml:space="preserve">
Enter the average square feet of a single unit.</t>
        </r>
      </text>
    </comment>
    <comment ref="V3" authorId="0" shapeId="0">
      <text>
        <r>
          <rPr>
            <sz val="9"/>
            <color indexed="81"/>
            <rFont val="Tahoma"/>
            <family val="2"/>
          </rPr>
          <t xml:space="preserve">
Enter the average square feet of a single unit.</t>
        </r>
      </text>
    </comment>
    <comment ref="W3" authorId="0" shapeId="0">
      <text>
        <r>
          <rPr>
            <sz val="9"/>
            <color indexed="81"/>
            <rFont val="Tahoma"/>
            <family val="2"/>
          </rPr>
          <t xml:space="preserve">
Enter the average square feet of a single unit.</t>
        </r>
      </text>
    </comment>
    <comment ref="X3" authorId="0" shapeId="0">
      <text>
        <r>
          <rPr>
            <sz val="9"/>
            <color indexed="81"/>
            <rFont val="Tahoma"/>
            <family val="2"/>
          </rPr>
          <t xml:space="preserve">
Enter the average square feet of a single unit.</t>
        </r>
      </text>
    </comment>
    <comment ref="Y3" authorId="0" shapeId="0">
      <text>
        <r>
          <rPr>
            <sz val="9"/>
            <color indexed="81"/>
            <rFont val="Tahoma"/>
            <family val="2"/>
          </rPr>
          <t xml:space="preserve">
Enter the average square feet of a single unit.</t>
        </r>
      </text>
    </comment>
    <comment ref="Z3" authorId="0" shapeId="0">
      <text>
        <r>
          <rPr>
            <sz val="9"/>
            <color indexed="81"/>
            <rFont val="Tahoma"/>
            <family val="2"/>
          </rPr>
          <t xml:space="preserve">
Enter the average square feet of a single unit.</t>
        </r>
      </text>
    </comment>
    <comment ref="T4" authorId="0" shapeId="0">
      <text>
        <r>
          <rPr>
            <sz val="9"/>
            <color indexed="81"/>
            <rFont val="Tahoma"/>
            <family val="2"/>
          </rPr>
          <t xml:space="preserve">
This includes all financing not just LHC assistance.</t>
        </r>
      </text>
    </comment>
    <comment ref="T6" authorId="0" shapeId="0">
      <text>
        <r>
          <rPr>
            <sz val="9"/>
            <color indexed="81"/>
            <rFont val="Tahoma"/>
            <family val="2"/>
          </rPr>
          <t xml:space="preserve">
Enter the total number of unit for the whole project not justLHC assisted units.</t>
        </r>
      </text>
    </comment>
    <comment ref="U6" authorId="0" shapeId="0">
      <text>
        <r>
          <rPr>
            <sz val="9"/>
            <color indexed="81"/>
            <rFont val="Tahoma"/>
            <family val="2"/>
          </rPr>
          <t xml:space="preserve">
Enter the number of 0 bedroom units for the whole project not just LHC assisted units.</t>
        </r>
      </text>
    </comment>
    <comment ref="V6" authorId="0" shapeId="0">
      <text>
        <r>
          <rPr>
            <sz val="9"/>
            <color indexed="81"/>
            <rFont val="Tahoma"/>
            <family val="2"/>
          </rPr>
          <t xml:space="preserve">
Enter the number of 1 bedroom units for the whole project not just LHC assisted units.</t>
        </r>
      </text>
    </comment>
    <comment ref="W6" authorId="0" shapeId="0">
      <text>
        <r>
          <rPr>
            <sz val="9"/>
            <color indexed="81"/>
            <rFont val="Tahoma"/>
            <family val="2"/>
          </rPr>
          <t xml:space="preserve">
Enter the number of 2 bedroom units for the whole project not just LHC assisted units.</t>
        </r>
      </text>
    </comment>
    <comment ref="X6" authorId="0" shapeId="0">
      <text>
        <r>
          <rPr>
            <sz val="9"/>
            <color indexed="81"/>
            <rFont val="Tahoma"/>
            <family val="2"/>
          </rPr>
          <t xml:space="preserve">
Enter the number of 3 bedroom units for the whole project not just LHC assisted units.</t>
        </r>
      </text>
    </comment>
    <comment ref="Y6" authorId="0" shapeId="0">
      <text>
        <r>
          <rPr>
            <sz val="9"/>
            <color indexed="81"/>
            <rFont val="Tahoma"/>
            <family val="2"/>
          </rPr>
          <t xml:space="preserve">
Enter the number of 4 bedroom units for the whole project not just LHC assisted units.</t>
        </r>
      </text>
    </comment>
    <comment ref="Z6" authorId="0" shapeId="0">
      <text>
        <r>
          <rPr>
            <sz val="9"/>
            <color indexed="81"/>
            <rFont val="Tahoma"/>
            <family val="2"/>
          </rPr>
          <t xml:space="preserve">
Enter the number of 5 bedroom units for the whole project not just LHC assisted units.</t>
        </r>
      </text>
    </comment>
    <comment ref="D8" authorId="0" shapeId="0">
      <text>
        <r>
          <rPr>
            <sz val="9"/>
            <color indexed="81"/>
            <rFont val="Tahoma"/>
            <family val="2"/>
          </rPr>
          <t xml:space="preserve">
You must answer the question B6 on the Eligiblity Tab.</t>
        </r>
      </text>
    </comment>
  </commentList>
</comments>
</file>

<file path=xl/sharedStrings.xml><?xml version="1.0" encoding="utf-8"?>
<sst xmlns="http://schemas.openxmlformats.org/spreadsheetml/2006/main" count="3362" uniqueCount="2025">
  <si>
    <t>Attach evidence of any unit subsidy</t>
  </si>
  <si>
    <t>Attach evidence of prior years income</t>
  </si>
  <si>
    <t>Competitive Review Criteria</t>
  </si>
  <si>
    <t>Site Control Documentation</t>
  </si>
  <si>
    <t>Ownership History</t>
  </si>
  <si>
    <t>Cover</t>
  </si>
  <si>
    <t xml:space="preserve">Version: </t>
  </si>
  <si>
    <t xml:space="preserve">Project Name: </t>
  </si>
  <si>
    <t xml:space="preserve">Parish: </t>
  </si>
  <si>
    <t>Primary Input</t>
  </si>
  <si>
    <t>General Information:</t>
  </si>
  <si>
    <t xml:space="preserve">   Project Name:</t>
  </si>
  <si>
    <t xml:space="preserve">   Project Parish:</t>
  </si>
  <si>
    <t xml:space="preserve">   Qualified Non-Profit Name if Applicable</t>
  </si>
  <si>
    <t xml:space="preserve">   Contact Phone Number:</t>
  </si>
  <si>
    <t xml:space="preserve">   Contact Fax Number:</t>
  </si>
  <si>
    <t xml:space="preserve">   E-Mail Address:</t>
  </si>
  <si>
    <t xml:space="preserve">   Federal ID / SSN:</t>
  </si>
  <si>
    <t xml:space="preserve">   To be Formed Date</t>
  </si>
  <si>
    <t>Mixed Income with 60-80% at market</t>
  </si>
  <si>
    <t>Multifamily</t>
  </si>
  <si>
    <t>Family</t>
  </si>
  <si>
    <t>20% residents at 50% or less</t>
  </si>
  <si>
    <t>Elevator</t>
  </si>
  <si>
    <t>No</t>
  </si>
  <si>
    <t>General Partnership</t>
  </si>
  <si>
    <t>Mixed Income with 30-60% at market</t>
  </si>
  <si>
    <t>Single Room Occupancy</t>
  </si>
  <si>
    <t>Special Needs</t>
  </si>
  <si>
    <t>40% residents at 60% or less</t>
  </si>
  <si>
    <t>Yes</t>
  </si>
  <si>
    <t>Limited Partnership</t>
  </si>
  <si>
    <t>Priority Elderly Rehab Project</t>
  </si>
  <si>
    <t>Scattered Site</t>
  </si>
  <si>
    <t>Both</t>
  </si>
  <si>
    <t>15% residents at 40% or less</t>
  </si>
  <si>
    <t>Row</t>
  </si>
  <si>
    <t>Priority HUD Rehab Project</t>
  </si>
  <si>
    <t>Townhouse</t>
  </si>
  <si>
    <t>Other</t>
  </si>
  <si>
    <t>Semi-Detached</t>
  </si>
  <si>
    <t>Project Based Rental Assistance</t>
  </si>
  <si>
    <t>LLC</t>
  </si>
  <si>
    <t>Priority Neighborhood Supported</t>
  </si>
  <si>
    <t>Garden Apartment</t>
  </si>
  <si>
    <t>Detached</t>
  </si>
  <si>
    <t>Mixed Income Gap Financing</t>
  </si>
  <si>
    <t>Corporation</t>
  </si>
  <si>
    <t>PSH (with 15% PSH Units)</t>
  </si>
  <si>
    <t>PHA Redevelopment</t>
  </si>
  <si>
    <t>Other - Describe Below</t>
  </si>
  <si>
    <t>Property Breakdown:</t>
  </si>
  <si>
    <t xml:space="preserve">   Number of Residential Buildings</t>
  </si>
  <si>
    <t xml:space="preserve">   Accessory Buildings</t>
  </si>
  <si>
    <t xml:space="preserve">   Occupancy Type</t>
  </si>
  <si>
    <t xml:space="preserve">   Building Style</t>
  </si>
  <si>
    <t>Residential Unit Mix:</t>
  </si>
  <si>
    <t xml:space="preserve">   1 Bedroom</t>
  </si>
  <si>
    <t xml:space="preserve">   0 Bedroom (Efficiency)</t>
  </si>
  <si>
    <t xml:space="preserve">   2 Bedrooms</t>
  </si>
  <si>
    <t xml:space="preserve">   3 Bedrooms</t>
  </si>
  <si>
    <t xml:space="preserve">   4 Bedrooms</t>
  </si>
  <si>
    <t xml:space="preserve">   5 Bedrooms</t>
  </si>
  <si>
    <t xml:space="preserve">   Other</t>
  </si>
  <si>
    <t>TOTAL</t>
  </si>
  <si>
    <t xml:space="preserve">   Appraisal Date:</t>
  </si>
  <si>
    <t xml:space="preserve">   Pre-Rehab Appraisal Value:</t>
  </si>
  <si>
    <t xml:space="preserve">   Post-Rehab Appraisal Value:</t>
  </si>
  <si>
    <t>Private For-Profit Developer</t>
  </si>
  <si>
    <t>Not-For-Profit 501(c)(3) and 501(c)(4) Organizations</t>
  </si>
  <si>
    <t>Public Housing Authorities</t>
  </si>
  <si>
    <t>Local Governments</t>
  </si>
  <si>
    <t>Native American Tribes</t>
  </si>
  <si>
    <t xml:space="preserve">   Applicant Eligibility</t>
  </si>
  <si>
    <t>35% of AMI</t>
  </si>
  <si>
    <t>40% of AMI</t>
  </si>
  <si>
    <t>45% of AMI</t>
  </si>
  <si>
    <t>55% of AMI</t>
  </si>
  <si>
    <t>60% of AMI</t>
  </si>
  <si>
    <t>65% of AMI</t>
  </si>
  <si>
    <t>70% of AMI</t>
  </si>
  <si>
    <t>75% of AMI</t>
  </si>
  <si>
    <t>Code</t>
  </si>
  <si>
    <t>Cost of Rehabilitation</t>
  </si>
  <si>
    <t xml:space="preserve">   CONSTRUCTION CONTINGENCY, NOT MORE THAN 10%</t>
  </si>
  <si>
    <t>Offsite improvements</t>
  </si>
  <si>
    <t>TOTAL REHABILITATION COSTS</t>
  </si>
  <si>
    <t>New Construction</t>
  </si>
  <si>
    <t>Development Costs</t>
  </si>
  <si>
    <t>Cost</t>
  </si>
  <si>
    <t>General Requirements &amp; Other Costs</t>
  </si>
  <si>
    <t>General Requirements</t>
  </si>
  <si>
    <t>Builder Overhead</t>
  </si>
  <si>
    <t>Builder's Profit</t>
  </si>
  <si>
    <t>Limit</t>
  </si>
  <si>
    <t>Actual</t>
  </si>
  <si>
    <t>Builder's Overhead</t>
  </si>
  <si>
    <t>Developer Fee</t>
  </si>
  <si>
    <t xml:space="preserve">   Exterior</t>
  </si>
  <si>
    <t xml:space="preserve">   Windows, frames &amp; glazing</t>
  </si>
  <si>
    <t xml:space="preserve">   HVAC</t>
  </si>
  <si>
    <t xml:space="preserve">   Electrical System</t>
  </si>
  <si>
    <t xml:space="preserve">   Plumbing Systems</t>
  </si>
  <si>
    <t xml:space="preserve">   Roofs</t>
  </si>
  <si>
    <t xml:space="preserve">   Fire Suppression</t>
  </si>
  <si>
    <t xml:space="preserve">   Elevator &amp; Vert. Trans.</t>
  </si>
  <si>
    <t xml:space="preserve">   ADA</t>
  </si>
  <si>
    <t/>
  </si>
  <si>
    <t xml:space="preserve"> </t>
  </si>
  <si>
    <t>Types of Housing</t>
  </si>
  <si>
    <t>Number of Units</t>
  </si>
  <si>
    <t>Parish</t>
  </si>
  <si>
    <t>AMI</t>
  </si>
  <si>
    <t>Total TDC</t>
  </si>
  <si>
    <t>% Funding</t>
  </si>
  <si>
    <t>No. of Units</t>
  </si>
  <si>
    <t>Development Team</t>
  </si>
  <si>
    <t>Contact:</t>
  </si>
  <si>
    <t xml:space="preserve"> Phone:</t>
  </si>
  <si>
    <t xml:space="preserve">E-Mail Address: </t>
  </si>
  <si>
    <t>Fax:</t>
  </si>
  <si>
    <t>Attorney:</t>
  </si>
  <si>
    <t>Accountant:</t>
  </si>
  <si>
    <t>Construction Mortgage</t>
  </si>
  <si>
    <t>Lender:</t>
  </si>
  <si>
    <t>Permanent Mortgage</t>
  </si>
  <si>
    <t>Management Co.:</t>
  </si>
  <si>
    <t>Builder / Contractor:</t>
  </si>
  <si>
    <t>Financial Considerations</t>
  </si>
  <si>
    <t>Project name entered?</t>
  </si>
  <si>
    <t>Parish indicated?</t>
  </si>
  <si>
    <t>Developer Fee within the allowable limit?</t>
  </si>
  <si>
    <t>Builder Profit within the allowable limit?</t>
  </si>
  <si>
    <t>Builder Overhead within the allowable limit?</t>
  </si>
  <si>
    <t>General Requirements within the allowable limit?</t>
  </si>
  <si>
    <t>Sources of funds adequate</t>
  </si>
  <si>
    <t>DSR greater than 1.15?</t>
  </si>
  <si>
    <t>Unit BR Size</t>
  </si>
  <si>
    <t>Number of Bathrooms</t>
  </si>
  <si>
    <t>Average Square Feet of Individual Units</t>
  </si>
  <si>
    <t>Monthly Utility Allowance</t>
  </si>
  <si>
    <t>Average Monthly Rent</t>
  </si>
  <si>
    <t>Total Monthly Rent</t>
  </si>
  <si>
    <t>0BR</t>
  </si>
  <si>
    <t>1BR</t>
  </si>
  <si>
    <t>2BR</t>
  </si>
  <si>
    <t>3BR</t>
  </si>
  <si>
    <t>4BR</t>
  </si>
  <si>
    <t>5BR</t>
  </si>
  <si>
    <t>WITH SUBSIDIES</t>
  </si>
  <si>
    <t>Tenant Income &lt;= 20%</t>
  </si>
  <si>
    <t>Tenant Income &gt;30&lt;=40%</t>
  </si>
  <si>
    <t>Tenant Income &gt;40&lt;=50%</t>
  </si>
  <si>
    <t>Tenant Income &gt;50&lt;= 60%</t>
  </si>
  <si>
    <t>Tenant Income &gt;60&lt;= 80%</t>
  </si>
  <si>
    <t>Number of Market Units</t>
  </si>
  <si>
    <t>Project Based Contract</t>
  </si>
  <si>
    <t>Total</t>
  </si>
  <si>
    <t>Market Rent</t>
  </si>
  <si>
    <t>Enter utility allowances</t>
  </si>
  <si>
    <t>Utility</t>
  </si>
  <si>
    <t>Source</t>
  </si>
  <si>
    <t>X</t>
  </si>
  <si>
    <t>Heating</t>
  </si>
  <si>
    <t>State PHA</t>
  </si>
  <si>
    <t>A/C</t>
  </si>
  <si>
    <t>Local PHA</t>
  </si>
  <si>
    <t>Cooking</t>
  </si>
  <si>
    <t>Utility Company</t>
  </si>
  <si>
    <t>Lighting</t>
  </si>
  <si>
    <t>Hot Water</t>
  </si>
  <si>
    <t>HUD</t>
  </si>
  <si>
    <t>Water</t>
  </si>
  <si>
    <t>Sewer</t>
  </si>
  <si>
    <t>Trash</t>
  </si>
  <si>
    <t>Rental Income</t>
  </si>
  <si>
    <t>30% of AMI</t>
  </si>
  <si>
    <t>ENTER NUMBER  OF UNITS WITHOUT RENTAL SUBSIDIES</t>
  </si>
  <si>
    <t>Loan Information</t>
  </si>
  <si>
    <t>FIRST MORTGAGE</t>
  </si>
  <si>
    <t>Lender Name:</t>
  </si>
  <si>
    <t>Original Loan Amount:</t>
  </si>
  <si>
    <t>Current Principal Amount:</t>
  </si>
  <si>
    <t>As of Date:</t>
  </si>
  <si>
    <t>Maturity Date:</t>
  </si>
  <si>
    <t>Interest Rate:</t>
  </si>
  <si>
    <t>Amortization Period (Years):</t>
  </si>
  <si>
    <t>Monthly P&amp;I Payment</t>
  </si>
  <si>
    <t>Annual Debt Service</t>
  </si>
  <si>
    <t>Prepayment Penalty:</t>
  </si>
  <si>
    <t>Lock Out Date:</t>
  </si>
  <si>
    <t>Years remaining at closing:</t>
  </si>
  <si>
    <t>Loan Type</t>
  </si>
  <si>
    <t>SECOND MORTGAGE</t>
  </si>
  <si>
    <t>Balance at Term of First Mortgage:</t>
  </si>
  <si>
    <t xml:space="preserve">Reasonably repaid at Term of First Mortgage: </t>
  </si>
  <si>
    <t>FHA insured</t>
  </si>
  <si>
    <t>Conventional</t>
  </si>
  <si>
    <t>Hud Held</t>
  </si>
  <si>
    <t>Risk Shared</t>
  </si>
  <si>
    <t>Sources &amp; Uses</t>
  </si>
  <si>
    <t>Fund Sources</t>
  </si>
  <si>
    <t>$ Amount</t>
  </si>
  <si>
    <t>Permanent First Mortgage Loan Principal</t>
  </si>
  <si>
    <t>Permanent Second Mortgage Loan Principal</t>
  </si>
  <si>
    <t>Non-Governmental Cash Flow Notes</t>
  </si>
  <si>
    <t>Existing Account Balances:</t>
  </si>
  <si>
    <t xml:space="preserve">     Reserve for Replacement</t>
  </si>
  <si>
    <t>Owner Contribution:</t>
  </si>
  <si>
    <t xml:space="preserve">     Deferred Developer Fee</t>
  </si>
  <si>
    <t xml:space="preserve">     Lease-Up Reserves</t>
  </si>
  <si>
    <t xml:space="preserve">     Operating Reserves</t>
  </si>
  <si>
    <t>Architect's Fee - Design</t>
  </si>
  <si>
    <t xml:space="preserve">     1: Other</t>
  </si>
  <si>
    <t>Architect's Fee - Supervisory</t>
  </si>
  <si>
    <t xml:space="preserve">     2: Other</t>
  </si>
  <si>
    <t>Interest During Construction</t>
  </si>
  <si>
    <t>Taxes</t>
  </si>
  <si>
    <t>Insurance</t>
  </si>
  <si>
    <t>Other Sources Needed to Balance</t>
  </si>
  <si>
    <t>Examination Fee</t>
  </si>
  <si>
    <t>Total Funding Sources</t>
  </si>
  <si>
    <t>Inspection Fee</t>
  </si>
  <si>
    <t>Financing Fee</t>
  </si>
  <si>
    <t>Title and Recording</t>
  </si>
  <si>
    <t>Taxpayer Closing Costs</t>
  </si>
  <si>
    <t>Organization</t>
  </si>
  <si>
    <t>Cost Certification Audit Fee</t>
  </si>
  <si>
    <t>Fund Uses</t>
  </si>
  <si>
    <t>Relocation Expenses</t>
  </si>
  <si>
    <t>Rehabilitation Hard Costs</t>
  </si>
  <si>
    <t>Developer Fee (Including All</t>
  </si>
  <si>
    <t>Total Soft Costs</t>
  </si>
  <si>
    <t>Acquisition Costs:</t>
  </si>
  <si>
    <t xml:space="preserve">    Land Only</t>
  </si>
  <si>
    <t>Lender Legal</t>
  </si>
  <si>
    <t xml:space="preserve">    Buildings Only</t>
  </si>
  <si>
    <t>Origination Fee (Construction)</t>
  </si>
  <si>
    <t xml:space="preserve">     Other</t>
  </si>
  <si>
    <t>Taxpayer Counsel</t>
  </si>
  <si>
    <t>Survey</t>
  </si>
  <si>
    <t>Audit Fees</t>
  </si>
  <si>
    <t>Construction Loan/Financing Fees</t>
  </si>
  <si>
    <t>Total Development Costs</t>
  </si>
  <si>
    <t>Initial Operating Deficit Reserve</t>
  </si>
  <si>
    <t>Initial Deposit to Replacement Reserve</t>
  </si>
  <si>
    <t>Total Use of Funds</t>
  </si>
  <si>
    <t>Total Fundable Soft Costs:</t>
  </si>
  <si>
    <t>Certification</t>
  </si>
  <si>
    <t>Project Schedule</t>
  </si>
  <si>
    <t>Enter Project Schedule</t>
  </si>
  <si>
    <t>Scheduled Date</t>
  </si>
  <si>
    <t xml:space="preserve">Activity  </t>
  </si>
  <si>
    <t>(mm/dd/yyyy)</t>
  </si>
  <si>
    <t>A.</t>
  </si>
  <si>
    <t>SITE</t>
  </si>
  <si>
    <t xml:space="preserve">Option/Contract  </t>
  </si>
  <si>
    <t xml:space="preserve">Site Acquisition                </t>
  </si>
  <si>
    <t xml:space="preserve">Zoning Approval    </t>
  </si>
  <si>
    <t>Site Analysis</t>
  </si>
  <si>
    <t>Environmental Clearance</t>
  </si>
  <si>
    <t>B.</t>
  </si>
  <si>
    <t>FINANCING</t>
  </si>
  <si>
    <t>1.</t>
  </si>
  <si>
    <t>Construction Loan/Interim Financing</t>
  </si>
  <si>
    <t xml:space="preserve">Loan Application                      </t>
  </si>
  <si>
    <t xml:space="preserve">Conditional Commitment              </t>
  </si>
  <si>
    <t xml:space="preserve">Firm Commitment           </t>
  </si>
  <si>
    <t>2.</t>
  </si>
  <si>
    <t>Permanent Loan</t>
  </si>
  <si>
    <t>3.</t>
  </si>
  <si>
    <t>Other Loans and Grants</t>
  </si>
  <si>
    <t>Type &amp; Source</t>
  </si>
  <si>
    <t xml:space="preserve">Application </t>
  </si>
  <si>
    <t xml:space="preserve">Award </t>
  </si>
  <si>
    <t>4.</t>
  </si>
  <si>
    <t>C.</t>
  </si>
  <si>
    <t xml:space="preserve">PLANS AND SPECIFICATIONS, </t>
  </si>
  <si>
    <t>WORKING DRAWINGS</t>
  </si>
  <si>
    <t>D.</t>
  </si>
  <si>
    <t xml:space="preserve">CLOSING AND TRANSFER OF PROPERTY  </t>
  </si>
  <si>
    <t>E.</t>
  </si>
  <si>
    <t xml:space="preserve">CONSTRUCTION START </t>
  </si>
  <si>
    <t>10% Construction complete</t>
  </si>
  <si>
    <t>50% Construction complete</t>
  </si>
  <si>
    <t>90% Construction complete</t>
  </si>
  <si>
    <t>F.</t>
  </si>
  <si>
    <t>COMPLETION DATE</t>
  </si>
  <si>
    <t>G.</t>
  </si>
  <si>
    <t>CERTIFICATE OF OCCUPANCY DATE</t>
  </si>
  <si>
    <t>H.</t>
  </si>
  <si>
    <t>I.</t>
  </si>
  <si>
    <t>IN SERVICE</t>
  </si>
  <si>
    <t>J.</t>
  </si>
  <si>
    <t>B. Specify units to be dedicated to each of the following income classes</t>
  </si>
  <si>
    <t>Pro forma Calculation</t>
  </si>
  <si>
    <t>Prior</t>
  </si>
  <si>
    <t>Baseline</t>
  </si>
  <si>
    <t>Inflation</t>
  </si>
  <si>
    <t>Audit</t>
  </si>
  <si>
    <t>Application</t>
  </si>
  <si>
    <t>Rate</t>
  </si>
  <si>
    <t>Income Statement</t>
  </si>
  <si>
    <t xml:space="preserve">Residential- </t>
  </si>
  <si>
    <t xml:space="preserve">     Rental Income GROSS VACANCY</t>
  </si>
  <si>
    <t xml:space="preserve">     Rental Income NET VACANCY</t>
  </si>
  <si>
    <t xml:space="preserve">Stores &amp; Commercial- </t>
  </si>
  <si>
    <t>Total Rental Income:</t>
  </si>
  <si>
    <t xml:space="preserve">Vacancies: Enter as Negative </t>
  </si>
  <si>
    <t xml:space="preserve">Apartments- </t>
  </si>
  <si>
    <t xml:space="preserve">Garage &amp; Parking Spaces- </t>
  </si>
  <si>
    <t xml:space="preserve">Miscellaneous Concessions- </t>
  </si>
  <si>
    <t>Total Vacancies:</t>
  </si>
  <si>
    <t>Net Rental Income:</t>
  </si>
  <si>
    <t xml:space="preserve">Other Income &amp; Bad Debt </t>
  </si>
  <si>
    <t xml:space="preserve">Laundry &amp; Vending- </t>
  </si>
  <si>
    <t xml:space="preserve">NSF, Damages &amp; Late Charges, Other- </t>
  </si>
  <si>
    <t>Total Other Income:</t>
  </si>
  <si>
    <t>EFFECTIVE GROSS INCOME</t>
  </si>
  <si>
    <t xml:space="preserve">Admin. Exps </t>
  </si>
  <si>
    <t>Advertising-</t>
  </si>
  <si>
    <t>Admin. Exps.-</t>
  </si>
  <si>
    <t xml:space="preserve">Office Salaries- </t>
  </si>
  <si>
    <t xml:space="preserve">Office Supplies- </t>
  </si>
  <si>
    <t xml:space="preserve">Management Fee- </t>
  </si>
  <si>
    <t xml:space="preserve">Management or Super. Sal.-  </t>
  </si>
  <si>
    <t xml:space="preserve">Mgmt. or Super. Free Rent Unit- </t>
  </si>
  <si>
    <t xml:space="preserve">Legal Expenses (Project)- </t>
  </si>
  <si>
    <t xml:space="preserve">Auditing Exps. (Project)- </t>
  </si>
  <si>
    <t xml:space="preserve">Bookkeeping Fees/Acct. Services- </t>
  </si>
  <si>
    <t xml:space="preserve">Miscellaneous Admin. Exps- </t>
  </si>
  <si>
    <t xml:space="preserve">Total Admin. Less Management Fee: </t>
  </si>
  <si>
    <t>Total Admin. Exps.:</t>
  </si>
  <si>
    <t xml:space="preserve">Utilities Expense </t>
  </si>
  <si>
    <t xml:space="preserve">Fuel Oil/Coal- </t>
  </si>
  <si>
    <t xml:space="preserve">Fuel for Domestic Hot Water- </t>
  </si>
  <si>
    <t xml:space="preserve">Electricity (Light &amp; Misc. Power)- </t>
  </si>
  <si>
    <t xml:space="preserve">Water- </t>
  </si>
  <si>
    <t xml:space="preserve">Gas- </t>
  </si>
  <si>
    <t xml:space="preserve">Sewer- </t>
  </si>
  <si>
    <t>Total Utilities Exps.:</t>
  </si>
  <si>
    <t xml:space="preserve">O &amp; M Expenses </t>
  </si>
  <si>
    <t xml:space="preserve">O&amp;M Payroll- </t>
  </si>
  <si>
    <t xml:space="preserve">O&amp;M Supplies- </t>
  </si>
  <si>
    <t xml:space="preserve">O&amp;M Contract- </t>
  </si>
  <si>
    <t xml:space="preserve">Garbage &amp; Trash Removal- </t>
  </si>
  <si>
    <t xml:space="preserve">Security Payroll/Contract- </t>
  </si>
  <si>
    <t xml:space="preserve">Elevator Maintenance/Contract- </t>
  </si>
  <si>
    <t xml:space="preserve">Other Expenses-   </t>
  </si>
  <si>
    <t xml:space="preserve">Misc. O &amp; M Expenses- </t>
  </si>
  <si>
    <t>Neighborhood Network-</t>
  </si>
  <si>
    <t>Total O &amp; M Expenses:</t>
  </si>
  <si>
    <t xml:space="preserve">Taxes &amp; Insurance </t>
  </si>
  <si>
    <t xml:space="preserve">Real Estate Taxes- </t>
  </si>
  <si>
    <t xml:space="preserve">Payroll Taxes (FICA)-  </t>
  </si>
  <si>
    <t xml:space="preserve">Misc. Taxes, Licenses, &amp; Permits- </t>
  </si>
  <si>
    <t xml:space="preserve">Property &amp; Liability Insurance- </t>
  </si>
  <si>
    <t xml:space="preserve">Fidelity Bond Insurance- </t>
  </si>
  <si>
    <t xml:space="preserve">Workmen's Compensation- </t>
  </si>
  <si>
    <t xml:space="preserve">Health Ins. &amp; Other Emp.Benefits- </t>
  </si>
  <si>
    <t xml:space="preserve">Other Insurance- </t>
  </si>
  <si>
    <t>Total Taxes &amp; Insurance:</t>
  </si>
  <si>
    <t>TOTAL OPERATING EXPENSES:</t>
  </si>
  <si>
    <t>NET OPERATING INCOME:</t>
  </si>
  <si>
    <t>Replacement Reserves</t>
  </si>
  <si>
    <t>ADJUSTED NET OPERATING INCOME</t>
  </si>
  <si>
    <t>DEBT SERVICE</t>
  </si>
  <si>
    <t>FIRST MORTGAGE DEBT SERVICE:</t>
  </si>
  <si>
    <t>SECOND MORTGAGE DEBT SERVICE:</t>
  </si>
  <si>
    <t>CASH FLOW AVAILABLE</t>
  </si>
  <si>
    <t>Distribution to Owner</t>
  </si>
  <si>
    <t>Advance to related parties</t>
  </si>
  <si>
    <t>Pro Forma</t>
  </si>
  <si>
    <t>$Amt</t>
  </si>
  <si>
    <t>$/Unit</t>
  </si>
  <si>
    <t>$ Amt</t>
  </si>
  <si>
    <t>Income</t>
  </si>
  <si>
    <t xml:space="preserve">     Total Rental Income:</t>
  </si>
  <si>
    <t xml:space="preserve">     Total Vacancy</t>
  </si>
  <si>
    <t xml:space="preserve">     Total Other Income:</t>
  </si>
  <si>
    <t>Effective Gross Income (EGI)</t>
  </si>
  <si>
    <t>Expenses</t>
  </si>
  <si>
    <t xml:space="preserve">     Management Fees</t>
  </si>
  <si>
    <t xml:space="preserve">     Other Administrative</t>
  </si>
  <si>
    <t xml:space="preserve">     Total Utility Expense</t>
  </si>
  <si>
    <t xml:space="preserve">     Total O&amp;M Expense</t>
  </si>
  <si>
    <t xml:space="preserve">     Real Estate Taxes</t>
  </si>
  <si>
    <t>CHECKLIST &amp; REQUIRED APPLICATION ORDER</t>
  </si>
  <si>
    <t>Checklist &amp; Required Application Order</t>
  </si>
  <si>
    <t>Applicant and Development Team Information</t>
  </si>
  <si>
    <t>Color Photographs</t>
  </si>
  <si>
    <t>Other projects under construction by members of the Development Team and</t>
  </si>
  <si>
    <t>Capital Needs Assessment (for rehab projects only)</t>
  </si>
  <si>
    <t>Architectural and Minimum Project Design Requirement</t>
  </si>
  <si>
    <t xml:space="preserve">Appendix 7 </t>
  </si>
  <si>
    <t>APPLICANT CERTIFICATION</t>
  </si>
  <si>
    <t xml:space="preserve">The Applicant hereby certifies that the project can be completed and operated within the budget set forth in the Application.  </t>
  </si>
  <si>
    <t>Total rehab contract if items not itemized, attach contract</t>
  </si>
  <si>
    <t xml:space="preserve">   Site Work (Utilities and Improvements)</t>
  </si>
  <si>
    <t xml:space="preserve">   Doors</t>
  </si>
  <si>
    <t xml:space="preserve">   Structure / Foundation/Framing</t>
  </si>
  <si>
    <t>Total construction contract amount if not itemized, attach contract</t>
  </si>
  <si>
    <t xml:space="preserve">   Project Street Address, City &amp; Zip Code:</t>
  </si>
  <si>
    <t xml:space="preserve">   Census Tract:</t>
  </si>
  <si>
    <t>Affirmative Marketing Plan Form (AFHM-98)</t>
  </si>
  <si>
    <t>Lead Based Paint Strategy (Pre-1978 Projects Only)</t>
  </si>
  <si>
    <t xml:space="preserve">   Applicant Address:</t>
  </si>
  <si>
    <t xml:space="preserve">   Applicant City, State &amp; Zip:</t>
  </si>
  <si>
    <t xml:space="preserve">   Legal Structure of Applicant: </t>
  </si>
  <si>
    <t xml:space="preserve">   Does Applicant have identity of interest with Contractor?:</t>
  </si>
  <si>
    <t xml:space="preserve">     Insurance</t>
  </si>
  <si>
    <t xml:space="preserve">     All other Taxes &amp; Insurance</t>
  </si>
  <si>
    <t>Total Expenses</t>
  </si>
  <si>
    <t>Net Operating Income</t>
  </si>
  <si>
    <t>Replacement Reserves Contribution</t>
  </si>
  <si>
    <t>Adjusted Net Operating Income</t>
  </si>
  <si>
    <t xml:space="preserve"> Debt Service</t>
  </si>
  <si>
    <t xml:space="preserve">     1st Mortgage </t>
  </si>
  <si>
    <t xml:space="preserve">     2nd Mortgage as Calculated</t>
  </si>
  <si>
    <t xml:space="preserve">     Other Loan</t>
  </si>
  <si>
    <t>Total Debt Service</t>
  </si>
  <si>
    <t>CashFlow</t>
  </si>
  <si>
    <t>Debt Service Coverage Ratios</t>
  </si>
  <si>
    <t>1st Mortgage</t>
  </si>
  <si>
    <t>All Debt</t>
  </si>
  <si>
    <t>Break Even Analysis</t>
  </si>
  <si>
    <t>Break - Even Cashflow Ratio</t>
  </si>
  <si>
    <t>Break - Even Number of Units</t>
  </si>
  <si>
    <t>Expense Cushion</t>
  </si>
  <si>
    <t>Cash Flow / Total Expenses</t>
  </si>
  <si>
    <t>Amortization</t>
  </si>
  <si>
    <t>Owner Distribution</t>
  </si>
  <si>
    <t>Year</t>
  </si>
  <si>
    <t>BegBal</t>
  </si>
  <si>
    <t>Accrd Int</t>
  </si>
  <si>
    <t>CF</t>
  </si>
  <si>
    <t>Pmt</t>
  </si>
  <si>
    <t>EndBal</t>
  </si>
  <si>
    <t>Cash Flow</t>
  </si>
  <si>
    <t>Projected Cash Flow to owner over term of first loan</t>
  </si>
  <si>
    <t>Discounted Cash Flow to owner over term of first loan</t>
  </si>
  <si>
    <t>Eligible Applicant</t>
  </si>
  <si>
    <t>Federal Civil Rights Legislation Compliance ?</t>
  </si>
  <si>
    <t>Program Participants in Good Standing?</t>
  </si>
  <si>
    <t xml:space="preserve">   New Construction or Rehab?</t>
  </si>
  <si>
    <t>Applicant has provided evidence of site control ?</t>
  </si>
  <si>
    <t>Zoning demonstrated for residential use on each site ?</t>
  </si>
  <si>
    <t>Local PHA utility allowance schedule used ?</t>
  </si>
  <si>
    <t>Sources and uses balance ?</t>
  </si>
  <si>
    <t>Proposal has a Hard Debt Service Coverage Ratio of at least 1.15 ?</t>
  </si>
  <si>
    <t>Reserves funded over 15-year compliance period ?</t>
  </si>
  <si>
    <t>Reserve Deposits between $250 and $400 per unit ?</t>
  </si>
  <si>
    <t>Photographs and Site Maps provided ?</t>
  </si>
  <si>
    <t>Development Team Documents Provided ?</t>
  </si>
  <si>
    <t>Architectural Submissions Provided ?</t>
  </si>
  <si>
    <t>Lead- Based Paint Strategy Provided where necessary ?</t>
  </si>
  <si>
    <t>Units have sufficient bathrooms ?</t>
  </si>
  <si>
    <t>Project has central HVAC ?</t>
  </si>
  <si>
    <t>All entrances meet ADAAG standards for width and threshold ?</t>
  </si>
  <si>
    <t>Bedrooms are at least 8'X10' ?</t>
  </si>
  <si>
    <t>At least 5% of rental units are accessible to persons with mobility impairments and 3% for sensory impairments ?</t>
  </si>
  <si>
    <t>At least 5% of HOMEOWNERSHIP units are accessible to persons with mobility impairments ?</t>
  </si>
  <si>
    <t>Number of PSH Units</t>
  </si>
  <si>
    <t>Total Number of Units</t>
  </si>
  <si>
    <t>Net CashFlow</t>
  </si>
  <si>
    <t>Developer Fee Repayment</t>
  </si>
  <si>
    <t>Application Fees</t>
  </si>
  <si>
    <t>Provide Resume</t>
  </si>
  <si>
    <t>Provide Resume if available</t>
  </si>
  <si>
    <t>Cash Value Contribution for this Project</t>
  </si>
  <si>
    <t>Note: Not having prior years data does not automatically disqualify cash contribution. Provide past year data where appropriate.</t>
  </si>
  <si>
    <t xml:space="preserve">Loan Servicer (if known): </t>
  </si>
  <si>
    <t>Soft Costs</t>
  </si>
  <si>
    <t xml:space="preserve">   Housing Description</t>
  </si>
  <si>
    <t>Is Rehab on vacant units and substantial ? (No rehab = N/A)</t>
  </si>
  <si>
    <t>50% of AMI</t>
  </si>
  <si>
    <t>80% of AMI</t>
  </si>
  <si>
    <t>Rehab</t>
  </si>
  <si>
    <t>Acadia Parish</t>
  </si>
  <si>
    <t>Allen Parish</t>
  </si>
  <si>
    <t>Ascension Parish</t>
  </si>
  <si>
    <t>Assumption Parish</t>
  </si>
  <si>
    <t>Avoyelles Parish</t>
  </si>
  <si>
    <t>Beauregard Parish</t>
  </si>
  <si>
    <t>Bienville Parish</t>
  </si>
  <si>
    <t>Bossier Parish</t>
  </si>
  <si>
    <t>Caddo Parish</t>
  </si>
  <si>
    <t>Calcasieu Parish</t>
  </si>
  <si>
    <t>Caldwell Parish</t>
  </si>
  <si>
    <t>Cameron Parish</t>
  </si>
  <si>
    <t>Catahoula Parish</t>
  </si>
  <si>
    <t>Claiborne Parish</t>
  </si>
  <si>
    <t>Concordia Parish</t>
  </si>
  <si>
    <t>De Soto Parish</t>
  </si>
  <si>
    <t>East Baton Rouge Parish</t>
  </si>
  <si>
    <t>East Carroll Parish</t>
  </si>
  <si>
    <t>East Feliciana Parish</t>
  </si>
  <si>
    <t>Evangeline Parish</t>
  </si>
  <si>
    <t>Grant Parish</t>
  </si>
  <si>
    <t>Iberia Parish</t>
  </si>
  <si>
    <t>Iberville Parish</t>
  </si>
  <si>
    <t>Jackson Parish</t>
  </si>
  <si>
    <t>Jefferson Parish</t>
  </si>
  <si>
    <t>Jefferson Davis Parish</t>
  </si>
  <si>
    <t>Lafayette Parish</t>
  </si>
  <si>
    <t>Lafourche Parish</t>
  </si>
  <si>
    <t>La Salle Parish</t>
  </si>
  <si>
    <t>Lincoln Parish</t>
  </si>
  <si>
    <t>Livingston Parish</t>
  </si>
  <si>
    <t>Madison Parish</t>
  </si>
  <si>
    <t>Morehouse Parish</t>
  </si>
  <si>
    <t>Natchitoches Parish</t>
  </si>
  <si>
    <t>Orleans Parish</t>
  </si>
  <si>
    <t>Ouachita Parish</t>
  </si>
  <si>
    <t>Plaquemines Parish</t>
  </si>
  <si>
    <t>Pointe Coupee Parish</t>
  </si>
  <si>
    <t>Rapides Parish</t>
  </si>
  <si>
    <t>Red River Parish</t>
  </si>
  <si>
    <t>Richland Parish</t>
  </si>
  <si>
    <t>Sabine Parish</t>
  </si>
  <si>
    <t>St. Bernard Parish</t>
  </si>
  <si>
    <t>St. Charles Parish</t>
  </si>
  <si>
    <t>St. Helena Parish</t>
  </si>
  <si>
    <t>St. James Parish</t>
  </si>
  <si>
    <t>St. John the Baptist Parish</t>
  </si>
  <si>
    <t>St. Landry Parish</t>
  </si>
  <si>
    <t>St. Martin Parish</t>
  </si>
  <si>
    <t>St. Mary Parish</t>
  </si>
  <si>
    <t>St. Tammany Parish</t>
  </si>
  <si>
    <t>Tangipahoa Parish</t>
  </si>
  <si>
    <t>Tensas Parish</t>
  </si>
  <si>
    <t>Terrebonne Parish</t>
  </si>
  <si>
    <t>Union Parish</t>
  </si>
  <si>
    <t>Vermilion Parish</t>
  </si>
  <si>
    <t>Vernon Parish</t>
  </si>
  <si>
    <t>Washington Parish</t>
  </si>
  <si>
    <t>Webster Parish</t>
  </si>
  <si>
    <t>West Baton Rouge Parish</t>
  </si>
  <si>
    <t>West Carroll Parish</t>
  </si>
  <si>
    <t>West Feliciana Parish</t>
  </si>
  <si>
    <t>Winn Parish</t>
  </si>
  <si>
    <t>Architect:</t>
  </si>
  <si>
    <t>Developer fee, consulting fees and overhead less than 15% of total rehab and new construction ?</t>
  </si>
  <si>
    <t>All appliances are energy efficient (energy star) ?</t>
  </si>
  <si>
    <t>Eligibility</t>
  </si>
  <si>
    <t>Affirmative Marketing Plan Complete?</t>
  </si>
  <si>
    <t>Discount</t>
  </si>
  <si>
    <t xml:space="preserve">   Purchase Price</t>
  </si>
  <si>
    <t>Consultant:</t>
  </si>
  <si>
    <t>Non-Profit Bookkeeping</t>
  </si>
  <si>
    <t>Temporary Construction Loan</t>
  </si>
  <si>
    <t>Other Matching Sources</t>
  </si>
  <si>
    <t>Non Profit Entity</t>
  </si>
  <si>
    <t>Last Year</t>
  </si>
  <si>
    <t xml:space="preserve">2 years ago </t>
  </si>
  <si>
    <t xml:space="preserve">3 years ago </t>
  </si>
  <si>
    <t>Notes</t>
  </si>
  <si>
    <t>Prior Years value where applicable</t>
  </si>
  <si>
    <t>Volunteer labor</t>
  </si>
  <si>
    <t>Checklist</t>
  </si>
  <si>
    <t>Required</t>
  </si>
  <si>
    <t>Included</t>
  </si>
  <si>
    <t>Signature</t>
  </si>
  <si>
    <t>--</t>
  </si>
  <si>
    <t>a)</t>
  </si>
  <si>
    <t>b)</t>
  </si>
  <si>
    <t>c)</t>
  </si>
  <si>
    <t>Pro Forma Calculation</t>
  </si>
  <si>
    <t>Documents in Support of Applicant Information</t>
  </si>
  <si>
    <t>Appendix 1</t>
  </si>
  <si>
    <t>Documents in Support of Property Information</t>
  </si>
  <si>
    <t>Appendix 2</t>
  </si>
  <si>
    <t>i)</t>
  </si>
  <si>
    <t>ii)</t>
  </si>
  <si>
    <t>iii)</t>
  </si>
  <si>
    <t>Legal descriptions</t>
  </si>
  <si>
    <t>Map</t>
  </si>
  <si>
    <t>Appendix 3</t>
  </si>
  <si>
    <t>Appendix 4</t>
  </si>
  <si>
    <t>Zoning Evidence</t>
  </si>
  <si>
    <t>Other documents related to zoning</t>
  </si>
  <si>
    <t>d)</t>
  </si>
  <si>
    <t>Appendix 5</t>
  </si>
  <si>
    <t xml:space="preserve">Appraisal </t>
  </si>
  <si>
    <t>e)</t>
  </si>
  <si>
    <t xml:space="preserve">Appendix 6 </t>
  </si>
  <si>
    <t>Documents in Support of Sources and Uses</t>
  </si>
  <si>
    <t>Financing Commitments (obtain from bank, etc.)</t>
  </si>
  <si>
    <t>Appendix 8</t>
  </si>
  <si>
    <t>Appendix 10</t>
  </si>
  <si>
    <t>Appendix 11</t>
  </si>
  <si>
    <t>Appendix 12</t>
  </si>
  <si>
    <t>Appendix 13</t>
  </si>
  <si>
    <t>Appendix 14</t>
  </si>
  <si>
    <t>Appendix 15</t>
  </si>
  <si>
    <t>f)</t>
  </si>
  <si>
    <t>Appendix 16</t>
  </si>
  <si>
    <t>g)</t>
  </si>
  <si>
    <t>Appendix 17</t>
  </si>
  <si>
    <t xml:space="preserve">Description of Amenities. </t>
  </si>
  <si>
    <t>Description of Community Facilities.</t>
  </si>
  <si>
    <t>k)</t>
  </si>
  <si>
    <t>l)</t>
  </si>
  <si>
    <t>m)</t>
  </si>
  <si>
    <t xml:space="preserve">   Maximum HOME FUNDS Requested:</t>
  </si>
  <si>
    <t>HOME FUNDS Eligibility Issues</t>
  </si>
  <si>
    <t>All households below 80% AMI?</t>
  </si>
  <si>
    <t>Rental Lease Term is at least 12 Months?</t>
  </si>
  <si>
    <t>Commitments on all non-HOME FUNDS sources ?</t>
  </si>
  <si>
    <t>Total soft costs less than 20% of total project costs ?</t>
  </si>
  <si>
    <t>Proposals financially feasible without HOME funding ?</t>
  </si>
  <si>
    <t>HOME Requested</t>
  </si>
  <si>
    <t>Managing Member/Partner:</t>
  </si>
  <si>
    <t>LHC</t>
  </si>
  <si>
    <t>HOME LOAN SUBSIDY</t>
  </si>
  <si>
    <t>HOME FUNDS</t>
  </si>
  <si>
    <t>Mortgage Insurance Premium</t>
  </si>
  <si>
    <t>LHC Fees</t>
  </si>
  <si>
    <t>HOME FUNDS DEBT SERVICE</t>
  </si>
  <si>
    <t>The undersigned Applicant (or duly authorized representative of the same) hereby certifies that the information contained in the Louisiana Housing Corporation HOME Funds Application Package (the “Application”), including all Appendices and Exhibits attached hereto, is complete and accurate as of the date hereof.  The undersigned acknowledges that the information provided in this Application Package or in any other document, release or communication by the Louisiana Housing Corporation (the "LHC") has not been relied upon for purpose of making any investment decision by the Applicant and that any and all expenses and investments with respect to this application for a reservation of HOME Funds have been or will be made on the basis of an independent judgment by the Applicant or upon consultation with a qualified housing development consultant.</t>
  </si>
  <si>
    <t>By execution of this Application, the Applicant understands and agrees that the LHC may conduct its own independent review and analysis of the information contained herein and in the attachments hereto, that any such review and analysis will be made for the protection of the LHC.  It is further understood and agreed by the Applicant that, for the purpose of determining and establishing the terms and conditions under which the allocation may be made, the LHC may request or require adjustment or changes in the information contained herein (including attachments hereto) or in any documentation or materials now or hereafter submitted in connection with this Application.</t>
  </si>
  <si>
    <t>Points</t>
  </si>
  <si>
    <t xml:space="preserve">Proposed projects will be reviewed and scored on a competitive basis relative to the evaluation criteria below. </t>
  </si>
  <si>
    <t xml:space="preserve">   Applicant Email Address</t>
  </si>
  <si>
    <t xml:space="preserve">   Applicant DUNS Number</t>
  </si>
  <si>
    <t>HOME Request:</t>
  </si>
  <si>
    <t xml:space="preserve">   Project Type</t>
  </si>
  <si>
    <t>CHDO Rental Development</t>
  </si>
  <si>
    <t>Rental Development (Non-CHDO)</t>
  </si>
  <si>
    <t xml:space="preserve">   Total Units</t>
  </si>
  <si>
    <t>Proposed Rent Mechanism</t>
  </si>
  <si>
    <t>Maximum HOME Rents Allowed</t>
  </si>
  <si>
    <t>COMPLETED PROJECTS</t>
  </si>
  <si>
    <t>Name of Project</t>
  </si>
  <si>
    <t>Address</t>
  </si>
  <si>
    <t># of Units</t>
  </si>
  <si>
    <t>New or Rehab</t>
  </si>
  <si>
    <t>For Rent or Homeownership</t>
  </si>
  <si>
    <t>LHC Assisted</t>
  </si>
  <si>
    <t>Project Start Date</t>
  </si>
  <si>
    <t>Comments/Challenges</t>
  </si>
  <si>
    <t>New</t>
  </si>
  <si>
    <t>Rental</t>
  </si>
  <si>
    <t>Homeownership</t>
  </si>
  <si>
    <t>Positive or Negative Cash Flow*                 (For Rental Only)</t>
  </si>
  <si>
    <t>Positive</t>
  </si>
  <si>
    <t>Negative</t>
  </si>
  <si>
    <t>* Provide financials to support Cash Flow position.</t>
  </si>
  <si>
    <t>For each project identified above that is currently operating with a negative cash flow provide a narrative on how this challenge is being met.</t>
  </si>
  <si>
    <t>Date Lease-Up Complete or Final Unit Sold</t>
  </si>
  <si>
    <t>State Certified CHDO</t>
  </si>
  <si>
    <t xml:space="preserve">  </t>
  </si>
  <si>
    <t>If the CHDO is a joint venture, projects will be scored based on the experience of the CHDO. Where partners have approximately equal participation, the individual scores of each partner will be averaged.</t>
  </si>
  <si>
    <t>Value of Extended Affordability</t>
  </si>
  <si>
    <t>Value of Donated Professional Services (Attorney, Architect, Engineer, etc.)</t>
  </si>
  <si>
    <t>Private Contributions/ Donation Support (Non-owner)</t>
  </si>
  <si>
    <t>Waived Fees (Waived by Government)</t>
  </si>
  <si>
    <t>Value of Supportive Services Not Reimbursed by Federal Government  (United Way, Charity, etc.)</t>
  </si>
  <si>
    <t>Completed Projects</t>
  </si>
  <si>
    <t>Zoning Certification Letter or Zoning Map</t>
  </si>
  <si>
    <t>Certificate of Demand (From Market Study) Not required at application. Required upon preliminary award.</t>
  </si>
  <si>
    <t>Market Study (if bound may be included at end of application – place sheet here stating “See bound Market Study attached hereto and made a part hereof.”  Not required at application. Required upon preliminary award.</t>
  </si>
  <si>
    <t>r)</t>
  </si>
  <si>
    <r>
      <t>Items with an</t>
    </r>
    <r>
      <rPr>
        <b/>
        <sz val="12"/>
        <rFont val="Arial"/>
        <family val="2"/>
      </rPr>
      <t xml:space="preserve"> X </t>
    </r>
    <r>
      <rPr>
        <b/>
        <sz val="10"/>
        <rFont val="Arial"/>
        <family val="2"/>
      </rPr>
      <t>are required for a submission to be considered. Items included without the X do not have to be submitted for consideration but may required to receive points if applicable.</t>
    </r>
  </si>
  <si>
    <t>s)</t>
  </si>
  <si>
    <t>Developer Services Agreement</t>
  </si>
  <si>
    <t>Louisiana Housing Corporation</t>
  </si>
  <si>
    <t>Subsidy Layering Review</t>
  </si>
  <si>
    <t>For</t>
  </si>
  <si>
    <t>Total Development Cost</t>
  </si>
  <si>
    <t>Percentage of HOME Assistance</t>
  </si>
  <si>
    <t>Required Minimum Number of HOME Units</t>
  </si>
  <si>
    <t>Maximum Per Unit Subsidy (PUS 1 bedroom)</t>
  </si>
  <si>
    <t>Maximum Per Unit Subsidy (PUS 2 bedroom)</t>
  </si>
  <si>
    <t>Maximum Per Unit Subsidy (PUS 3 bedroom)</t>
  </si>
  <si>
    <t>Maximum Per Unit Subsidy (PUS 4 bedroom)</t>
  </si>
  <si>
    <t>HOME Assisted Units By Bedroom Size:</t>
  </si>
  <si>
    <t>Bedroom Size</t>
  </si>
  <si>
    <t>Total Units</t>
  </si>
  <si>
    <t>HOME Percentage</t>
  </si>
  <si>
    <t>HOME Assisted Units</t>
  </si>
  <si>
    <t>Maximum HOME Funds Per Unit Subsidy</t>
  </si>
  <si>
    <t>Maximum Allowable Subsidy</t>
  </si>
  <si>
    <t>0 BR</t>
  </si>
  <si>
    <t>1 BR</t>
  </si>
  <si>
    <t>2 BR</t>
  </si>
  <si>
    <t xml:space="preserve">2 BR </t>
  </si>
  <si>
    <t>3 BR</t>
  </si>
  <si>
    <t>4 OR MORE BR</t>
  </si>
  <si>
    <t>Maximum Per Unit Subsidy (PUS 0 bedroom)</t>
  </si>
  <si>
    <t>Bed Room Size</t>
  </si>
  <si>
    <t>Fair Market Rents</t>
  </si>
  <si>
    <t>Low HOME Rent</t>
  </si>
  <si>
    <t>High HOME Rent</t>
  </si>
  <si>
    <t>Franklin Parish</t>
  </si>
  <si>
    <t>Does Project Meet Per Unit Subsidy Rule</t>
  </si>
  <si>
    <t xml:space="preserve">   HOME Assisted Units Proposed By Developer</t>
  </si>
  <si>
    <t>Notes:</t>
  </si>
  <si>
    <t>Per Unit Subsidy Allowed based on minimum # of units)</t>
  </si>
  <si>
    <t>Application includes at least a 15% match ?</t>
  </si>
  <si>
    <t>The number of HOME assisted units is determined by rounding to the next whole number across all bedroom sizes. This may result in a larger number of required units than oveall proportionality would indicate.</t>
  </si>
  <si>
    <t>% of Time Devoted to Project</t>
  </si>
  <si>
    <t>CHDO</t>
  </si>
  <si>
    <t xml:space="preserve">Comments </t>
  </si>
  <si>
    <t>CHDO Eligibility Issues</t>
  </si>
  <si>
    <t>Governing Board List</t>
  </si>
  <si>
    <t>Listing of Staff and Resumes</t>
  </si>
  <si>
    <t>Summary of Changes to Staff</t>
  </si>
  <si>
    <t>Board Authorization -- Resolution of Board of Directors Authorizing Application</t>
  </si>
  <si>
    <t>Not Included</t>
  </si>
  <si>
    <t>Utility Allowance Comments</t>
  </si>
  <si>
    <t>Actual Rents Comments</t>
  </si>
  <si>
    <t>Rental Subsidies Comments</t>
  </si>
  <si>
    <t>Anticipated Rent For High HOME Units</t>
  </si>
  <si>
    <t>Anticipated Rent For Low HOME Units</t>
  </si>
  <si>
    <t>Low HOME Rents</t>
  </si>
  <si>
    <t>Rent After Utilities (High)</t>
  </si>
  <si>
    <t>Rent After Utilities (Low)</t>
  </si>
  <si>
    <t>Actual Hgh Rents Below Level Allowed?</t>
  </si>
  <si>
    <t>Actual Low Rents Below Level Allowed?</t>
  </si>
  <si>
    <t>Actual High Rents</t>
  </si>
  <si>
    <t>Actual Low Rents</t>
  </si>
  <si>
    <t>Taxpayer/Developer</t>
  </si>
  <si>
    <t>No Change</t>
  </si>
  <si>
    <t>Project Site is more than 300 feet from a railroad</t>
  </si>
  <si>
    <t>Date of Market Study ?</t>
  </si>
  <si>
    <t xml:space="preserve">Rehab Cost </t>
  </si>
  <si>
    <t>TOTAL DEVELOPMENT COSTS</t>
  </si>
  <si>
    <t>TOTAL OTHER COSTS</t>
  </si>
  <si>
    <t>New Construction Hard Costs</t>
  </si>
  <si>
    <t>Completed Project Schedules</t>
  </si>
  <si>
    <t>I</t>
  </si>
  <si>
    <t>II</t>
  </si>
  <si>
    <t>III</t>
  </si>
  <si>
    <t>IV</t>
  </si>
  <si>
    <t>VI</t>
  </si>
  <si>
    <t>V</t>
  </si>
  <si>
    <t>VII</t>
  </si>
  <si>
    <t>XI</t>
  </si>
  <si>
    <t>XII</t>
  </si>
  <si>
    <t>XIII</t>
  </si>
  <si>
    <t>Is the project in support of Public Housing?</t>
  </si>
  <si>
    <t>N/A</t>
  </si>
  <si>
    <t>TOTAL NEW CONSTRUCTION COSTS</t>
  </si>
  <si>
    <t>DATE FIRST UNIT RENTED</t>
  </si>
  <si>
    <t xml:space="preserve">DATE LAST HOME ASSISTED UNIT RENTED </t>
  </si>
  <si>
    <t>100% OF UNIT OCCUPANCY ACHIEVED</t>
  </si>
  <si>
    <t>Conversion Rehab Only</t>
  </si>
  <si>
    <t>Sample floor plans and elevations must include design features that are consistent with existing neighborhood housing stock.</t>
  </si>
  <si>
    <t>Sample schematic designs (5 points)</t>
  </si>
  <si>
    <t>Sample floor plans (10 points)</t>
  </si>
  <si>
    <t>XIV</t>
  </si>
  <si>
    <t>Development Team ( with Resumes and Relevant Experience)</t>
  </si>
  <si>
    <t>Match Leverage</t>
  </si>
  <si>
    <t>Certifications</t>
  </si>
  <si>
    <t>Appendix 9</t>
  </si>
  <si>
    <r>
      <t>EXPERIENCE AND QUALIFICATIONS (16 POINTS MAXIMUM</t>
    </r>
    <r>
      <rPr>
        <b/>
        <i/>
        <u/>
        <sz val="12"/>
        <color indexed="8"/>
        <rFont val="Times New Roman"/>
        <family val="1"/>
      </rPr>
      <t>)</t>
    </r>
  </si>
  <si>
    <r>
      <t xml:space="preserve">Developer Experience </t>
    </r>
    <r>
      <rPr>
        <b/>
        <i/>
        <sz val="12"/>
        <color indexed="8"/>
        <rFont val="Times New Roman"/>
        <family val="1"/>
      </rPr>
      <t>(</t>
    </r>
    <r>
      <rPr>
        <b/>
        <sz val="12"/>
        <color indexed="8"/>
        <rFont val="Times New Roman"/>
        <family val="1"/>
      </rPr>
      <t>10 points</t>
    </r>
    <r>
      <rPr>
        <b/>
        <i/>
        <sz val="12"/>
        <color indexed="8"/>
        <rFont val="Times New Roman"/>
        <family val="1"/>
      </rPr>
      <t>)</t>
    </r>
    <r>
      <rPr>
        <b/>
        <sz val="12"/>
        <color indexed="8"/>
        <rFont val="Times New Roman"/>
        <family val="1"/>
      </rPr>
      <t xml:space="preserve"> [NON-CHDOs ONLY]</t>
    </r>
  </si>
  <si>
    <t>Points are awarded for completing affordable housing projects on time and within budget in the last 5 years (by the developer).  2 points will be awarded for each project meeting these criteria up to a total of 10 points.</t>
  </si>
  <si>
    <r>
      <t xml:space="preserve">Developer Financial Strength </t>
    </r>
    <r>
      <rPr>
        <b/>
        <i/>
        <sz val="12"/>
        <color indexed="8"/>
        <rFont val="Times New Roman"/>
        <family val="1"/>
      </rPr>
      <t>(</t>
    </r>
    <r>
      <rPr>
        <b/>
        <sz val="12"/>
        <color indexed="8"/>
        <rFont val="Times New Roman"/>
        <family val="1"/>
      </rPr>
      <t>6 points) [NON-CHDOs ONLY]</t>
    </r>
  </si>
  <si>
    <t xml:space="preserve">Points are awarded based on certified financial statements by an independent C.P.A. from the past 2 years, and the ability to sustain the costs of effectively following through with the current application. </t>
  </si>
  <si>
    <t>CHDOs ONLY  (60 POINTS MAXIMUM)</t>
  </si>
  <si>
    <t>CHDO Experience (12 points) (CHDOs Only)</t>
  </si>
  <si>
    <t>Points are awarded for completing affordable housing projects on time and within budget in the last 5 years (by the CHDO, not other team members).  2 points will be awarded for each project meeting these criteria up to a total of 12 points.</t>
  </si>
  <si>
    <t>CHDO Capacity &amp; Staffing (24 points) (CHDOs Only)</t>
  </si>
  <si>
    <t>Points are awarded based on evidence that the lead staff, including the Project Manager and supervisory staff working on this specific project, proposed to work on the current proposal have the necessary experience, and that the Project Manager has the necessary time availability.</t>
  </si>
  <si>
    <t xml:space="preserve">(Up to 20 points) 20 points maybe awarded for staff experience (up to 12 points for contracted staff). </t>
  </si>
  <si>
    <t>(Up to 4 points) 4 points may be awarded for time availability. Where both staff and contracted staff are used the score will be averaged.</t>
  </si>
  <si>
    <t>CHDO Financial Strength (24 points) (CHDOs Only)</t>
  </si>
  <si>
    <r>
      <t xml:space="preserve">Points are awarded based on </t>
    </r>
    <r>
      <rPr>
        <u/>
        <sz val="12"/>
        <color indexed="8"/>
        <rFont val="Times New Roman"/>
        <family val="1"/>
      </rPr>
      <t>audited</t>
    </r>
    <r>
      <rPr>
        <sz val="12"/>
        <color indexed="8"/>
        <rFont val="Times New Roman"/>
        <family val="1"/>
      </rPr>
      <t xml:space="preserve"> financial statements, by an independent C.P.A., from the past 2 years evidencing financial stability and the ability to sustain the costs of effectively following through with the current application.  This will be determined by the number, amount and percentage of other funding sources, and dependability of other funding. Percentage of earlier projects showing a positive cash flow position and the amount of available unrestricted cash on hand.</t>
    </r>
  </si>
  <si>
    <r>
      <t xml:space="preserve">Project Budget and Construction Cost Reasonableness </t>
    </r>
    <r>
      <rPr>
        <b/>
        <i/>
        <sz val="12"/>
        <color indexed="8"/>
        <rFont val="Times New Roman"/>
        <family val="1"/>
      </rPr>
      <t>(10 points)</t>
    </r>
  </si>
  <si>
    <r>
      <t xml:space="preserve">Project budget is complete and anticipated development costs to include acquisition, hard cost, soft cost; and construction cost that are necessary and reasonable. LHC will conduct a construction cost reasonableness analysis to determine </t>
    </r>
    <r>
      <rPr>
        <b/>
        <sz val="12"/>
        <color indexed="8"/>
        <rFont val="Times New Roman"/>
        <family val="1"/>
      </rPr>
      <t xml:space="preserve">if the proposed budget is within </t>
    </r>
    <r>
      <rPr>
        <sz val="12"/>
        <color indexed="8"/>
        <rFont val="Times New Roman"/>
        <family val="1"/>
      </rPr>
      <t xml:space="preserve">20% variance. </t>
    </r>
    <r>
      <rPr>
        <b/>
        <sz val="12"/>
        <color indexed="8"/>
        <rFont val="Times New Roman"/>
        <family val="1"/>
      </rPr>
      <t/>
    </r>
  </si>
  <si>
    <r>
      <t xml:space="preserve">Project Budget and Construction Cost Reasonableness </t>
    </r>
    <r>
      <rPr>
        <b/>
        <i/>
        <sz val="12"/>
        <color indexed="8"/>
        <rFont val="Times New Roman"/>
        <family val="1"/>
      </rPr>
      <t>(5 points)</t>
    </r>
  </si>
  <si>
    <r>
      <t xml:space="preserve">Project budget is complete and anticipated development costs to include acquisition, hard cost, soft cost; and construction cost that are necessary and reasonable. LHC will conduct a cost reasonableness analysis to determine </t>
    </r>
    <r>
      <rPr>
        <b/>
        <sz val="12"/>
        <color indexed="8"/>
        <rFont val="Times New Roman"/>
        <family val="1"/>
      </rPr>
      <t>if the proposed budget is outside</t>
    </r>
    <r>
      <rPr>
        <sz val="12"/>
        <color indexed="8"/>
        <rFont val="Times New Roman"/>
        <family val="1"/>
      </rPr>
      <t xml:space="preserve"> of the 20% variance.</t>
    </r>
  </si>
  <si>
    <t>FUNDING COMMITMENT (20 POINTS MAXIMUM)</t>
  </si>
  <si>
    <t>Funding Commitments:</t>
  </si>
  <si>
    <r>
      <t xml:space="preserve">Degree to which outside funding has been committed </t>
    </r>
    <r>
      <rPr>
        <b/>
        <sz val="12"/>
        <color indexed="8"/>
        <rFont val="Times New Roman"/>
        <family val="1"/>
      </rPr>
      <t>(20 points).</t>
    </r>
  </si>
  <si>
    <t>Fully executed funding commitments, detailing the terms and conditions, must be provided to receive points. Letters of Interest are not sufficient.  Points are awarded based on proportionality of such commitments.  If the terms and conditions in the funding commitments are not acceptable to the LHC the funding commitment shall not be considered.</t>
  </si>
  <si>
    <t>LEVERAGING (15 POINTS MAXIMUM)</t>
  </si>
  <si>
    <t>Percentage of HOME Program Funding Relative to Total Project Costs:</t>
  </si>
  <si>
    <r>
      <t xml:space="preserve">25% or less -- </t>
    </r>
    <r>
      <rPr>
        <b/>
        <sz val="12"/>
        <color indexed="8"/>
        <rFont val="Times New Roman"/>
        <family val="1"/>
      </rPr>
      <t>(15 points)</t>
    </r>
  </si>
  <si>
    <r>
      <t xml:space="preserve">26% - 50%-- </t>
    </r>
    <r>
      <rPr>
        <b/>
        <sz val="12"/>
        <color indexed="8"/>
        <rFont val="Times New Roman"/>
        <family val="1"/>
      </rPr>
      <t>(12 points)</t>
    </r>
  </si>
  <si>
    <r>
      <t xml:space="preserve">51% - 75% -- </t>
    </r>
    <r>
      <rPr>
        <b/>
        <sz val="12"/>
        <color indexed="8"/>
        <rFont val="Times New Roman"/>
        <family val="1"/>
      </rPr>
      <t>(9 points)</t>
    </r>
  </si>
  <si>
    <r>
      <t xml:space="preserve">76% - 85% -- </t>
    </r>
    <r>
      <rPr>
        <b/>
        <sz val="12"/>
        <color indexed="8"/>
        <rFont val="Times New Roman"/>
        <family val="1"/>
      </rPr>
      <t>(6 points)</t>
    </r>
  </si>
  <si>
    <t>AVERAGE HOME SUBSIDY PER UNIT (20 POINTS MAXIMUM)</t>
  </si>
  <si>
    <t>Average HOME Subsidy per unit</t>
  </si>
  <si>
    <r>
      <t xml:space="preserve">Less than $10,000 -- </t>
    </r>
    <r>
      <rPr>
        <b/>
        <i/>
        <sz val="12"/>
        <color indexed="8"/>
        <rFont val="Times New Roman"/>
        <family val="1"/>
      </rPr>
      <t>(</t>
    </r>
    <r>
      <rPr>
        <b/>
        <sz val="12"/>
        <color indexed="8"/>
        <rFont val="Times New Roman"/>
        <family val="1"/>
      </rPr>
      <t>20 points</t>
    </r>
    <r>
      <rPr>
        <b/>
        <i/>
        <sz val="12"/>
        <color indexed="8"/>
        <rFont val="Times New Roman"/>
        <family val="1"/>
      </rPr>
      <t>)</t>
    </r>
  </si>
  <si>
    <r>
      <t xml:space="preserve">$10,001 - $20,000 – </t>
    </r>
    <r>
      <rPr>
        <b/>
        <sz val="12"/>
        <color indexed="8"/>
        <rFont val="Times New Roman"/>
        <family val="1"/>
      </rPr>
      <t>(15 points</t>
    </r>
    <r>
      <rPr>
        <sz val="12"/>
        <color indexed="8"/>
        <rFont val="Times New Roman"/>
        <family val="1"/>
      </rPr>
      <t>)</t>
    </r>
  </si>
  <si>
    <r>
      <t xml:space="preserve">$20,001 - $30,000 – </t>
    </r>
    <r>
      <rPr>
        <b/>
        <sz val="12"/>
        <color indexed="8"/>
        <rFont val="Times New Roman"/>
        <family val="1"/>
      </rPr>
      <t>(10 points)</t>
    </r>
  </si>
  <si>
    <r>
      <t xml:space="preserve">$30,001 - $40,000 – </t>
    </r>
    <r>
      <rPr>
        <b/>
        <sz val="12"/>
        <color indexed="8"/>
        <rFont val="Times New Roman"/>
        <family val="1"/>
      </rPr>
      <t>(5 points)</t>
    </r>
  </si>
  <si>
    <t>COMPETITIVE REVIEW CRITERIA</t>
  </si>
  <si>
    <r>
      <rPr>
        <b/>
        <u/>
        <sz val="12"/>
        <color indexed="8"/>
        <rFont val="Times New Roman"/>
        <family val="1"/>
      </rPr>
      <t>HOME FUND REPAYMENT (20 POINTS MAXIMUM)</t>
    </r>
    <r>
      <rPr>
        <b/>
        <sz val="12"/>
        <color indexed="8"/>
        <rFont val="Times New Roman"/>
        <family val="1"/>
      </rPr>
      <t/>
    </r>
  </si>
  <si>
    <r>
      <rPr>
        <sz val="12"/>
        <color indexed="8"/>
        <rFont val="Times New Roman"/>
        <family val="1"/>
      </rPr>
      <t xml:space="preserve"> </t>
    </r>
    <r>
      <rPr>
        <b/>
        <u/>
        <sz val="12"/>
        <color indexed="8"/>
        <rFont val="Times New Roman"/>
        <family val="1"/>
      </rPr>
      <t>LOCAL GOVERNMENTAL SUPPORT (20 POINTS MAXIMUM)</t>
    </r>
  </si>
  <si>
    <t>Reduces project development costs by providing CDBG, HOME, or other governmental  assistance/funding in the form of loan, grants, rental assistance, or a combination. Any one (1) of the items below may be provided:</t>
  </si>
  <si>
    <t>Waiving water and sewer tap fees; or</t>
  </si>
  <si>
    <t>Waiving building permit fees; or</t>
  </si>
  <si>
    <t>Foregoing real property taxes during construction; or</t>
  </si>
  <si>
    <t>Contributing land for project development; or</t>
  </si>
  <si>
    <t>Providing below market rate construction and/or permanent financing; or</t>
  </si>
  <si>
    <t>Providing an abatement of real estate taxes</t>
  </si>
  <si>
    <t xml:space="preserve">AFFORDABILITY (10 POINTS MAXIMUM) </t>
  </si>
  <si>
    <r>
      <t xml:space="preserve">LHC will review the affordability data supplied by the applicant and will use it to calculate the income level to which the housing will be affordable. </t>
    </r>
    <r>
      <rPr>
        <b/>
        <sz val="12"/>
        <color indexed="8"/>
        <rFont val="Times New Roman"/>
        <family val="1"/>
      </rPr>
      <t>All housing assisted with HOME funds must</t>
    </r>
    <r>
      <rPr>
        <sz val="12"/>
        <color indexed="8"/>
        <rFont val="Times New Roman"/>
        <family val="1"/>
      </rPr>
      <t xml:space="preserve"> be affordable to families with incomes of </t>
    </r>
    <r>
      <rPr>
        <b/>
        <sz val="12"/>
        <color indexed="8"/>
        <rFont val="Times New Roman"/>
        <family val="1"/>
      </rPr>
      <t>80%</t>
    </r>
    <r>
      <rPr>
        <sz val="12"/>
        <color indexed="8"/>
        <rFont val="Times New Roman"/>
        <family val="1"/>
      </rPr>
      <t xml:space="preserve"> of the area median family income or below. </t>
    </r>
  </si>
  <si>
    <r>
      <t xml:space="preserve">Homes will be affordable to families with incomes </t>
    </r>
    <r>
      <rPr>
        <b/>
        <sz val="12"/>
        <color indexed="8"/>
        <rFont val="Times New Roman"/>
        <family val="1"/>
      </rPr>
      <t>between 75% and 80%</t>
    </r>
    <r>
      <rPr>
        <sz val="12"/>
        <color indexed="8"/>
        <rFont val="Times New Roman"/>
        <family val="1"/>
      </rPr>
      <t xml:space="preserve"> of the area median income.</t>
    </r>
  </si>
  <si>
    <r>
      <t xml:space="preserve">Homes will be affordable to families with incomes </t>
    </r>
    <r>
      <rPr>
        <b/>
        <sz val="12"/>
        <color indexed="8"/>
        <rFont val="Times New Roman"/>
        <family val="1"/>
      </rPr>
      <t>between 74% and 70%</t>
    </r>
    <r>
      <rPr>
        <sz val="12"/>
        <color indexed="8"/>
        <rFont val="Times New Roman"/>
        <family val="1"/>
      </rPr>
      <t xml:space="preserve"> of the area median income.</t>
    </r>
  </si>
  <si>
    <r>
      <t xml:space="preserve">Homes will be affordable to families with incomes </t>
    </r>
    <r>
      <rPr>
        <b/>
        <sz val="12"/>
        <color indexed="8"/>
        <rFont val="Times New Roman"/>
        <family val="1"/>
      </rPr>
      <t>between 69% and 60%</t>
    </r>
    <r>
      <rPr>
        <sz val="12"/>
        <color indexed="8"/>
        <rFont val="Times New Roman"/>
        <family val="1"/>
      </rPr>
      <t xml:space="preserve"> of the area median income.</t>
    </r>
  </si>
  <si>
    <t xml:space="preserve">Between 75% and 80% (4 points) </t>
  </si>
  <si>
    <t xml:space="preserve">Between 74% and 70% (6 points) </t>
  </si>
  <si>
    <t xml:space="preserve">Between 69% and 60% (8 points) </t>
  </si>
  <si>
    <r>
      <t>PRIORITY LOCATION</t>
    </r>
    <r>
      <rPr>
        <b/>
        <i/>
        <u/>
        <sz val="12"/>
        <color indexed="8"/>
        <rFont val="Times New Roman"/>
        <family val="1"/>
      </rPr>
      <t xml:space="preserve"> </t>
    </r>
    <r>
      <rPr>
        <b/>
        <u/>
        <sz val="12"/>
        <color indexed="8"/>
        <rFont val="Times New Roman"/>
        <family val="1"/>
      </rPr>
      <t xml:space="preserve">(35 POINTS MAXIMUM) </t>
    </r>
  </si>
  <si>
    <t>OTHER LOCATION DOCUMENTATION (3 POINTS EACH)</t>
  </si>
  <si>
    <t>Points in this section are awarded when documented by maps to sufficient scale and detail.</t>
  </si>
  <si>
    <r>
      <t xml:space="preserve">Points will be awarded for projects when the buildings in the project do not contain lead based paint (proven either through an inspection report from a Certified Lead Paint Inspector or Risk Assessor or the building were built after 1978). </t>
    </r>
    <r>
      <rPr>
        <b/>
        <sz val="12"/>
        <color indexed="8"/>
        <rFont val="Times New Roman"/>
        <family val="1"/>
      </rPr>
      <t>(3 points)</t>
    </r>
  </si>
  <si>
    <r>
      <t xml:space="preserve">Points will be awarded for projects where the building does not contain asbestos. </t>
    </r>
    <r>
      <rPr>
        <b/>
        <sz val="12"/>
        <color indexed="8"/>
        <rFont val="Times New Roman"/>
        <family val="1"/>
      </rPr>
      <t>(3 points)</t>
    </r>
  </si>
  <si>
    <r>
      <t xml:space="preserve">Points will be awarded for projects where the cost of the conversion/rehab will be less than 50% of the current value of the building. (Must provide appraisal to  establish before and after value) </t>
    </r>
    <r>
      <rPr>
        <b/>
        <sz val="12"/>
        <color indexed="8"/>
        <rFont val="Times New Roman"/>
        <family val="1"/>
      </rPr>
      <t>(3 points)</t>
    </r>
  </si>
  <si>
    <t xml:space="preserve">SAMPLE PRELIMINARY PLOT PLANS and ELEVATIONS (10 POINTS MAXIMUM) </t>
  </si>
  <si>
    <t xml:space="preserve">To receive points, photos of the neighboring properties must be submitted. Neighboring properties include all properties/structures on the same block including across the street. Photos must be labeled and indicated on a block map.  Applicants will receive either 5 or 10 points depending on the submission.
</t>
  </si>
  <si>
    <t xml:space="preserve">           </t>
  </si>
  <si>
    <t xml:space="preserve">Sample schematic designs that are consistent with existing neighborhood housing stock. </t>
  </si>
  <si>
    <t xml:space="preserve">SMALL DISADVANTAGED BUSINESS PARTICIPATION (5 POINTS MAXIMUM) </t>
  </si>
  <si>
    <t xml:space="preserve">PROJECT IS TO BE DEVELOPED BY A NEW OR NEVER FUNDED CHDO   (15 POINTS MAXIMUM) </t>
  </si>
  <si>
    <t>Project is to be developed by a new or never funded CHDO</t>
  </si>
  <si>
    <r>
      <t xml:space="preserve">Entities anticipated to be involved in implementing the project include certified vendors under Louisiana’s Hudson Initiative and Veterans Initiative as well as Small Disadvantaged Businesses registered with the U.S. Small Business Administration. </t>
    </r>
    <r>
      <rPr>
        <b/>
        <sz val="12"/>
        <color indexed="8"/>
        <rFont val="Times New Roman"/>
        <family val="1"/>
      </rPr>
      <t>(5 points)</t>
    </r>
  </si>
  <si>
    <t>Points are awarded for sites that have obtained discretionary public land use approvals (obtaining building permits is not necessary to score points).</t>
  </si>
  <si>
    <r>
      <t>Points will be awarded for projects located within 1 mile of any 1 Community Facility.  Only 3 points will be awarded.  Demonstration of proximity to multiple facilities will not result in additional points.                                                                                                          (e.g. Educational Facilities, Commercial Facilities, Health Care Facilities, Social Services, Grocery Store, Public Library, Public Transportation (shuttle services excluded), Hospital/Doctor Office or Clinic, Bank/Credit Union (must have live tellers), Post Office, Pharmacy/Drug Store, Louisiana Licensed (current) Adult/Child Day Care/After School Care).</t>
    </r>
    <r>
      <rPr>
        <b/>
        <sz val="12"/>
        <color indexed="8"/>
        <rFont val="Times New Roman"/>
        <family val="1"/>
      </rPr>
      <t xml:space="preserve"> (3 points)</t>
    </r>
  </si>
  <si>
    <r>
      <t xml:space="preserve">20 points - </t>
    </r>
    <r>
      <rPr>
        <sz val="12"/>
        <color indexed="8"/>
        <rFont val="Times New Roman"/>
        <family val="1"/>
      </rPr>
      <t>Repayment of HOME funds in 5 years</t>
    </r>
  </si>
  <si>
    <r>
      <t xml:space="preserve">15 points - </t>
    </r>
    <r>
      <rPr>
        <sz val="12"/>
        <color indexed="8"/>
        <rFont val="Times New Roman"/>
        <family val="1"/>
      </rPr>
      <t>Repayment of HOME funds in 10 years</t>
    </r>
  </si>
  <si>
    <r>
      <t xml:space="preserve">10 points - </t>
    </r>
    <r>
      <rPr>
        <sz val="12"/>
        <color indexed="8"/>
        <rFont val="Times New Roman"/>
        <family val="1"/>
      </rPr>
      <t>Repayment of HOME funds in 15 years</t>
    </r>
  </si>
  <si>
    <r>
      <t>5 points --</t>
    </r>
    <r>
      <rPr>
        <sz val="12"/>
        <color indexed="8"/>
        <rFont val="Times New Roman"/>
        <family val="1"/>
      </rPr>
      <t xml:space="preserve"> Repayment of HOME funds in 20 years</t>
    </r>
  </si>
  <si>
    <r>
      <t xml:space="preserve">0 points -- </t>
    </r>
    <r>
      <rPr>
        <sz val="12"/>
        <color indexed="8"/>
        <rFont val="Times New Roman"/>
        <family val="1"/>
      </rPr>
      <t>Repayment of HOME funds in more than 20 years</t>
    </r>
  </si>
  <si>
    <t>RENTAL DEVELOPMENT APPLICATION</t>
  </si>
  <si>
    <t>PROJECT BUDGET (10 POINTS MAXIMUM) Applicants will receive either 5 or 10 points depending on the submission.</t>
  </si>
  <si>
    <t>PROJECT READINESS &amp; DEVELOPMENT SCHEDULE (10 POINTS MAXIMUM)</t>
  </si>
  <si>
    <t>Projects that have received Agency development funding under CHDO within the last 5 years and are returning for additional gap financing will not be eligible for points in this category.</t>
  </si>
  <si>
    <t>Public Land Use Approvals (10 points)</t>
  </si>
  <si>
    <t>All projects are required to repay HOME funds.  Projects that demonstrate through the submitted proforma an ability to repay according to the below schedule:</t>
  </si>
  <si>
    <t>IX</t>
  </si>
  <si>
    <r>
      <rPr>
        <sz val="12"/>
        <color indexed="8"/>
        <rFont val="Times New Roman"/>
        <family val="1"/>
      </rPr>
      <t xml:space="preserve">Affordability data realistically estimates principal, interest, taxes, and insurance for subject properties. </t>
    </r>
    <r>
      <rPr>
        <b/>
        <sz val="12"/>
        <color indexed="8"/>
        <rFont val="Times New Roman"/>
        <family val="1"/>
      </rPr>
      <t xml:space="preserve">                                                                                                                              </t>
    </r>
  </si>
  <si>
    <r>
      <t xml:space="preserve">Homes will be affordable to families with incomes </t>
    </r>
    <r>
      <rPr>
        <b/>
        <sz val="12"/>
        <color indexed="8"/>
        <rFont val="Times New Roman"/>
        <family val="1"/>
      </rPr>
      <t>at 59% or below</t>
    </r>
    <r>
      <rPr>
        <sz val="12"/>
        <color indexed="8"/>
        <rFont val="Times New Roman"/>
        <family val="1"/>
      </rPr>
      <t xml:space="preserve"> the area median income.</t>
    </r>
  </si>
  <si>
    <t xml:space="preserve">At or below 59% (10 points) </t>
  </si>
  <si>
    <r>
      <rPr>
        <b/>
        <sz val="12"/>
        <color indexed="8"/>
        <rFont val="Times New Roman"/>
        <family val="1"/>
      </rPr>
      <t>Designated Target Parishes (20 points)</t>
    </r>
    <r>
      <rPr>
        <sz val="12"/>
        <color indexed="8"/>
        <rFont val="Times New Roman"/>
        <family val="1"/>
      </rPr>
      <t xml:space="preserve"> Project is located in: Madison, Concordia, Franklin, Tensas, East Carroll, Morehouse, Washington, St. Landry, Natchitoches, Claiborne, or Bienville.</t>
    </r>
  </si>
  <si>
    <r>
      <t xml:space="preserve">Small City or Rural Parish (15 points) </t>
    </r>
    <r>
      <rPr>
        <sz val="12"/>
        <color indexed="8"/>
        <rFont val="Times New Roman"/>
        <family val="1"/>
      </rPr>
      <t>Project is located in a small city or rural parish</t>
    </r>
    <r>
      <rPr>
        <sz val="10"/>
        <color indexed="8"/>
        <rFont val="Times New Roman"/>
        <family val="1"/>
      </rPr>
      <t>.</t>
    </r>
  </si>
  <si>
    <r>
      <t xml:space="preserve">Points will be awarded to projects which include locations that are </t>
    </r>
    <r>
      <rPr>
        <b/>
        <sz val="12"/>
        <color indexed="8"/>
        <rFont val="Times New Roman"/>
        <family val="1"/>
      </rPr>
      <t xml:space="preserve">NOT </t>
    </r>
    <r>
      <rPr>
        <sz val="12"/>
        <color indexed="8"/>
        <rFont val="Times New Roman"/>
        <family val="1"/>
      </rPr>
      <t xml:space="preserve">on wetlands. </t>
    </r>
    <r>
      <rPr>
        <b/>
        <sz val="12"/>
        <color indexed="8"/>
        <rFont val="Times New Roman"/>
        <family val="1"/>
      </rPr>
      <t>(3 points)</t>
    </r>
  </si>
  <si>
    <r>
      <t xml:space="preserve">Points will be awarded to projects that are located beyond 3000 feet of a railroad. </t>
    </r>
    <r>
      <rPr>
        <b/>
        <sz val="12"/>
        <color indexed="8"/>
        <rFont val="Times New Roman"/>
        <family val="1"/>
      </rPr>
      <t>(3 points)</t>
    </r>
  </si>
  <si>
    <r>
      <t xml:space="preserve">Points will be awarded to projects located in airport noise zone contour below 65db. </t>
    </r>
    <r>
      <rPr>
        <b/>
        <sz val="12"/>
        <color indexed="8"/>
        <rFont val="Times New Roman"/>
        <family val="1"/>
      </rPr>
      <t>(3 points)</t>
    </r>
  </si>
  <si>
    <r>
      <t xml:space="preserve">The project will have no effect on a historic property or district. </t>
    </r>
    <r>
      <rPr>
        <b/>
        <sz val="12"/>
        <color indexed="8"/>
        <rFont val="Times New Roman"/>
        <family val="1"/>
      </rPr>
      <t>(3 points)</t>
    </r>
  </si>
  <si>
    <t xml:space="preserve">   Applicant Authorized Representative Name</t>
  </si>
  <si>
    <t>The Louisiana Housing Corporation (LHC) seeks to utilize HOME funds to expand the supply of affordable housing in areas where LHC serves as the Participating Jurisdiction (PJ).</t>
  </si>
  <si>
    <t>C. Home Funds will support projects by providing up to 85% of the total development costs to support affordable housing creation:
- In small cities, rural parishes and areas where LHC serves as the Participating Jurisdiction.
- Developments can serve any population (special needs or otherwise) where the rent payments are affordable to and will be occupied by households at or below 80% of the Area Median Income for the HOME-supported units.</t>
  </si>
  <si>
    <t>SDB</t>
  </si>
  <si>
    <t xml:space="preserve">Application submitted in proper order and complete ? </t>
  </si>
  <si>
    <t>INPUT ACTUAL RENTS THE UNITS NET OF UTILITY ALLOWANCES</t>
  </si>
  <si>
    <t>Match/Leverage</t>
  </si>
  <si>
    <t>Consultant Fees and Contingency Fees)</t>
  </si>
  <si>
    <t xml:space="preserve">HVAC Repair &amp; Maintenance- </t>
  </si>
  <si>
    <t>1st Mortgage Debt Service Coverage Ratio:</t>
  </si>
  <si>
    <r>
      <t xml:space="preserve">Apartment Bad Debt-  </t>
    </r>
    <r>
      <rPr>
        <b/>
        <sz val="9"/>
        <rFont val="Times New Roman"/>
        <family val="1"/>
      </rPr>
      <t>Enter as Neg.</t>
    </r>
  </si>
  <si>
    <r>
      <t xml:space="preserve">Commercial Bad Debt-  </t>
    </r>
    <r>
      <rPr>
        <b/>
        <sz val="9"/>
        <rFont val="Times New Roman"/>
        <family val="1"/>
      </rPr>
      <t>Enter as Neg.</t>
    </r>
  </si>
  <si>
    <t>Submit the following in order and tabulated:</t>
  </si>
  <si>
    <t>Rehab or New Construction</t>
  </si>
  <si>
    <t>Prior two (2) years audited (or certified if non-CHDO) financials of applicant</t>
  </si>
  <si>
    <t>HOME Assisted Units are determined by a percentage of the units equal to the principal amount of HOME funds divided by the total amount of long term funds.  Therefore the number of HOME Assisted Units pursuant to this calculation would be:</t>
  </si>
  <si>
    <t>h)</t>
  </si>
  <si>
    <t>CHDO Certificate of No Change</t>
  </si>
  <si>
    <t>Appendix 18</t>
  </si>
  <si>
    <t>Appendix 19</t>
  </si>
  <si>
    <t>Estoppel Letter (for rehab project only)</t>
  </si>
  <si>
    <t xml:space="preserve">Other </t>
  </si>
  <si>
    <t xml:space="preserve">     1: Other (Engineering Fees)</t>
  </si>
  <si>
    <t xml:space="preserve">     2: Other (Permit/ Sewer Impact Fees)</t>
  </si>
  <si>
    <t>Interior</t>
  </si>
  <si>
    <t>Flooring</t>
  </si>
  <si>
    <t>Finishes</t>
  </si>
  <si>
    <t>Finals</t>
  </si>
  <si>
    <t>State</t>
  </si>
  <si>
    <t>statename</t>
  </si>
  <si>
    <t>CBSASub</t>
  </si>
  <si>
    <t>Areaname</t>
  </si>
  <si>
    <t>fips2010</t>
  </si>
  <si>
    <t>lowrent_0</t>
  </si>
  <si>
    <t>lowrent_1</t>
  </si>
  <si>
    <t>lowrent_2</t>
  </si>
  <si>
    <t>lowrent_3</t>
  </si>
  <si>
    <t>lowrent_4</t>
  </si>
  <si>
    <t>lowrent_5</t>
  </si>
  <si>
    <t>lowrent_6</t>
  </si>
  <si>
    <t>highrent_0</t>
  </si>
  <si>
    <t>highrent_1</t>
  </si>
  <si>
    <t>highrent_2</t>
  </si>
  <si>
    <t>highrent_3</t>
  </si>
  <si>
    <t>highrent_4</t>
  </si>
  <si>
    <t>highrent_5</t>
  </si>
  <si>
    <t>highrent_6</t>
  </si>
  <si>
    <t>HomeRent50_0</t>
  </si>
  <si>
    <t>HomeRent50_1</t>
  </si>
  <si>
    <t>HomeRent50_2</t>
  </si>
  <si>
    <t>HomeRent50_3</t>
  </si>
  <si>
    <t>HomeRent50_4</t>
  </si>
  <si>
    <t>HomeRent50_5</t>
  </si>
  <si>
    <t>HomeRent50_6</t>
  </si>
  <si>
    <t>HomeRent65_0</t>
  </si>
  <si>
    <t>HomeRent65_1</t>
  </si>
  <si>
    <t>HomeRent65_2</t>
  </si>
  <si>
    <t>HomeRent65_3</t>
  </si>
  <si>
    <t>HomeRent65_4</t>
  </si>
  <si>
    <t>HomeRent65_5</t>
  </si>
  <si>
    <t>HomeRent65_6</t>
  </si>
  <si>
    <t>fmr_0</t>
  </si>
  <si>
    <t>fmr_1</t>
  </si>
  <si>
    <t>fmr_2</t>
  </si>
  <si>
    <t>fmr_3</t>
  </si>
  <si>
    <t>fmr_4</t>
  </si>
  <si>
    <t>fmr_5</t>
  </si>
  <si>
    <t>fmr_6</t>
  </si>
  <si>
    <t>LOUISIANA</t>
  </si>
  <si>
    <t>NCNTY22001N22001</t>
  </si>
  <si>
    <t>Acadia Parish, LA</t>
  </si>
  <si>
    <t>Acadia</t>
  </si>
  <si>
    <t>2200199999</t>
  </si>
  <si>
    <t>NCNTY22003N22003</t>
  </si>
  <si>
    <t>Allen Parish, LA</t>
  </si>
  <si>
    <t>Allen</t>
  </si>
  <si>
    <t>2200399999</t>
  </si>
  <si>
    <t>METRO12940M12940</t>
  </si>
  <si>
    <t>Baton Rouge, LA HUD Metro FMR Area</t>
  </si>
  <si>
    <t>Ascension</t>
  </si>
  <si>
    <t>2200599999</t>
  </si>
  <si>
    <t>NCNTY22007N22007</t>
  </si>
  <si>
    <t>Assumption Parish, LA</t>
  </si>
  <si>
    <t>Assumption</t>
  </si>
  <si>
    <t>2200799999</t>
  </si>
  <si>
    <t>NCNTY22009N22009</t>
  </si>
  <si>
    <t>Avoyelles Parish, LA</t>
  </si>
  <si>
    <t>Avoyelles</t>
  </si>
  <si>
    <t>2200999999</t>
  </si>
  <si>
    <t>NCNTY22011N22011</t>
  </si>
  <si>
    <t>Beauregard Parish, LA</t>
  </si>
  <si>
    <t>Beauregard</t>
  </si>
  <si>
    <t>2201199999</t>
  </si>
  <si>
    <t>NCNTY22013N22013</t>
  </si>
  <si>
    <t>Bienville Parish, LA</t>
  </si>
  <si>
    <t>Bienville</t>
  </si>
  <si>
    <t>2201399999</t>
  </si>
  <si>
    <t>METRO43340M43340</t>
  </si>
  <si>
    <t>Shreveport-Bossier City, LA MSA</t>
  </si>
  <si>
    <t>Bossier</t>
  </si>
  <si>
    <t>2201599999</t>
  </si>
  <si>
    <t>Caddo</t>
  </si>
  <si>
    <t>2201799999</t>
  </si>
  <si>
    <t>METRO29340M29340</t>
  </si>
  <si>
    <t>Lake Charles, LA MSA</t>
  </si>
  <si>
    <t>Calcasieu</t>
  </si>
  <si>
    <t>2201999999</t>
  </si>
  <si>
    <t>NCNTY22021N22021</t>
  </si>
  <si>
    <t>Caldwell Parish, LA</t>
  </si>
  <si>
    <t>Caldwell</t>
  </si>
  <si>
    <t>2202199999</t>
  </si>
  <si>
    <t>Cameron</t>
  </si>
  <si>
    <t>2202399999</t>
  </si>
  <si>
    <t>NCNTY22025N22025</t>
  </si>
  <si>
    <t>Catahoula Parish, LA</t>
  </si>
  <si>
    <t>Catahoula</t>
  </si>
  <si>
    <t>2202599999</t>
  </si>
  <si>
    <t>NCNTY22027N22027</t>
  </si>
  <si>
    <t>Claiborne Parish, LA</t>
  </si>
  <si>
    <t>Claiborne</t>
  </si>
  <si>
    <t>2202799999</t>
  </si>
  <si>
    <t>NCNTY22029N22029</t>
  </si>
  <si>
    <t>Concordia Parish, LA</t>
  </si>
  <si>
    <t>Concordia</t>
  </si>
  <si>
    <t>2202999999</t>
  </si>
  <si>
    <t>DeSoto</t>
  </si>
  <si>
    <t>2203199999</t>
  </si>
  <si>
    <t>East Baton Rouge</t>
  </si>
  <si>
    <t>2203399999</t>
  </si>
  <si>
    <t>NCNTY22035N22035</t>
  </si>
  <si>
    <t>East Carroll Parish, LA</t>
  </si>
  <si>
    <t>East Carroll</t>
  </si>
  <si>
    <t>2203599999</t>
  </si>
  <si>
    <t>East Feliciana</t>
  </si>
  <si>
    <t>2203799999</t>
  </si>
  <si>
    <t>NCNTY22039N22039</t>
  </si>
  <si>
    <t>Evangeline Parish, LA</t>
  </si>
  <si>
    <t>Evangeline</t>
  </si>
  <si>
    <t>2203999999</t>
  </si>
  <si>
    <t>NCNTY22041N22041</t>
  </si>
  <si>
    <t>Franklin Parish, LA</t>
  </si>
  <si>
    <t>Franklin</t>
  </si>
  <si>
    <t>2204199999</t>
  </si>
  <si>
    <t>METRO10780M10780</t>
  </si>
  <si>
    <t>Alexandria, LA MSA</t>
  </si>
  <si>
    <t>Grant</t>
  </si>
  <si>
    <t>2204399999</t>
  </si>
  <si>
    <t>NCNTY22045N22045</t>
  </si>
  <si>
    <t>Iberia Parish, LA</t>
  </si>
  <si>
    <t>Iberia</t>
  </si>
  <si>
    <t>2204599999</t>
  </si>
  <si>
    <t>METRO12940N22047</t>
  </si>
  <si>
    <t>Iberville Parish, LA HUD Metro FMR Area</t>
  </si>
  <si>
    <t>Iberville</t>
  </si>
  <si>
    <t>2204799999</t>
  </si>
  <si>
    <t>NCNTY22049N22049</t>
  </si>
  <si>
    <t>Jackson Parish, LA</t>
  </si>
  <si>
    <t>Jackson</t>
  </si>
  <si>
    <t>2204999999</t>
  </si>
  <si>
    <t>METRO35380M35380</t>
  </si>
  <si>
    <t>New Orleans-Metairie-Kenner, LA MSA</t>
  </si>
  <si>
    <t>Jefferson</t>
  </si>
  <si>
    <t>2205199999</t>
  </si>
  <si>
    <t>NCNTY22053N22053</t>
  </si>
  <si>
    <t>Jefferson Davis Parish, LA</t>
  </si>
  <si>
    <t>Jefferson Davis</t>
  </si>
  <si>
    <t>2205399999</t>
  </si>
  <si>
    <t>METRO29180M29180</t>
  </si>
  <si>
    <t>Lafayette, LA MSA</t>
  </si>
  <si>
    <t>Lafayette</t>
  </si>
  <si>
    <t>2205599999</t>
  </si>
  <si>
    <t>METRO26380M26380</t>
  </si>
  <si>
    <t>Houma-Bayou Cane-Thibodaux, LA MSA</t>
  </si>
  <si>
    <t>Lafourche</t>
  </si>
  <si>
    <t>2205799999</t>
  </si>
  <si>
    <t>NCNTY22059N22059</t>
  </si>
  <si>
    <t>La Salle Parish, LA</t>
  </si>
  <si>
    <t>La Salle</t>
  </si>
  <si>
    <t>2205999999</t>
  </si>
  <si>
    <t>NCNTY22061N22061</t>
  </si>
  <si>
    <t>Lincoln Parish, LA</t>
  </si>
  <si>
    <t>Lincoln</t>
  </si>
  <si>
    <t>2206199999</t>
  </si>
  <si>
    <t>Livingston</t>
  </si>
  <si>
    <t>2206399999</t>
  </si>
  <si>
    <t>NCNTY22065N22065</t>
  </si>
  <si>
    <t>Madison Parish, LA</t>
  </si>
  <si>
    <t>Madison</t>
  </si>
  <si>
    <t>2206599999</t>
  </si>
  <si>
    <t>NCNTY22067N22067</t>
  </si>
  <si>
    <t>Morehouse Parish, LA</t>
  </si>
  <si>
    <t>Morehouse</t>
  </si>
  <si>
    <t>2206799999</t>
  </si>
  <si>
    <t>NCNTY22069N22069</t>
  </si>
  <si>
    <t>Natchitoches Parish, LA</t>
  </si>
  <si>
    <t>Natchitoches</t>
  </si>
  <si>
    <t>2206999999</t>
  </si>
  <si>
    <t>Orleans</t>
  </si>
  <si>
    <t>2207199999</t>
  </si>
  <si>
    <t>METRO33740M33740</t>
  </si>
  <si>
    <t>Monroe, LA MSA</t>
  </si>
  <si>
    <t>Ouachita</t>
  </si>
  <si>
    <t>2207399999</t>
  </si>
  <si>
    <t>Plaquemines</t>
  </si>
  <si>
    <t>2207599999</t>
  </si>
  <si>
    <t>Pointe Coupee</t>
  </si>
  <si>
    <t>2207799999</t>
  </si>
  <si>
    <t>Rapides</t>
  </si>
  <si>
    <t>2207999999</t>
  </si>
  <si>
    <t>NCNTY22081N22081</t>
  </si>
  <si>
    <t>Red River Parish, LA</t>
  </si>
  <si>
    <t>Red River</t>
  </si>
  <si>
    <t>2208199999</t>
  </si>
  <si>
    <t>NCNTY22083N22083</t>
  </si>
  <si>
    <t>Richland Parish, LA</t>
  </si>
  <si>
    <t>Richland</t>
  </si>
  <si>
    <t>2208399999</t>
  </si>
  <si>
    <t>NCNTY22085N22085</t>
  </si>
  <si>
    <t>Sabine Parish, LA</t>
  </si>
  <si>
    <t>Sabine</t>
  </si>
  <si>
    <t>2208599999</t>
  </si>
  <si>
    <t>St. Bernard</t>
  </si>
  <si>
    <t>2208799999</t>
  </si>
  <si>
    <t>St. Charles</t>
  </si>
  <si>
    <t>2208999999</t>
  </si>
  <si>
    <t>St. Helena</t>
  </si>
  <si>
    <t>2209199999</t>
  </si>
  <si>
    <t>NCNTY22093N22093</t>
  </si>
  <si>
    <t>St. James Parish, LA</t>
  </si>
  <si>
    <t>St. James</t>
  </si>
  <si>
    <t>2209399999</t>
  </si>
  <si>
    <t>St. John the Baptist</t>
  </si>
  <si>
    <t>2209599999</t>
  </si>
  <si>
    <t>NCNTY22097N22097</t>
  </si>
  <si>
    <t>St. Landry Parish, LA</t>
  </si>
  <si>
    <t>St. Landry</t>
  </si>
  <si>
    <t>2209799999</t>
  </si>
  <si>
    <t>St. Martin</t>
  </si>
  <si>
    <t>2209999999</t>
  </si>
  <si>
    <t>NCNTY22101N22101</t>
  </si>
  <si>
    <t>St. Mary Parish, LA</t>
  </si>
  <si>
    <t>St. Mary</t>
  </si>
  <si>
    <t>2210199999</t>
  </si>
  <si>
    <t>St. Tammany</t>
  </si>
  <si>
    <t>2210399999</t>
  </si>
  <si>
    <t>NCNTY22105N22105</t>
  </si>
  <si>
    <t>Tangipahoa Parish, LA</t>
  </si>
  <si>
    <t>Tangipahoa</t>
  </si>
  <si>
    <t>2210599999</t>
  </si>
  <si>
    <t>NCNTY22107N22107</t>
  </si>
  <si>
    <t>Tensas Parish, LA</t>
  </si>
  <si>
    <t>Tensas</t>
  </si>
  <si>
    <t>2210799999</t>
  </si>
  <si>
    <t>Terrebonne</t>
  </si>
  <si>
    <t>2210999999</t>
  </si>
  <si>
    <t>Union</t>
  </si>
  <si>
    <t>2211199999</t>
  </si>
  <si>
    <t>NCNTY22113N22113</t>
  </si>
  <si>
    <t>Vermilion Parish, LA</t>
  </si>
  <si>
    <t>Vermilion</t>
  </si>
  <si>
    <t>2211399999</t>
  </si>
  <si>
    <t>NCNTY22115N22115</t>
  </si>
  <si>
    <t>Vernon Parish, LA</t>
  </si>
  <si>
    <t>Vernon</t>
  </si>
  <si>
    <t>2211599999</t>
  </si>
  <si>
    <t>NCNTY22117N22117</t>
  </si>
  <si>
    <t>Washington Parish, LA</t>
  </si>
  <si>
    <t>Washington</t>
  </si>
  <si>
    <t>2211799999</t>
  </si>
  <si>
    <t>NCNTY22119N22119</t>
  </si>
  <si>
    <t>Webster Parish, LA</t>
  </si>
  <si>
    <t>Webster</t>
  </si>
  <si>
    <t>2211999999</t>
  </si>
  <si>
    <t>West Baton Rouge</t>
  </si>
  <si>
    <t>2212199999</t>
  </si>
  <si>
    <t>NCNTY22123N22123</t>
  </si>
  <si>
    <t>West Carroll Parish, LA</t>
  </si>
  <si>
    <t>West Carroll</t>
  </si>
  <si>
    <t>2212399999</t>
  </si>
  <si>
    <t>West Felliciana</t>
  </si>
  <si>
    <t>2212599999</t>
  </si>
  <si>
    <t>NCNTY22127N22127</t>
  </si>
  <si>
    <t>Winn Parish, LA</t>
  </si>
  <si>
    <t>Winn</t>
  </si>
  <si>
    <t>2212799999</t>
  </si>
  <si>
    <t>Rents for Underwriting and Subsidy Layering Analysis</t>
  </si>
  <si>
    <t>6BR</t>
  </si>
  <si>
    <t>50% Rents</t>
  </si>
  <si>
    <t>65% Rents</t>
  </si>
  <si>
    <t>FMR</t>
  </si>
  <si>
    <t>4 Person 50% Limit</t>
  </si>
  <si>
    <t>234 Limts  for Underwriting and Subsidy Layering Analysis - Rental</t>
  </si>
  <si>
    <t>234  Condominium Housing Elevator Type</t>
  </si>
  <si>
    <t>Maximum Per Unit Subsidy</t>
  </si>
  <si>
    <t xml:space="preserve">Appraisal:   </t>
  </si>
  <si>
    <t xml:space="preserve">   Natural Gas Utility Provider</t>
  </si>
  <si>
    <t xml:space="preserve">   Electricity Utility Provider</t>
  </si>
  <si>
    <t xml:space="preserve">   Water and Sewer Provider</t>
  </si>
  <si>
    <t xml:space="preserve">   Garbage Pick-Up Provider</t>
  </si>
  <si>
    <t>Deliberately Left Blank (Not for use with NOAH)</t>
  </si>
  <si>
    <t>Utility allowance information</t>
  </si>
  <si>
    <t>Utility or Service</t>
  </si>
  <si>
    <r>
      <t xml:space="preserve">Provider                                                                     </t>
    </r>
    <r>
      <rPr>
        <sz val="11"/>
        <rFont val="Arial"/>
        <family val="2"/>
      </rPr>
      <t xml:space="preserve"> </t>
    </r>
    <r>
      <rPr>
        <sz val="8"/>
        <rFont val="Arial"/>
        <family val="2"/>
      </rPr>
      <t>( Enter the name of the company providing the service. Applicant must provide rate and tariff sheets and a sample bill provided by each utility that will be providing service to the property. The sample bill for electricity shall be for 1,000 kWh, for Gas 100 ccf, for water 1,000 gallons. All sample bills must include any taxes and other charges or tariffs assessed.)</t>
    </r>
  </si>
  <si>
    <t xml:space="preserve">Fuel Source                                                                                                                                                                                                                  </t>
  </si>
  <si>
    <r>
      <rPr>
        <b/>
        <sz val="11"/>
        <rFont val="Arial"/>
        <family val="2"/>
      </rPr>
      <t xml:space="preserve">Amount  </t>
    </r>
    <r>
      <rPr>
        <sz val="10"/>
        <rFont val="Arial"/>
        <family val="2"/>
      </rPr>
      <t xml:space="preserve">                                 </t>
    </r>
    <r>
      <rPr>
        <sz val="8"/>
        <rFont val="Arial"/>
        <family val="2"/>
      </rPr>
      <t xml:space="preserve">  (If the project is changing a fee for a Range, Microwave, Refrigerator or Other indicate the monthly amount)</t>
    </r>
  </si>
  <si>
    <t>Space Heating</t>
  </si>
  <si>
    <t>Not Applicable</t>
  </si>
  <si>
    <t>Natural Gas</t>
  </si>
  <si>
    <t>Tenant Pays</t>
  </si>
  <si>
    <t>Other Electric</t>
  </si>
  <si>
    <t>Bottled Gas</t>
  </si>
  <si>
    <t>Air Conditioning</t>
  </si>
  <si>
    <t>Electric Resistance</t>
  </si>
  <si>
    <t>Water Heating</t>
  </si>
  <si>
    <t>Electric Heat Pump</t>
  </si>
  <si>
    <t>Fuel Oil</t>
  </si>
  <si>
    <t>Trash Collection</t>
  </si>
  <si>
    <t>Range/Microwave</t>
  </si>
  <si>
    <t>Refrigerator</t>
  </si>
  <si>
    <t>Comments:</t>
  </si>
  <si>
    <t xml:space="preserve">Electric </t>
  </si>
  <si>
    <t>In the columns below enter the information for each property that may be a part of the HOME project. This information will be used in the Environmental Review, Regulatory Agreement and potentially other program documents. If a street name and number is not currently available indicate so but enter all other information.</t>
  </si>
  <si>
    <t>Street Number</t>
  </si>
  <si>
    <t>Street Name</t>
  </si>
  <si>
    <t>City</t>
  </si>
  <si>
    <t>Zip</t>
  </si>
  <si>
    <t xml:space="preserve">Lot </t>
  </si>
  <si>
    <t>Block</t>
  </si>
  <si>
    <t>2017 Median Income</t>
  </si>
  <si>
    <t>Governmental Financial  Support (From non Federal Sources)</t>
  </si>
  <si>
    <t>Single Family -- Rental</t>
  </si>
  <si>
    <t>Multi-Family -- Rental</t>
  </si>
  <si>
    <t>Walk Up</t>
  </si>
  <si>
    <t>Parishes</t>
  </si>
  <si>
    <t>Project Type</t>
  </si>
  <si>
    <t>Legal Structure</t>
  </si>
  <si>
    <t>Yes/No</t>
  </si>
  <si>
    <t>Applicant Eligiblity</t>
  </si>
  <si>
    <t>New Construction/  Rehab</t>
  </si>
  <si>
    <t xml:space="preserve"> Housing Description</t>
  </si>
  <si>
    <t>Building Style</t>
  </si>
  <si>
    <t>Occupancy Type</t>
  </si>
  <si>
    <t>2018 Rents</t>
  </si>
  <si>
    <t>DeSoto Parish</t>
  </si>
  <si>
    <t>Orleans Pairsh</t>
  </si>
  <si>
    <t>West Baton Rouge Parsih</t>
  </si>
  <si>
    <t>West Felliciana Parish</t>
  </si>
  <si>
    <t>LHC HOME Funds</t>
  </si>
  <si>
    <t>LHC HTF Funds</t>
  </si>
  <si>
    <t xml:space="preserve">   Maximum HTF FUNDS Requested</t>
  </si>
  <si>
    <t xml:space="preserve">   HTF Assisted Units Proposed By Developer</t>
  </si>
  <si>
    <t xml:space="preserve">   TOTAL LHC Funds Requested</t>
  </si>
  <si>
    <t>2018 234 Limits</t>
  </si>
  <si>
    <t>Underwriting and Subsidy Layering Analysis</t>
  </si>
  <si>
    <t>for</t>
  </si>
  <si>
    <t>Project Information</t>
  </si>
  <si>
    <t>Type of Credit Application</t>
  </si>
  <si>
    <t>NA</t>
  </si>
  <si>
    <t>Month</t>
  </si>
  <si>
    <t>Day</t>
  </si>
  <si>
    <t>Type of Review:</t>
  </si>
  <si>
    <t>Date</t>
  </si>
  <si>
    <t>Preliminary-Initial</t>
  </si>
  <si>
    <t>Developer</t>
  </si>
  <si>
    <t>Census Tract</t>
  </si>
  <si>
    <t>Total HOME Investment</t>
  </si>
  <si>
    <t>Total Other Investment</t>
  </si>
  <si>
    <t>Total Sources</t>
  </si>
  <si>
    <t>Total Debt Sources</t>
  </si>
  <si>
    <t>Total Equity Sources</t>
  </si>
  <si>
    <t>Number of 0 Bedroom Units</t>
  </si>
  <si>
    <t>Number of 1 Bedroom Units</t>
  </si>
  <si>
    <t>Number of 2 Bedroom Units</t>
  </si>
  <si>
    <t>Number of 3 Bedroom Units</t>
  </si>
  <si>
    <t>Number of 4 Bedroom Units</t>
  </si>
  <si>
    <t>Number of 5 Bedroom Units</t>
  </si>
  <si>
    <t>Does this activity have project based rental assistance?</t>
  </si>
  <si>
    <t>Proposed Rent for High HOME 0 Bedroom Units</t>
  </si>
  <si>
    <t>Proposed Rent for High HOME 1 Bedroom Units</t>
  </si>
  <si>
    <t>Proposed Rent for High HOME  2 Bedroom Units</t>
  </si>
  <si>
    <t>Proposed Rent for High HOME 3 Bedroom Units</t>
  </si>
  <si>
    <t>Proposed Rent for High HOME 4 Bedroom Units</t>
  </si>
  <si>
    <t>Proposed Rent for High HOME 5 Bedroom Units</t>
  </si>
  <si>
    <t>Proposed Rent for High HOME 6 Bedroom Units</t>
  </si>
  <si>
    <t>Proposed Rent for Low HOME 0 Bedroom Units</t>
  </si>
  <si>
    <t>Proposed Rent for Low HOME 1 Bedroom Units</t>
  </si>
  <si>
    <t>Proposed Rent for Low HOME 2 Bedroom Units</t>
  </si>
  <si>
    <t>Proposed Rent for Low HOME 3 Bedroom Units</t>
  </si>
  <si>
    <t>Proposed Rent for Low HOME 4 Bedroom Units</t>
  </si>
  <si>
    <t>Proposed Rent for Low HOME 5 Bedroom Units</t>
  </si>
  <si>
    <t>Proposed Rent for Low HOME 6 Bedroom Units</t>
  </si>
  <si>
    <t>Proposed 30% Rent for 0 Bedroom Units</t>
  </si>
  <si>
    <t>Proposed 30% Rent for 1 Bedroom Units</t>
  </si>
  <si>
    <t>Proposed 30% Rent for 2 Bedroom Units</t>
  </si>
  <si>
    <t>Proposed 30% Rent for 3 Bedroom Units</t>
  </si>
  <si>
    <t>Proposed 30% Rent for 4 Bedroom Units</t>
  </si>
  <si>
    <t>Proposed 30% Rent for 5 Bedroom Units</t>
  </si>
  <si>
    <t>Proposed 50% Rent for 0 Bedroom Units</t>
  </si>
  <si>
    <t>Proposed 50% Rent for 1 Bedroom Units</t>
  </si>
  <si>
    <t>Proposed 50% Rent for 2 Bedroom Units</t>
  </si>
  <si>
    <t>Proposed 50% Rent for 3 Bedroom Units</t>
  </si>
  <si>
    <t>Proposed 50% Rent for 4 Bedroom Units</t>
  </si>
  <si>
    <t>Proposed 50% Rent for 5 Bedroom Units</t>
  </si>
  <si>
    <t>Proposed 60% Rent for 0 Bedroom Units</t>
  </si>
  <si>
    <t>Proposed 60% Rent for 1 Bedroom Units</t>
  </si>
  <si>
    <t>Proposed 60% Rent for 2 Bedroom Units</t>
  </si>
  <si>
    <t>Proposed 60% Rent for 3 Bedroom Units</t>
  </si>
  <si>
    <t>Proposed 60% Rent for 4 Bedroom Units</t>
  </si>
  <si>
    <t>Proposed 60% Rent for 5 Bedroom Units</t>
  </si>
  <si>
    <t>Square Feet Per 0 Bedroom Unit</t>
  </si>
  <si>
    <t>Square Feet Per 1 Bedroom Unit</t>
  </si>
  <si>
    <t>Square Feet Per 2 Bedroom Unit</t>
  </si>
  <si>
    <t>Square Feet Per 3 Bedroom Unit</t>
  </si>
  <si>
    <t>Square Feet Per 4 Bedroom Unit</t>
  </si>
  <si>
    <t>Square Feet Per 5 Bedroom Unit</t>
  </si>
  <si>
    <t>Total Square Feet of All Buildings</t>
  </si>
  <si>
    <t>Number of Bathrooms 0 Bedroom Unit</t>
  </si>
  <si>
    <t>Number of Bathrooms 1 Bedroom Unit</t>
  </si>
  <si>
    <t>Number of Bathrooms 2 Bedroom Unit</t>
  </si>
  <si>
    <t>Number of Bathrooms 3 Bedroom Unit</t>
  </si>
  <si>
    <t>Number of Bathrooms 4 Bedroom Unit</t>
  </si>
  <si>
    <t>Number of Bathrooms 5 Bedroom Units</t>
  </si>
  <si>
    <t>Per Unit Subsidy and Affordability</t>
  </si>
  <si>
    <t>Minimum  Number of HOME Units</t>
  </si>
  <si>
    <t>Final HOME Percentage</t>
  </si>
  <si>
    <t>Total Square Feet for 0 Bedroom Units</t>
  </si>
  <si>
    <t>Total Square Feet for 1 Bedroom Units</t>
  </si>
  <si>
    <t>Total Square Feet for 2 Bedroom Units</t>
  </si>
  <si>
    <t>Total Square Feet for 3 Bedroom Units</t>
  </si>
  <si>
    <t>Total Square Feet for 4 Bedroom Units</t>
  </si>
  <si>
    <t>Total Square Feet for 5 Bedroom Units</t>
  </si>
  <si>
    <t>Total Square Feet</t>
  </si>
  <si>
    <t>Rough Per Unit Cost</t>
  </si>
  <si>
    <t>Per Square Foot Cost</t>
  </si>
  <si>
    <t>Cost to Construct 0 Bedroom Units</t>
  </si>
  <si>
    <t>Cost to Construct 1 Bedroom Units</t>
  </si>
  <si>
    <t>Cost to Construct 2 Bedroom Units</t>
  </si>
  <si>
    <t>Cost to Construct 3 Bedroom Units</t>
  </si>
  <si>
    <t>Cost to Construct 4 Bedroom Units</t>
  </si>
  <si>
    <t>Cost to Construct 5 Bedroom Units</t>
  </si>
  <si>
    <t>Maximum HOME Assistance for HOME Assisted 0 Bedroom Units</t>
  </si>
  <si>
    <t>Maximum HOME Assistance for HOME Assisted 1 Bedroom Units</t>
  </si>
  <si>
    <t>Maximum HOME Assistance for HOME Assisted 2 Bedroom Units</t>
  </si>
  <si>
    <t>Maximum HOME Assistance for HOME Assisted 3 Bedroom Units</t>
  </si>
  <si>
    <t>Maximum HOME Assistance for HOME Assisted 4 Bedroom Units</t>
  </si>
  <si>
    <t>Maximum HOME Assistance for HOME Assisted 5 Bedroom Units</t>
  </si>
  <si>
    <t>Is Maximum HOME Assistance Allowed &gt;= Actual HOME Assistance?</t>
  </si>
  <si>
    <t>High HOME Rent for 0 Bedroom Units</t>
  </si>
  <si>
    <t>High HOME Rent for 1 Bedroom Units</t>
  </si>
  <si>
    <t>High HOME Rent for 2 Bedroom Units</t>
  </si>
  <si>
    <t>High HOME Rent for 3 Bedroom Units</t>
  </si>
  <si>
    <t>High HOME Rent for 4 Bedroom Units</t>
  </si>
  <si>
    <t>High HOME Rent for 5 Bedroom Units</t>
  </si>
  <si>
    <t>High HOME Rent for 6 Bedroom Units</t>
  </si>
  <si>
    <t>Low HOME Rent for 0 Bedroom Units</t>
  </si>
  <si>
    <t>Low HOME Rent for 1 Bedroom Units</t>
  </si>
  <si>
    <t>Low HOME Rent for 2 Bedroom Units</t>
  </si>
  <si>
    <t>Low HOME Rent for 3 Bedroom Units</t>
  </si>
  <si>
    <t>Low HOME Rent for 4 Bedroom Units</t>
  </si>
  <si>
    <t>Low HOME Rent for 5 Bedroom Units</t>
  </si>
  <si>
    <t>Low HOME Rent for 6 Bedroom Units</t>
  </si>
  <si>
    <t>30% Rent for 0 Bedroom Units</t>
  </si>
  <si>
    <t>30% Rent for 1 Bedroom Units</t>
  </si>
  <si>
    <t>30% Rent for 2 Bedroom Units</t>
  </si>
  <si>
    <t>30% Rent for 3 Bedroom Units</t>
  </si>
  <si>
    <t>30% Rent for 4 Bedroom Units</t>
  </si>
  <si>
    <t>30% Rent for 5 Bedroom Units</t>
  </si>
  <si>
    <t>50% Rent for 0 Bedroom Units</t>
  </si>
  <si>
    <t>50% Rent for 1 Bedroom Units</t>
  </si>
  <si>
    <t>50% Rent for 2 Bedroom Units</t>
  </si>
  <si>
    <t>50% Rent for 3 Bedroom Units</t>
  </si>
  <si>
    <t>50% Rent for 4 Bedroom Units</t>
  </si>
  <si>
    <t>50% Rent for 5 Bedroom Units</t>
  </si>
  <si>
    <t>60% Rent for 0 Bedroom Units</t>
  </si>
  <si>
    <t>60% Rent for 1 Bedroom Units</t>
  </si>
  <si>
    <t>60% Rent for 2 Bedroom Units</t>
  </si>
  <si>
    <t>60% Rent for 3 Bedroom Units</t>
  </si>
  <si>
    <t>60% Rent for 4 Bedroom Units</t>
  </si>
  <si>
    <t>60% Rent for 5 Bedroom Units</t>
  </si>
  <si>
    <t>Utility Allowance for 0 Bedroom Units</t>
  </si>
  <si>
    <t>Utility Allowance for 1 Bedroom Units</t>
  </si>
  <si>
    <t>Utility Allowance for 2 Bedroom Units</t>
  </si>
  <si>
    <t>Utility Allowance for 3 Bedroom Units</t>
  </si>
  <si>
    <t>Utility Allowance for 4 Bedroom Units</t>
  </si>
  <si>
    <t>Utility Allowance for 5 Bedroom Units</t>
  </si>
  <si>
    <t>Utility Allowance for 6 Bedroom Units</t>
  </si>
  <si>
    <t>Maximum Allowable High HOME Rent for 0 Bedroom Units</t>
  </si>
  <si>
    <t>Maximum Allowable High HOME Rent for 1 Bedroom Units</t>
  </si>
  <si>
    <t>Maximum Allowable High HOME Rent for 2 Bedroom Units</t>
  </si>
  <si>
    <t>Maximum Allowable High HOME Rent for 3 Bedroom Units</t>
  </si>
  <si>
    <t>Maximum Allowable High HOME Rent for 4 Bedroom Units</t>
  </si>
  <si>
    <t>Maximum Allowable High HOME Rent for 5 Bedroom Units</t>
  </si>
  <si>
    <t>Maximum Allowable High HOME Rent for 6 Bedroom Units</t>
  </si>
  <si>
    <t>Maximum Allowable Low HOME Rent for 0 Bedroom Units</t>
  </si>
  <si>
    <t>Maximum Allowable Low HOME Rent for 1 Bedroom Units</t>
  </si>
  <si>
    <t>Maximum Allowable Low HOME Rent for 2 Bedroom Units</t>
  </si>
  <si>
    <t>Maximum Allowable Low HOME Rent for 3 Bedroom Units</t>
  </si>
  <si>
    <t>Maximum Allowable Low HOME Rent for 4 Bedroom Units</t>
  </si>
  <si>
    <t>Maximum Allowable Low HOME Rent for 5 Bedroom Units</t>
  </si>
  <si>
    <t>Maximum Allowable Low HOME Rent for 6 Bedroom Units</t>
  </si>
  <si>
    <t>Maximum Allowable 30% Rent for 0 Bedroom Units</t>
  </si>
  <si>
    <t>Maximum Allowable 30% Rent for 1 Bedroom Units</t>
  </si>
  <si>
    <t>Maximum Allowable 30% Rent for 2 Bedroom Units</t>
  </si>
  <si>
    <t>Maximum Allowable 30% Rent for 3 Bedroom Units</t>
  </si>
  <si>
    <t>Maximum Allowable 30% Rent for 4 Bedroom Units</t>
  </si>
  <si>
    <t>Maximum Allowable 30% Rent for 5 Bedroom Units</t>
  </si>
  <si>
    <t>Maximum Allowable 50% Rent for 0 Bedroom Units</t>
  </si>
  <si>
    <t>Maximum Allowable 50% Rent for 1 Bedroom Units</t>
  </si>
  <si>
    <t>Maximum Allowable 50% Rent for 2 Bedroom Units</t>
  </si>
  <si>
    <t>Maximum Allowable 50% Rent for 3 Bedroom Units</t>
  </si>
  <si>
    <t>Maximum Allowable 50% Rent for 4 Bedroom Units</t>
  </si>
  <si>
    <t>Maximum Allowable 50% Rent for 5 Bedroom Units</t>
  </si>
  <si>
    <t>Maximum Allowable 60% Rent for 0 Bedroom Units</t>
  </si>
  <si>
    <t>Maximum Allowable 60% Rent for 1 Bedroom Units</t>
  </si>
  <si>
    <t>Maximum Allowable 60% Rent for 2 Bedroom Units</t>
  </si>
  <si>
    <t>Maximum Allowable 60% Rent for 3 Bedroom Units</t>
  </si>
  <si>
    <t>Maximum Allowable 60% Rent for 4 Bedroom Units</t>
  </si>
  <si>
    <t>Maximum Allowable 60% Rent for 5 Bedroom Units</t>
  </si>
  <si>
    <t>ARE ALL PROPOSED RENTS EQUAL TO OR LESS THAN MAXIMUM ALLOWABLE?</t>
  </si>
  <si>
    <t>Must Be Filled In</t>
  </si>
  <si>
    <t>Is the HOME Investment at least $1,000 per HOME assisted unit?</t>
  </si>
  <si>
    <t>Underwriting and Subsidy Layering.</t>
  </si>
  <si>
    <t>Costs</t>
  </si>
  <si>
    <t xml:space="preserve">Has a complete budget been submitted? </t>
  </si>
  <si>
    <t>Do Sources equal Uses?</t>
  </si>
  <si>
    <t>Are all sources backed up with commitment letters?</t>
  </si>
  <si>
    <t>Do commitment letters indicate dollar amount(s) and timing of availability for each source?</t>
  </si>
  <si>
    <t>Are the lenders terms reasonable and comparable to those available from other lenders?</t>
  </si>
  <si>
    <t>Has a copy of the Partnership Agreement been provided LHC that indicates the cash contribution by the partners?</t>
  </si>
  <si>
    <t>Is equity being provided by the developer or owner?</t>
  </si>
  <si>
    <t>If equity is committed by the developer or owner(s), has evidence of available equity funds been provided to LHC?</t>
  </si>
  <si>
    <t>Are total funding sources adequate and timely in their availability to cover development costs at all phases of the development – acquisition, construction/rehabilitation, and permanent loan?</t>
  </si>
  <si>
    <t>Are all the funding sources compatible, or do they contain different requirements that affect the structure of the project, including unit mix, and are these differences accommodated in the project plan?</t>
  </si>
  <si>
    <t>Are the funding sources firmly committed?</t>
  </si>
  <si>
    <t>If acquisition is involved has acquisition documentation, such as purchase agreement, option or closing statement and appraisal or other documentation of value been provided to and been reviewed by LHC?</t>
  </si>
  <si>
    <t>What is the Purchase Price?</t>
  </si>
  <si>
    <t>What is the current As-Is value?</t>
  </si>
  <si>
    <t>What is the Pre-Rehab Value?</t>
  </si>
  <si>
    <t>What is the Post-Rehab Value</t>
  </si>
  <si>
    <t>Has construction cost estimate, construction contract or preliminary bid(s) been provided to and been reviewed by LHC?</t>
  </si>
  <si>
    <t>Have contracts, quotes or other agreements substantiating key professional costs and the basis for estimating other soft costs and working capital items, including capitalized reserves been provided to and been reviewed by LHC?</t>
  </si>
  <si>
    <t>Has a third-party appraisal (to substantiate the value of the land and the value of the property after rehabilitation or the structure being built)been provided to and been reviewed by LHC?</t>
  </si>
  <si>
    <t>If LIHTC are utilized, has documentation on the syndication costs (legal, accounting, tax opinion, etc.) from the organization/individual who will syndicate and sell the offering been provided to and been reviewed by LHC?</t>
  </si>
  <si>
    <t>Has a Cost Reasonableness Analysis (CRA) been done?</t>
  </si>
  <si>
    <t>Are all of the proposed costs of development “necessary and reasonable” in compliance with OMB cost principles contained in 2 CFR part 200?</t>
  </si>
  <si>
    <t>What is the CRA estimate to construct/rehab?</t>
  </si>
  <si>
    <t>Is LHC-HOME contributing less than 85% of cost?</t>
  </si>
  <si>
    <t>Are the proposed costs sufficient to achieve all program requirements, including property standards, to provide quality housing for at least the affordability period?</t>
  </si>
  <si>
    <t>Are the costs proposed to be paid with HOME funds eligible under the HOME rule?</t>
  </si>
  <si>
    <t>Are non-residential revenue from fees/late charges, commercial income, interest, laundry/vending, or other similar sources estimated modestly?</t>
  </si>
  <si>
    <t>Do vacancy projections included both physical vacancy and collections loss?</t>
  </si>
  <si>
    <t>Is the rate of projected growth for rental income and other revenues appropriate to the local market and regulatory limits.</t>
  </si>
  <si>
    <t>Are project Operating Costs inline with other LHC projects in the area?</t>
  </si>
  <si>
    <t>Have all identity of interest relationships with contracted property management, repair/rehabilitation contractors, or other project vendors been disclosed?</t>
  </si>
  <si>
    <t>Does the minimum replacement reserve meet LHC standards?</t>
  </si>
  <si>
    <t>Has Cash flow been evaluated both as a “debt coverage ratio” and as a percentage of operating costs and debt service by LHC and found acceptable?</t>
  </si>
  <si>
    <t>Does the Proforma indicate that the project HOME Loan will be paid off during the original affordability period?</t>
  </si>
  <si>
    <t>Has an In-House (LHC) Cost Allocation been completed(the standard LHC SLR).</t>
  </si>
  <si>
    <t>Have Insurance costs been budgeted?</t>
  </si>
  <si>
    <t>Have leases been reviewed and found to contain no forbidden clauses?</t>
  </si>
  <si>
    <t>Has the Tenant Selection Plan been submitted and reviewed?</t>
  </si>
  <si>
    <t xml:space="preserve">Does Projected Revenue Exceed Operatings Costs for The Entire Period of Affordability? </t>
  </si>
  <si>
    <t>Market Demand</t>
  </si>
  <si>
    <t>Has a market study been completed?</t>
  </si>
  <si>
    <t>Does the market study show demand for the units?</t>
  </si>
  <si>
    <t>Does the Market Study evaluate the general demographic, economic, and housing conditions in the community?</t>
  </si>
  <si>
    <t>Does the Market Study delineate the market area by identifying the geographic area from which the majority of a project’s tenants or buyers are likely to come. This may or may not coincide with census tract or neighborhood boundaries?</t>
  </si>
  <si>
    <t>Does the Market Study quantify the pool of eligible tenants or buyers in terms of household size, age, income, tenure (homeowner or renter), and other relevant factors?</t>
  </si>
  <si>
    <t>Does the Market Study analyze the competition by evaluating other housing opportunities with an emphasis on other affordable rental developments or sales opportunities in the market area, including those financed through either the HOME program or other federal programs?</t>
  </si>
  <si>
    <t>Does the Market Study assess the market for the planned units and determine if there is sufficient demand to rent the HOME-assisted housing within 18 months of project completion (§92.252)?</t>
  </si>
  <si>
    <t>Does the Market Study evaluate the effective demand and the capture rate, usually expressed as a percentage (the project’s units divided by the applicant pool). The capture rate is the percentage of likely eligible and interested households living nearby who will need to rent units in the proposed project in order to fully occupy it. The lower this rate, the more likely a project is to succeed?</t>
  </si>
  <si>
    <t>Does the Market Study Estimate the absorption period. Plan how many units can be successfully leased or sold each month and how long it will take to achieve initial occupancy/sale of the HOME units and stabilized occupancy for the project as a whole?</t>
  </si>
  <si>
    <t>Are the proposed rents actually achievable, taking into account location, design, and intended resident population according to the Market Study?</t>
  </si>
  <si>
    <t>Developer Capacity</t>
  </si>
  <si>
    <t>What is the legal name of the Developer?</t>
  </si>
  <si>
    <t>Has the developer undertaken a similar project?</t>
  </si>
  <si>
    <t>Did the developer complete the earlier project?</t>
  </si>
  <si>
    <t>Has the developer submitted audited financials?</t>
  </si>
  <si>
    <t>Does the developer have Adequate financial management systems and practices?</t>
  </si>
  <si>
    <t>Does the developer have sufficient financial resources to carry the project  through initial lease-up?</t>
  </si>
  <si>
    <t>Is the Developer a Public Housing Authority?</t>
  </si>
  <si>
    <t>If the developer is a PHA what is the name of the PHA?</t>
  </si>
  <si>
    <t>If the developer is a PHA is it on HUDs Troubled PHA list?</t>
  </si>
  <si>
    <t>If the developer is a PHA on the HUD Troubled PHA list what is the reason for inclusion on this list?</t>
  </si>
  <si>
    <t>Does LHC believe the developer has the capacity to undertake the proposed project?</t>
  </si>
  <si>
    <t>Has an experienced marketing agent been identified?</t>
  </si>
  <si>
    <t>Has an Affirmative  Marketing Plan been submitted?</t>
  </si>
  <si>
    <t>Is the project expected to start construction within 12 months of the written agreement date?</t>
  </si>
  <si>
    <t>Is the project expected to be completed within four (4) years of the written agreement date?</t>
  </si>
  <si>
    <t>Developer Profit</t>
  </si>
  <si>
    <t>What is the Builders Name?</t>
  </si>
  <si>
    <t>Is there an identity of interest between the developer and builder?</t>
  </si>
  <si>
    <t>What is the builders overhead and profit?</t>
  </si>
  <si>
    <t>What is the Developer Fee?</t>
  </si>
  <si>
    <t>Is Developer Fee less than or equal to 15% of development costs?</t>
  </si>
  <si>
    <t>Is the proposed Developer Fee reasonable for the scope, complexity, size, relative risk the developer is taking and in light of other fees the project is generating for the developer?</t>
  </si>
  <si>
    <t>Is Developer Fee Within Allowable Limits?</t>
  </si>
  <si>
    <t>Are Other Professionall Fees Within Allowable Limits?</t>
  </si>
  <si>
    <t>IS Builders Profit Within Allowable Limit?</t>
  </si>
  <si>
    <t>Is The Builders Overhead Within Allowable Limits?</t>
  </si>
  <si>
    <t>Are The General Requirements Within the Allowable Limits?</t>
  </si>
  <si>
    <t>Is The Property Purchase Price Within The Allowable Limits?</t>
  </si>
  <si>
    <t>Is The Construction Contingency Within The Allowable Limits?</t>
  </si>
  <si>
    <t>Are The Minimum Operating Reserve Within The Allowable Limits?</t>
  </si>
  <si>
    <t>Is the Debt Service Ratio at least 1.15 for all debt?</t>
  </si>
  <si>
    <t>Is the Debt Service Ratio Less Than 1.40 for all debt?</t>
  </si>
  <si>
    <t>Eligible Basis Calculation</t>
  </si>
  <si>
    <t>USE OF FUNDS</t>
  </si>
  <si>
    <t>ACQUISITION</t>
  </si>
  <si>
    <t>Land Acquisition Cost</t>
  </si>
  <si>
    <t xml:space="preserve">Acquisition Cost of Buildings </t>
  </si>
  <si>
    <t>HARD COSTS</t>
  </si>
  <si>
    <t>Rehabilitation Costs</t>
  </si>
  <si>
    <t>New Construction Cost</t>
  </si>
  <si>
    <t>Total Soft Cost From Application Under Fund Uses</t>
  </si>
  <si>
    <t>Total Reserves</t>
  </si>
  <si>
    <t xml:space="preserve">TOTAL DEVELOPMENT COST </t>
  </si>
  <si>
    <t>Non Basis Costs</t>
  </si>
  <si>
    <t>Land Only Acquisition</t>
  </si>
  <si>
    <t>Perm. Loan Fees</t>
  </si>
  <si>
    <t>Credit Enhancement</t>
  </si>
  <si>
    <t>LHC Tax Credit Appl. Fee</t>
  </si>
  <si>
    <t>Tax Credit Appl. Fee</t>
  </si>
  <si>
    <t>LHC Asset Management Fee</t>
  </si>
  <si>
    <t>Asset Management Fee</t>
  </si>
  <si>
    <t>Marketing Expense</t>
  </si>
  <si>
    <t>Organizational Exp.</t>
  </si>
  <si>
    <t>Other Amort. Soft</t>
  </si>
  <si>
    <t>Syndication Expense</t>
  </si>
  <si>
    <t>Tax Opinion</t>
  </si>
  <si>
    <t>Rentup Expense</t>
  </si>
  <si>
    <t>Rentup Reserve</t>
  </si>
  <si>
    <t>Operating Reserve</t>
  </si>
  <si>
    <t>Bond D/S  Reserve</t>
  </si>
  <si>
    <t>Working Capital</t>
  </si>
  <si>
    <t>LHC HOME Fees</t>
  </si>
  <si>
    <t>TOTAL NON BASIS SOFT COSTS</t>
  </si>
  <si>
    <t>TOTAL BASIS DEVELOPMENT COSTS</t>
  </si>
  <si>
    <t>Applicable 4% Rate</t>
  </si>
  <si>
    <t xml:space="preserve">Applicable 9% Rate </t>
  </si>
  <si>
    <t>Basis Boost</t>
  </si>
  <si>
    <t>Amount of 4% Credits Applied For</t>
  </si>
  <si>
    <t>Amount of 9% Credits Applied For</t>
  </si>
  <si>
    <t>Eligible Amount of Credits</t>
  </si>
  <si>
    <t>Credits Awarded</t>
  </si>
  <si>
    <t>Price of Credits (Equity Price)</t>
  </si>
  <si>
    <t>Gross Tax Credit Equity</t>
  </si>
  <si>
    <t>Amount of First Mortgage</t>
  </si>
  <si>
    <t>Interest Rate on First Mortgage</t>
  </si>
  <si>
    <t>Term of First Mortgage (In Years)</t>
  </si>
  <si>
    <t>Required DCR of First Mortgage</t>
  </si>
  <si>
    <t>Amount of Second Mortgage</t>
  </si>
  <si>
    <t>Interest Rate on Second Mortgage</t>
  </si>
  <si>
    <t>Term of Second Mortgage (In Years)</t>
  </si>
  <si>
    <t>Required DCR of Second Mortgage</t>
  </si>
  <si>
    <t>Stabilized NOI (Assume Second Year Unless Stated Otherwise on Application)</t>
  </si>
  <si>
    <t>Total Amount of First and Second Mortgage</t>
  </si>
  <si>
    <t>Maximum Private Loan</t>
  </si>
  <si>
    <t>Has Private Financing Been Optimized?</t>
  </si>
  <si>
    <t>HOME Loan Term In Years (Use Twenty Years Unless Otherwise Stipulated)</t>
  </si>
  <si>
    <t>Amount of HOME Loan To Be Repaid (Includes Interest)</t>
  </si>
  <si>
    <t>Amount of PITI Repaid During the Affordability Period</t>
  </si>
  <si>
    <t>Can the HOME Loan Be Reapid During the Affordability Period From Cash Flow?</t>
  </si>
  <si>
    <t>What is the expected interest rate at refinancing</t>
  </si>
  <si>
    <t>What is the Residual Value?</t>
  </si>
  <si>
    <t>IIS the Residual Value plus the Cash Flow Payments enough to Pay HOME Principal During Affordability Period?</t>
  </si>
  <si>
    <t>Year 1 All Debt DCR</t>
  </si>
  <si>
    <t>Year 1 Total Debt Service</t>
  </si>
  <si>
    <t>Year 10 Cumulative Cash Flow</t>
  </si>
  <si>
    <t>Year 10 NOI</t>
  </si>
  <si>
    <t>Year 15 1st Mortgage DSCR</t>
  </si>
  <si>
    <t>Year 15 All Debt DSCR</t>
  </si>
  <si>
    <t>Year 15 Cumulative Cash Flow</t>
  </si>
  <si>
    <t>Year 15 Total Expenses</t>
  </si>
  <si>
    <t>Year 15 NOI</t>
  </si>
  <si>
    <t>Year 15 Cumulative Replacement Reserve</t>
  </si>
  <si>
    <t>Year 20 1st Mortgage DCR</t>
  </si>
  <si>
    <t>Year 20 All Debt DCR</t>
  </si>
  <si>
    <t>Year 20 Cumulative Cash Flow</t>
  </si>
  <si>
    <t>Year 20 Total Expenses</t>
  </si>
  <si>
    <t>Year 20 NOI</t>
  </si>
  <si>
    <t>Type of Construction</t>
  </si>
  <si>
    <t>Amount of 4% Credits Allowed</t>
  </si>
  <si>
    <t>Amount of 9% Credits Allowed</t>
  </si>
  <si>
    <t xml:space="preserve">Is LIHTC 4% Request Within Allowable Amount </t>
  </si>
  <si>
    <t>Is LIHTC 9% Request Within Allowable Amount</t>
  </si>
  <si>
    <t>IS TCAP Request within Allowable Amount?</t>
  </si>
  <si>
    <t>Is NHTF Request Within Allowable Amount</t>
  </si>
  <si>
    <t>Market Study</t>
  </si>
  <si>
    <t>CAP Rate</t>
  </si>
  <si>
    <t>Absorbtion Rate</t>
  </si>
  <si>
    <t>Market Study Total Expenses</t>
  </si>
  <si>
    <t>Attache to this analysis copies of:</t>
  </si>
  <si>
    <t>Underwriting Reivew</t>
  </si>
  <si>
    <t xml:space="preserve"> Identity of Interest Certification</t>
  </si>
  <si>
    <t>Letters of Financial Commitment Including Syndication if applicable</t>
  </si>
  <si>
    <t>Cost Reasonable Analysis</t>
  </si>
  <si>
    <t>List of Previous Projects</t>
  </si>
  <si>
    <t>Copy of Audited Financials</t>
  </si>
  <si>
    <t>Legal Description of Property</t>
  </si>
  <si>
    <t>HOME Rent Limits for Area</t>
  </si>
  <si>
    <t>Utility Allowance for Area</t>
  </si>
  <si>
    <t>Underwriting Status:</t>
  </si>
  <si>
    <t>Prepared By:</t>
  </si>
  <si>
    <t>________________________________________________________________________________</t>
  </si>
  <si>
    <t>Date:        _______/_______/______________</t>
  </si>
  <si>
    <t>West Feliciana</t>
  </si>
  <si>
    <t>Per Unit limit  eligibility</t>
  </si>
  <si>
    <r>
      <t xml:space="preserve">Applications are in part evaluated based on the experience and time devoted to the project of the key member(s) of the development team. Please indicated below the name and contact information for each person filling the position indicated (if any) and the amount of time the expect to dedicate to the proposed project. If the individual is a qualified SDB or CHDO please indicate so in the appropriate box. </t>
    </r>
    <r>
      <rPr>
        <b/>
        <u/>
        <sz val="12"/>
        <rFont val="Times New Roman"/>
        <family val="1"/>
      </rPr>
      <t>To receive credit you must attach resume and/or certificates.</t>
    </r>
  </si>
  <si>
    <t>Does Activity Meet Eligibility Test  (High Rents)</t>
  </si>
  <si>
    <t>Does Activity Meet Eligibility Test   (Low Rents)</t>
  </si>
  <si>
    <t>Subdivision</t>
  </si>
  <si>
    <t>Date Construction Completion</t>
  </si>
  <si>
    <t xml:space="preserve">The Applicant represents that it will furnish promptly a development timetable and such other supporting information and documents as may be requested and/or required by the LHC and that any failure to achieve the benchmarks contained in any timetable requested by the LHC may result in the rescission or recapture of HOME Funds.  In carrying out the development and/or operation of the project, the Applicant agrees to comply with all applicable federal and state laws regarding unlawful discrimination and will abide by all LHC rules and regulations.  The Applicant understands and agrees that the LHC is not responsible for actions taken by the Applicant in reliance on a prospective reservation of HOME Funds by the LHC and the Applicant further agrees that the LHC, its employees, agents and/or consultants shall not be responsible or liable in any manner whatsoever for expenses incurred by Applicant or its consultants in applying for HOME Funds. </t>
  </si>
  <si>
    <t>Type of Appliocation</t>
  </si>
  <si>
    <t>NOAH</t>
  </si>
  <si>
    <t>CHAAP</t>
  </si>
  <si>
    <t>Small Project Continuation</t>
  </si>
  <si>
    <t xml:space="preserve">   Type of Application</t>
  </si>
  <si>
    <t>Per Project Limit</t>
  </si>
  <si>
    <t>Maximum Assistance</t>
  </si>
  <si>
    <t>Application Date</t>
  </si>
  <si>
    <t>January</t>
  </si>
  <si>
    <t>February</t>
  </si>
  <si>
    <t>March</t>
  </si>
  <si>
    <t xml:space="preserve">April </t>
  </si>
  <si>
    <t>May</t>
  </si>
  <si>
    <t>June</t>
  </si>
  <si>
    <t>July</t>
  </si>
  <si>
    <t>August</t>
  </si>
  <si>
    <t>September</t>
  </si>
  <si>
    <t>October</t>
  </si>
  <si>
    <t>November</t>
  </si>
  <si>
    <t>December</t>
  </si>
  <si>
    <t xml:space="preserve">    Application Date</t>
  </si>
  <si>
    <t>Per Project?</t>
  </si>
  <si>
    <t>County</t>
  </si>
  <si>
    <t>cbsasub</t>
  </si>
  <si>
    <t>areaname</t>
  </si>
  <si>
    <t>HTFRent_0</t>
  </si>
  <si>
    <t>HTFRent_1</t>
  </si>
  <si>
    <t>HTFRent_2</t>
  </si>
  <si>
    <t>HTFRent_3</t>
  </si>
  <si>
    <t>HTFRent_4</t>
  </si>
  <si>
    <t>HTFRent_5</t>
  </si>
  <si>
    <t>HTFRent_6</t>
  </si>
  <si>
    <t>Rent30_0</t>
  </si>
  <si>
    <t>Rent30_1</t>
  </si>
  <si>
    <t>Rent30_2</t>
  </si>
  <si>
    <t>Rent30_3</t>
  </si>
  <si>
    <t>Rent30_4</t>
  </si>
  <si>
    <t>Rent30_5</t>
  </si>
  <si>
    <t>Rent30_6</t>
  </si>
  <si>
    <t>Rent_PG_0</t>
  </si>
  <si>
    <t>Rent_PG_1</t>
  </si>
  <si>
    <t>Rent_PG_2</t>
  </si>
  <si>
    <t>Rent_PG_3</t>
  </si>
  <si>
    <t>Rent_PG_4</t>
  </si>
  <si>
    <t>Rent_PG_5</t>
  </si>
  <si>
    <t>Rent_PG_6</t>
  </si>
  <si>
    <t>METRO29180N22001</t>
  </si>
  <si>
    <t>Acadia Parish, LA HUD Metro FMR Area</t>
  </si>
  <si>
    <t>Shreveport-Bossier City, LA HUD Metro FMR Area</t>
  </si>
  <si>
    <t>METRO29180N22045</t>
  </si>
  <si>
    <t>Iberia Parish, LA HUD Metro FMR Area</t>
  </si>
  <si>
    <t>New Orleans-Metairie, LA HUD Metro FMR Area</t>
  </si>
  <si>
    <t>Lafayette, LA HUD Metro FMR Area</t>
  </si>
  <si>
    <t>Houma-Thibodaux, LA MSA</t>
  </si>
  <si>
    <t>METRO35380N22093</t>
  </si>
  <si>
    <t>St. James Parish, LA HUD Metro FMR Area</t>
  </si>
  <si>
    <t>METRO25220M25220</t>
  </si>
  <si>
    <t>Hammond, LA MSA</t>
  </si>
  <si>
    <t>METRO29180N22113</t>
  </si>
  <si>
    <t>Vermilion Parish, LA HUD Metro FMR Area</t>
  </si>
  <si>
    <t>METRO43340N22119</t>
  </si>
  <si>
    <t>Webster Parish, LA HUD Metro FMR Area</t>
  </si>
  <si>
    <t>HTF Rent</t>
  </si>
  <si>
    <t>Maximum  Units</t>
  </si>
  <si>
    <t>Max Units</t>
  </si>
  <si>
    <t>2018 NATIONAL HOUSING TRUST FUND RENTS</t>
  </si>
  <si>
    <t>Maximum Supportable Loan</t>
  </si>
  <si>
    <t>Interest Rate (as a percentage)</t>
  </si>
  <si>
    <t>Term of Loan (in Years)</t>
  </si>
  <si>
    <t>Debt Coverage Ratio Required</t>
  </si>
  <si>
    <t>Interest Rate (as a decimal)</t>
  </si>
  <si>
    <t>Term of Loan (in Months)</t>
  </si>
  <si>
    <t>Constant</t>
  </si>
  <si>
    <t>Debt Service</t>
  </si>
  <si>
    <t>D/S =  NOI/DCR</t>
  </si>
  <si>
    <t>Max Loan</t>
  </si>
  <si>
    <t>Loan = (D/S)/c</t>
  </si>
  <si>
    <t>Years</t>
  </si>
  <si>
    <t>10 Year</t>
  </si>
  <si>
    <t>15 Year</t>
  </si>
  <si>
    <t>20 Year</t>
  </si>
  <si>
    <t>25 Year</t>
  </si>
  <si>
    <t>30 Year</t>
  </si>
  <si>
    <t>35 Year</t>
  </si>
  <si>
    <t>40 Year</t>
  </si>
  <si>
    <t>HOME Loan Interest Rate (Use Applicable Federal Rate for Month of Application)</t>
  </si>
  <si>
    <t>Residual Value</t>
  </si>
  <si>
    <t>Residual Value Constant</t>
  </si>
  <si>
    <t>Required Debt Coverage Ratio</t>
  </si>
  <si>
    <t>Required Debt Service Ratio</t>
  </si>
  <si>
    <r>
      <t>Max Loan</t>
    </r>
    <r>
      <rPr>
        <sz val="12"/>
        <color theme="1"/>
        <rFont val="Calibri"/>
        <family val="2"/>
        <scheme val="minor"/>
      </rPr>
      <t xml:space="preserve"> (Residual Value)</t>
    </r>
  </si>
  <si>
    <r>
      <t xml:space="preserve">Net Operating Income </t>
    </r>
    <r>
      <rPr>
        <sz val="8"/>
        <rFont val="Arial"/>
        <family val="2"/>
      </rPr>
      <t>(At Completion of 20 HOME Affordability Period)</t>
    </r>
  </si>
  <si>
    <t>Operating Cost as a Percentage of Potential Rent (Year 1)</t>
  </si>
  <si>
    <t>Operating Cost as a Percentage of Potential Rent (Year 10)</t>
  </si>
  <si>
    <t>Operating Cost as a Percentage of Potential Rent (Year 20)</t>
  </si>
  <si>
    <t>NET Operating Income</t>
  </si>
  <si>
    <t>Is Adjusted Net Operating Income Positive During the HOME Loan</t>
  </si>
  <si>
    <t>Maximum DCR During Affordability Period</t>
  </si>
  <si>
    <t>Debt Coverage Ratio</t>
  </si>
  <si>
    <t>Min DCR</t>
  </si>
  <si>
    <t>Max DCR</t>
  </si>
  <si>
    <t>Minimum DCR Durring Affordability Period</t>
  </si>
  <si>
    <t>Rehab Contingency</t>
  </si>
  <si>
    <t>New Construction Contingency</t>
  </si>
  <si>
    <t>Construction Contingency</t>
  </si>
  <si>
    <t>Rehab Costs</t>
  </si>
  <si>
    <t>Total Construction Costs</t>
  </si>
  <si>
    <t>operating Reserves</t>
  </si>
  <si>
    <t>Six months of Reserves</t>
  </si>
  <si>
    <t>18 Months of reserves</t>
  </si>
  <si>
    <t>Greater Than Min</t>
  </si>
  <si>
    <t>Less Than Max</t>
  </si>
  <si>
    <t>Between Limits</t>
  </si>
  <si>
    <t>Accountant</t>
  </si>
  <si>
    <t>Attorney</t>
  </si>
  <si>
    <t>Managing Member/Partner</t>
  </si>
  <si>
    <t>Management Co.</t>
  </si>
  <si>
    <t>Builder / Contractor</t>
  </si>
  <si>
    <t>Architect</t>
  </si>
  <si>
    <t>Consultant</t>
  </si>
  <si>
    <t>Maximum        HTF Rents Allowed</t>
  </si>
  <si>
    <t>Does Activity Meet Eligiblity for the Housing Trust Fund</t>
  </si>
  <si>
    <t>Rent After Utilities (HTF)</t>
  </si>
  <si>
    <t>Anticipated Rent For HTF          Units</t>
  </si>
  <si>
    <t xml:space="preserve">   Single-Asset Entity Name</t>
  </si>
  <si>
    <t xml:space="preserve">   Single-Asset EntityAddress</t>
  </si>
  <si>
    <t xml:space="preserve">   Single-Asset Entity State of Incorporation</t>
  </si>
  <si>
    <t xml:space="preserve">   Single-Asset Entity Contact</t>
  </si>
  <si>
    <t xml:space="preserve">WITNESS MY SIGNATURE ON THIS, THE ____ DAY OF _____________, 20NN.
                                                                                             BY:  __________________________________
                                                                                            Applicant
Sworn to and subscribed before me,
this ___ day of _____, 20NN.
Notary, State of _______________
</t>
  </si>
  <si>
    <t>SPC2017RD.a</t>
  </si>
  <si>
    <t xml:space="preserve">   Applicant Name (Must Be Name before Single-Asset Entity Creation.                                                                  If CHDO must be the name of the CHDO): </t>
  </si>
  <si>
    <t>Number of HOME Assisted 0 Bedroom Units by Percentage</t>
  </si>
  <si>
    <t>Number of HOME Assisted 1 Bedroom Units by Percentage</t>
  </si>
  <si>
    <t>Number of HOME Assisted 2 Bedroom Units by Percentage</t>
  </si>
  <si>
    <t>Number of HOME Assisted 3 Bedroom Units by Percentage</t>
  </si>
  <si>
    <t>Number of HOME Assisted 4 Bedroom Units by Percentage</t>
  </si>
  <si>
    <t>Number of HOME Assisted 5 Bedroom Units by Percentage</t>
  </si>
  <si>
    <t>Total Number of HOME Assisted Units Final Required by Percentage</t>
  </si>
  <si>
    <t>Maximum Per Unit Subsidy Per Funding (NOAH, CHAAP, SPC or NOFA)</t>
  </si>
  <si>
    <t>234 Limit</t>
  </si>
  <si>
    <t>Minimum Number of 0 Bedroom Units by 234 Limit</t>
  </si>
  <si>
    <t>Minimum Number of 1 Bedroom Units by 234 Limit</t>
  </si>
  <si>
    <t>Minimum Number of 2 Bedroom Units by 234 Limit</t>
  </si>
  <si>
    <t>Minimum Number of 3 Bedroom Units by 234 Limit</t>
  </si>
  <si>
    <t>Minimum Number of 4 Bedroom Units by 234 Limit</t>
  </si>
  <si>
    <t>Minimum Number of 5 Bedroom Units by 234 Limit</t>
  </si>
  <si>
    <t>Minimum Number of 0 Bedroom Units by Cost to Construct</t>
  </si>
  <si>
    <t>Minimum Number of 1 Bedroom Units by Cost to Construct</t>
  </si>
  <si>
    <t>Minimum Number of 2 Bedroom Units by Cost to Construct</t>
  </si>
  <si>
    <t>Minimum Number of 3 Bedroom Units by Cost to Construct</t>
  </si>
  <si>
    <t>Minimum Number of 4 Bedroom Units by Cost to Construct</t>
  </si>
  <si>
    <t>Minimum Number of 5 Bedroom Units by Cost to Construct</t>
  </si>
  <si>
    <t>By Percentage</t>
  </si>
  <si>
    <t>By Cost</t>
  </si>
  <si>
    <t>By Flat Rate</t>
  </si>
  <si>
    <t>4 BR</t>
  </si>
  <si>
    <t>5 BR</t>
  </si>
  <si>
    <t>Minimum Number of 0 Bedroom Units by NOFA Flat Rate</t>
  </si>
  <si>
    <t>Minimum Number of 1 Bedroom Units by NOFA Flat Rate</t>
  </si>
  <si>
    <t>Minimum Number of 2 Bedroom Units by NOFA Flat Rate</t>
  </si>
  <si>
    <t>Minimum Number of 3 Bedroom Units by NOFA Flat Rate</t>
  </si>
  <si>
    <t>Minimum Number of 4 Bedroom Units by NOFA Flat Rate</t>
  </si>
  <si>
    <t>Minimum Number of 5 Bedroom Units by NOFA Flat Rate</t>
  </si>
  <si>
    <t>Final</t>
  </si>
  <si>
    <t>FINAL NUMBER OF REQUIRED 0 BEDROOM UNITS</t>
  </si>
  <si>
    <t>FINAL NUMBER OF REQUIRED 1 BEDROOM UNITS</t>
  </si>
  <si>
    <t>FINAL NUMBER OF REQUIRED 2 BEDROOM UNITS</t>
  </si>
  <si>
    <t>FINAL NUMBER OF REQUIRED 3 BEDROOM UNITS</t>
  </si>
  <si>
    <t>FINAL NUMBER OF REQUIRED 4 BEDROOM UNITS</t>
  </si>
  <si>
    <t>FINAL NUMBER OF REQUIRED 5 BEDROOM UNITS</t>
  </si>
  <si>
    <t>FINAL NUMBER OF REQUIRED TOTAL HOME UNITS</t>
  </si>
  <si>
    <t>Project</t>
  </si>
  <si>
    <t>Per Unit 234 Limits</t>
  </si>
  <si>
    <t>Per Unit Cost to Produce</t>
  </si>
  <si>
    <t>By 234</t>
  </si>
  <si>
    <t>HTF Requested</t>
  </si>
  <si>
    <t>TDC</t>
  </si>
  <si>
    <t>NON LHC Funding</t>
  </si>
  <si>
    <t>Least</t>
  </si>
  <si>
    <t>Required Units Not in Area of Demonstrated Need</t>
  </si>
  <si>
    <t>Required Units In an Area of Demonstrated Need</t>
  </si>
  <si>
    <t>Is Project Located in an LHC Defined Area of Demonstrated Need?</t>
  </si>
  <si>
    <t>Area of Demonstrated Need</t>
  </si>
  <si>
    <t>Number of Bedrooms</t>
  </si>
  <si>
    <t>Funding Avaliable PER 234</t>
  </si>
  <si>
    <t>Cost To Produce</t>
  </si>
  <si>
    <t>Funding Avaliable Per NOFA Limit</t>
  </si>
  <si>
    <t>Max Allowed Outside of Area of Demonstrated Need</t>
  </si>
  <si>
    <t>Max Allowed Within Area of Demonstrated Need</t>
  </si>
  <si>
    <t>Total Allowed Outside Area of Demonstrated Need</t>
  </si>
  <si>
    <t>Total Allowed Within Area of Demonstrated Need</t>
  </si>
  <si>
    <t>HOME Units</t>
  </si>
  <si>
    <t>HTF Units</t>
  </si>
  <si>
    <t>Final Number of Minimum Required HOME  Units</t>
  </si>
  <si>
    <t>Per Project HTF</t>
  </si>
  <si>
    <t>Total Housing Trust Fund</t>
  </si>
  <si>
    <t>Minimum Number of 0 Bedroom HTF Units by Cost to Construct</t>
  </si>
  <si>
    <t>Minimum Number of 1 Bedroom HTF Units by Cost to Construct</t>
  </si>
  <si>
    <t>Minimum Number of 2 Bedroom  HTF Units by Cost to Construct</t>
  </si>
  <si>
    <t>Minimum Number of 3 Bedroom  HTF Units by Cost to Construct</t>
  </si>
  <si>
    <t>Minimum Number of 4 Bedroom  HTF Units by Cost to Construct</t>
  </si>
  <si>
    <t>Minimum Number of 5 Bedroom  HTF Units by Cost to Construct</t>
  </si>
  <si>
    <t>Minimum Number of 0 Bedroom  HTF Units by 234 Limit</t>
  </si>
  <si>
    <t>Minimum Number of 1 Bedroom  HTF Units by 234 Limit</t>
  </si>
  <si>
    <t>Minimum Number of 2 Bedroom  HTF Units by 234 Limit</t>
  </si>
  <si>
    <t>Minimum Number of 3 Bedroom  HTF Units by 234 Limit</t>
  </si>
  <si>
    <t>Minimum Number of 4 Bedroom  HTF Units by 234 Limit</t>
  </si>
  <si>
    <t>Minimum Number of 5 Bedroom  HTF Units by 234 Limit</t>
  </si>
  <si>
    <t>HTF Units  Tenant Income &gt;20&lt;=30%</t>
  </si>
  <si>
    <t>HTF Units Tenant Income &gt;20&lt;=30%</t>
  </si>
  <si>
    <t>HTF Assisted Units</t>
  </si>
  <si>
    <t>GRAND TOTAL</t>
  </si>
  <si>
    <t>Unassisted Units</t>
  </si>
  <si>
    <t>HTF Percentage</t>
  </si>
  <si>
    <t>Minimum Number of 0 Bedroom HTF Units by Percentage</t>
  </si>
  <si>
    <t>Minimum Number of 1 Bedroom HTF Units by Percentage</t>
  </si>
  <si>
    <t>Minimum Number of 2 Bedroom  HTF Units by Percentage</t>
  </si>
  <si>
    <t>Minimum Number of 3 Bedroom  HTF Units by Percentage</t>
  </si>
  <si>
    <t>Minimum Number of 4 Bedroom  HTF Units by Percentage</t>
  </si>
  <si>
    <t>Minimum Number of 5 Bedroom  HTF Units by Percentage</t>
  </si>
  <si>
    <t>Total Number of HTF Units Required by Percentage</t>
  </si>
  <si>
    <t>Maximum HTF Assistance for HTF Assisted 0 Bedroom Units</t>
  </si>
  <si>
    <t>Maximum  HTF Assistance for HTF Assisted 1 Bedroom Units</t>
  </si>
  <si>
    <t>Maximum  HTF Assistance for HTF Assisted 2 Bedroom Units</t>
  </si>
  <si>
    <t>Maximum HTF Assistance for HTF Assisted 3 Bedroom Units</t>
  </si>
  <si>
    <t>Maximum  HTF Assistance for HTF Assisted 4 Bedroom Units</t>
  </si>
  <si>
    <t>Maximum  HTF Assistance for HTF Assisted 5 Bedroom Units</t>
  </si>
  <si>
    <t>Maximum  HTF Assistance Per 0 Bedroom Unit By NOFA Flat Rate</t>
  </si>
  <si>
    <t>Maximum HTF Assistance Per 1 Bedroom Unit By NOFA Flat Rate</t>
  </si>
  <si>
    <t>Maximum  HTF Assistance Per 2 Bedroom Unit by NOFA Flat Rate</t>
  </si>
  <si>
    <t>Maximum  HTF Assistance Per 3 Bedroom Unit by NOFA Flat Rate</t>
  </si>
  <si>
    <t>Maximum  HTF Assistance Per 4 Bedroom Unit by NOFA Flat Rate</t>
  </si>
  <si>
    <t>Maximum  HTF Assistance Per 5 Bedroom Unit by NOFA Flat Rate</t>
  </si>
  <si>
    <t>Funding and Units Worksheet Calculations</t>
  </si>
  <si>
    <t>Cost to Construct All Proposed HTF Assisted 1 Bedroom Units</t>
  </si>
  <si>
    <t>Cost to Construct All Proposed HTF Assisted 2 Bedroom Units</t>
  </si>
  <si>
    <t>Cost to Construct All Proposed HTF Assisted 3 Bedroom Units</t>
  </si>
  <si>
    <t>Cost to Construct All Proposed  HTFAssisted 4 Bedroom Units</t>
  </si>
  <si>
    <t>Cost to Construct All Proposed  HTF Assisted 5 Bedroom Units</t>
  </si>
  <si>
    <t>Cost to Construct All Proposed  HTF Assisted Units in Project</t>
  </si>
  <si>
    <t>Cost to Construct All Proposed HTF Assisted 0 Bedroom Units</t>
  </si>
  <si>
    <t>Minimum Number of 0 Bedroom HTF Units by Flat Rate</t>
  </si>
  <si>
    <t>Minimum Number of 1 Bedroom HTF Units by Flat Ratet</t>
  </si>
  <si>
    <t>Minimum Number of 2 Bedroom  HTF Units by Flat Rate</t>
  </si>
  <si>
    <t>Minimum Number of 3 Bedroom  HTF Units by Flat Rate</t>
  </si>
  <si>
    <t>Minimum Number of 4 Bedroom  HTF Units by Flat Rate</t>
  </si>
  <si>
    <t>Minimum Number of 5 Bedroom  HTF Units by Flat Rate</t>
  </si>
  <si>
    <t>Is Maximum HTF Assistance Allowed &gt;= Actual HTF Assistance?</t>
  </si>
  <si>
    <t>2019 Spring NOFA</t>
  </si>
  <si>
    <t>HOME Limit</t>
  </si>
  <si>
    <t>HOUSING TRUST FUND RENTS</t>
  </si>
  <si>
    <t>Owner Equity</t>
  </si>
  <si>
    <t>Total Number of HTF Units by Cost to Construct</t>
  </si>
  <si>
    <t>Final Number of Minimum Required HTF  Units</t>
  </si>
  <si>
    <t>Required HOME Units</t>
  </si>
  <si>
    <t>Total HOME Units by Cost to Construct</t>
  </si>
  <si>
    <t>HOUSING TRUST FUND</t>
  </si>
  <si>
    <t>HOME INVESTMENT PARTNERSHIP PROGRAM</t>
  </si>
  <si>
    <t>Maximum HOME Assistance Per 0 Bedroom Unit (234 Limit)</t>
  </si>
  <si>
    <t>Maximum HOME Assistance Per 1 Bedroom Unit (234 Limit)</t>
  </si>
  <si>
    <t>Maximum HOME Assistance Per 2 Bedroom Unit (234 Limit)</t>
  </si>
  <si>
    <t>Maximum HOME Assistance Per 3 Bedroom Unit (234 Limit)</t>
  </si>
  <si>
    <t>Maximum HOME Assistance Per 4 Bedroom Unit (234 Limit)</t>
  </si>
  <si>
    <t>Maximum HOME Assistance Per 5 Bedroom Unit (234 Limit)</t>
  </si>
  <si>
    <t>Total Number of Units by 234 Limit</t>
  </si>
  <si>
    <t>Total Number of HOME Units by Flat Rate</t>
  </si>
  <si>
    <t>Max Cost to Produce, Percentage</t>
  </si>
  <si>
    <t>Min Column H,  Per Unit 234 Limits</t>
  </si>
  <si>
    <t>HOME MINIMUM UNITS REQUIRED Area of Demonstrated Need</t>
  </si>
  <si>
    <t>Bed Rooms</t>
  </si>
  <si>
    <t>HTF MINIMUM UNITS REQUIRED Area of Demonstrated Need</t>
  </si>
  <si>
    <t>Flat Rate Funding</t>
  </si>
  <si>
    <t>Cost To Produce Funding</t>
  </si>
  <si>
    <t>Percentage Funding</t>
  </si>
  <si>
    <t>Maximum Funding</t>
  </si>
  <si>
    <t>Number of 0 Bedroom HOME Units Proposed by Developer</t>
  </si>
  <si>
    <t>Number of 1 Bedroom HOME Units Proposed by Developer</t>
  </si>
  <si>
    <t>Number of 2 Bedroom HOME Units Proposed by Developer</t>
  </si>
  <si>
    <t>Number of 3 Bedroom HOME Units Proposed by Developer</t>
  </si>
  <si>
    <t>Number of 4 Bedroom HOME Units Proposed by Developer</t>
  </si>
  <si>
    <t>Number of 5 Bedroom HOME Units Porposed by Developer</t>
  </si>
  <si>
    <t>Total Number of HOME Units Proposed by Developer</t>
  </si>
  <si>
    <t>Final Per Unit Funding</t>
  </si>
  <si>
    <t>234                    Funding Subsidy Limit</t>
  </si>
  <si>
    <t>MINimum Number of HTF Units Required</t>
  </si>
  <si>
    <t>HTF UNITS REQUIRED In and Area od Demonstrated Need</t>
  </si>
  <si>
    <t>Area of Need</t>
  </si>
  <si>
    <t>Outside</t>
  </si>
  <si>
    <t>Cost to Construct All 0 Bedroom Units</t>
  </si>
  <si>
    <t>Cost to Construct All 1 Bedroom Units</t>
  </si>
  <si>
    <t>Cost to Construct All 2 Bedroom Units</t>
  </si>
  <si>
    <t>Cost to Construct All 3 Bedroom Units</t>
  </si>
  <si>
    <t>Cost to Construct All 4 Bedroom Units</t>
  </si>
  <si>
    <t>Cost to Construct All 5 Bedroom Units</t>
  </si>
  <si>
    <t>Total Cost to Construct All Units</t>
  </si>
  <si>
    <t xml:space="preserve">Maximum HOME Assistance for the Project </t>
  </si>
  <si>
    <t>Maximum Funding by Percentage for 1 Bedroom Units</t>
  </si>
  <si>
    <t>Maximum Funding by Percentage for 2 Bedroom Units</t>
  </si>
  <si>
    <t>Maximum Funding by Percentage for 3 Bedroom Units</t>
  </si>
  <si>
    <t>Maximum Funding by Percentage for 4 Bedroom Units</t>
  </si>
  <si>
    <t>Maximum Funding by Percentage for 5 Bedroom Units</t>
  </si>
  <si>
    <t>Maximum Funding by Percentage for All Units</t>
  </si>
  <si>
    <t>Cost to Construct All Proposed HOME Assisted 0 Bedroom Units by %</t>
  </si>
  <si>
    <t>Cost to Construct All Proposed HOME Assisted 1 Bedroom Units by %</t>
  </si>
  <si>
    <t>Cost to Construct All Proposed HOME Assisted 2 Bedroom Units by %</t>
  </si>
  <si>
    <t>Cost to Construct All Proposed HOME Assisted 3 Bedroom Units by %</t>
  </si>
  <si>
    <t>Cost to Construct All Proposed HOME Assisted 4 Bedroom Units by %</t>
  </si>
  <si>
    <t>Cost to Construct All Proposed HOME Assisted 5 Bedroom Units by %</t>
  </si>
  <si>
    <t>Actual Total HOME Assistance Requested</t>
  </si>
  <si>
    <t>Total Cost to Construct All Proposed HOME Assisted Units in Project by %</t>
  </si>
  <si>
    <t>Maximum All HTF Assistance for HTF Assisted 0 Bedroom Units</t>
  </si>
  <si>
    <t>Maximum  All HTF Assistance for HTF Assisted 1 Bedroom Units</t>
  </si>
  <si>
    <t>Maximum  All HTF Assistance for HTF Assisted 2 Bedroom Units</t>
  </si>
  <si>
    <t>Maximum All HTF Assistance for HTF Assisted 3 Bedroom Units</t>
  </si>
  <si>
    <t>Maximum  All HTF Assistance for HTF Assisted 4 Bedroom Units</t>
  </si>
  <si>
    <t>Maximum  HTF Assistance for HTF Assisted Units</t>
  </si>
  <si>
    <t>Actual Total  HTF Assistance Requested For Proposed Units</t>
  </si>
  <si>
    <t>Number on Non HOME/HTF Units Allowed</t>
  </si>
  <si>
    <t>Actual Total</t>
  </si>
  <si>
    <t>Allowed Total</t>
  </si>
  <si>
    <t>Total Units By HTF Flat Rate</t>
  </si>
  <si>
    <t>Total  Minimum Number of   HTF Units by 234 Limit</t>
  </si>
  <si>
    <t>Per Unit NOFA HOME Liits     (Flat Rate)</t>
  </si>
  <si>
    <t xml:space="preserve">Flat Rate NOFA  HTF Limits    </t>
  </si>
  <si>
    <t>Maximum Funding by Percentage for 0 Bedroom HTF Units</t>
  </si>
  <si>
    <t>Expected TDC</t>
  </si>
  <si>
    <t>Sq. Ft. 0 Bedroom</t>
  </si>
  <si>
    <t>Sq. Ft. 1 Bedroom</t>
  </si>
  <si>
    <t>Sq Ft 2 Bedroom</t>
  </si>
  <si>
    <t>Sq. Ft. 3 Bedroom</t>
  </si>
  <si>
    <t>Sq Ft. 5 Bedroom</t>
  </si>
  <si>
    <t>Total Number of 0 Bedroom units</t>
  </si>
  <si>
    <t>Total Number of 1 Bedroom units</t>
  </si>
  <si>
    <t>Total Number of 2 Bedroom units</t>
  </si>
  <si>
    <t>Total Number of 3 Bedroom units</t>
  </si>
  <si>
    <t>Total Number of 4 Bedroom units</t>
  </si>
  <si>
    <t>Total Number of 5 Bedroom units</t>
  </si>
  <si>
    <t>Total Square Feet All Units</t>
  </si>
  <si>
    <t>Cost to Produce</t>
  </si>
  <si>
    <t>Flat Rate</t>
  </si>
  <si>
    <t>HOME UNITS</t>
  </si>
  <si>
    <t>HTF UNITS</t>
  </si>
  <si>
    <t>Total Funding</t>
  </si>
  <si>
    <t>HOME</t>
  </si>
  <si>
    <t>HTF</t>
  </si>
  <si>
    <t>TDC                Cost Per Sq. Ft.</t>
  </si>
  <si>
    <t>Funding and Units Worksheet</t>
  </si>
  <si>
    <t>Instructions</t>
  </si>
  <si>
    <t>This is not a required part of the submission package. It is provided to assist you in either calculating the required number of unit with a given funding level or to indicate the funding level that is minimuml required for a certain number of units.</t>
  </si>
  <si>
    <t>To work properly there are several fields that must be fill in on your application work sheet.</t>
  </si>
  <si>
    <t>PART A</t>
  </si>
  <si>
    <t>PART B</t>
  </si>
  <si>
    <t>Minimum Number of Units Required for the Funding Being Requested</t>
  </si>
  <si>
    <t>Maximum Funding for the Number of Units Requested</t>
  </si>
  <si>
    <t>Part A</t>
  </si>
  <si>
    <t>Part A requires that at a minimum the following following information be filled in on the application:</t>
  </si>
  <si>
    <t>Maximum HOME FUNDS Requested:</t>
  </si>
  <si>
    <t>Maximum HTF FUNDS Requested</t>
  </si>
  <si>
    <t>HTF Assisted Units Proposed By Developer</t>
  </si>
  <si>
    <t>2 Bedrooms</t>
  </si>
  <si>
    <t>4 Bedrooms</t>
  </si>
  <si>
    <t>1 Bedroom</t>
  </si>
  <si>
    <t>3 Bedrooms</t>
  </si>
  <si>
    <t xml:space="preserve"> 0 Bedroom (Efficiency)</t>
  </si>
  <si>
    <t>0 Bedroom (Efficiency)</t>
  </si>
  <si>
    <t>5 Bedrooms</t>
  </si>
  <si>
    <t>Eligiblity Tab</t>
  </si>
  <si>
    <t>Rental Income Tab</t>
  </si>
  <si>
    <t>Sources &amp; Uses Tab</t>
  </si>
  <si>
    <t>All Relevant lines</t>
  </si>
  <si>
    <t>Rehab or New Construction Tab</t>
  </si>
  <si>
    <t>All relevant  lines</t>
  </si>
  <si>
    <t>ADDITIONALLY IF YOU ARE CLAIMING TO BE IN AN AREA OF DEMONSTRATED NEED YOU MUST PROVIDE</t>
  </si>
  <si>
    <t>PROOF AT THE TIME OF THE APPLICATION.</t>
  </si>
  <si>
    <t>Part B</t>
  </si>
  <si>
    <t>Rental Income (Including Average Per Sq. Ft. of individual Units by Bedroom Size)</t>
  </si>
  <si>
    <t>List of prior projects using LHC programs (this requirment is met by submission of the Completed Project Tab)</t>
  </si>
  <si>
    <t xml:space="preserve">Utility Allowance; Rate Sheets from All Providers; Sample bills if avaliable for all providers. </t>
  </si>
  <si>
    <t>Certificate of SDB, MBE, WBE</t>
  </si>
  <si>
    <t xml:space="preserve">Utility Allowance; Sample bills if avaliable for all providers. </t>
  </si>
  <si>
    <t>Rate Sheets From All Providers Must be Submitted At Time Of Application For Utilities That The Tenant Will Pay</t>
  </si>
  <si>
    <t>rtm</t>
  </si>
  <si>
    <t>Error. 2019 Spring NOFA does not include HTF funding.</t>
  </si>
  <si>
    <t>Error. NOAH Program does not include HTF funding.</t>
  </si>
  <si>
    <t>Error. CHAAP Program does not include HTF funding.</t>
  </si>
  <si>
    <t>Error. The Small Project Continuation Program does not include HTF funding.</t>
  </si>
  <si>
    <t>Did the applicant attend NOFA Workshop/Webinar?</t>
  </si>
  <si>
    <t>Total HOME Assistance Requested</t>
  </si>
  <si>
    <t>Does Proposed Assistance &gt;= Maximum Allowed Assistance</t>
  </si>
  <si>
    <t>Maximum HOME Assistance for HOME Assisted 0 Bedroom Units As Poposed</t>
  </si>
  <si>
    <t>Maximum HOME Assistance for HOME Assisted 1 Bedroom Units As Porposed</t>
  </si>
  <si>
    <t>Maximum HOME Assistance for HOME Assisted 2 Bedroom Units As Proposed</t>
  </si>
  <si>
    <t>Maximum HOME Assistance for HOME Assisted 3 Bedroom Units As Proposed</t>
  </si>
  <si>
    <t>Maximum HOME Assistance for HOME Assisted 4 Bedroom Units As Proposed</t>
  </si>
  <si>
    <t>Maximum HOME Assistance for HOME Assisted 5 Bedroom Units As Proposed</t>
  </si>
  <si>
    <t>Maximum HOME Assistance for the Project As Proposed</t>
  </si>
  <si>
    <t>Once the above information is entered into the application you should get the appropriate number of units for the funding indicated. If the units indicated are different from those in the initial application, you should consider changing your initial application to conform. It should be noted that the allowed total amount of funding will be capped at the level appropriate for the funding mechanism.</t>
  </si>
  <si>
    <t>Primary Input Tab</t>
  </si>
  <si>
    <t>E6</t>
  </si>
  <si>
    <t>CELL</t>
  </si>
  <si>
    <t>E7</t>
  </si>
  <si>
    <t>E10</t>
  </si>
  <si>
    <t>E53</t>
  </si>
  <si>
    <t>E54</t>
  </si>
  <si>
    <t>E55</t>
  </si>
  <si>
    <t>E56</t>
  </si>
  <si>
    <t>E32</t>
  </si>
  <si>
    <t>E33</t>
  </si>
  <si>
    <t>E34</t>
  </si>
  <si>
    <t>E37</t>
  </si>
  <si>
    <t>E38</t>
  </si>
  <si>
    <t>E57</t>
  </si>
  <si>
    <t>E58</t>
  </si>
  <si>
    <t>E59</t>
  </si>
  <si>
    <t>E62</t>
  </si>
  <si>
    <t>E63</t>
  </si>
  <si>
    <t>E64</t>
  </si>
  <si>
    <t>E65</t>
  </si>
  <si>
    <t>E66</t>
  </si>
  <si>
    <t>E67</t>
  </si>
  <si>
    <t>E68</t>
  </si>
  <si>
    <t>E71</t>
  </si>
  <si>
    <t>E72</t>
  </si>
  <si>
    <t>E73</t>
  </si>
  <si>
    <t>E74</t>
  </si>
  <si>
    <t>E75</t>
  </si>
  <si>
    <t>E76</t>
  </si>
  <si>
    <t>E77</t>
  </si>
  <si>
    <t xml:space="preserve">Is Project Located in an LHC Defined Area of Demonstrated Need? </t>
  </si>
  <si>
    <t>D3</t>
  </si>
  <si>
    <t>D4</t>
  </si>
  <si>
    <t>D5</t>
  </si>
  <si>
    <t>D6</t>
  </si>
  <si>
    <t>D7</t>
  </si>
  <si>
    <t>D8</t>
  </si>
  <si>
    <t>D9</t>
  </si>
  <si>
    <t>Project Name</t>
  </si>
  <si>
    <t xml:space="preserve">Project Parish    </t>
  </si>
  <si>
    <t>HOME Assisted Units Proposed By Developer</t>
  </si>
  <si>
    <t xml:space="preserve">Type of Application </t>
  </si>
  <si>
    <t>Funding and Units Worksheet Tab</t>
  </si>
  <si>
    <t>U3</t>
  </si>
  <si>
    <t>V3</t>
  </si>
  <si>
    <t>W3</t>
  </si>
  <si>
    <t>Sq. Ft. 2 Bedroom</t>
  </si>
  <si>
    <t>X3</t>
  </si>
  <si>
    <t>Y3</t>
  </si>
  <si>
    <t>Sq. Ft. 4 Bedroom</t>
  </si>
  <si>
    <t>Z3</t>
  </si>
  <si>
    <t>T4</t>
  </si>
  <si>
    <t>T5</t>
  </si>
  <si>
    <t>T6</t>
  </si>
  <si>
    <t>U6</t>
  </si>
  <si>
    <t>V6</t>
  </si>
  <si>
    <t>W6</t>
  </si>
  <si>
    <t>X6</t>
  </si>
  <si>
    <t>Y6</t>
  </si>
  <si>
    <t>Z6</t>
  </si>
  <si>
    <t>Part B requires that the following be filled in on the application.</t>
  </si>
  <si>
    <t>CHAAP Area of Demonstrated Need</t>
  </si>
  <si>
    <t>Is there an Idenity of Interest Between Buyer and seller. (When acquisition is included)</t>
  </si>
  <si>
    <t>Is More than 51% of the requested award to be used for construction/rehab?</t>
  </si>
  <si>
    <t>NOTE</t>
  </si>
  <si>
    <r>
      <t xml:space="preserve">Once the above information is entered you can begin entering the number of HOME or HTF assisted units that you would like to have as part of the project. The funding necessary will be displayed in Cell T 7 for HTF and T8 for HOME. </t>
    </r>
    <r>
      <rPr>
        <b/>
        <sz val="10"/>
        <color rgb="FFFF0000"/>
        <rFont val="Arial"/>
        <family val="2"/>
      </rPr>
      <t>WARNING THE DOLLAR FIGURE DISPLAYED WILL NOT CAP AT ANY PROGRAM LIMIT.</t>
    </r>
  </si>
  <si>
    <t>Acquisition costs are not to be entered on this tab. You must enter all costs associated with acquisition on the sources and uses tab.</t>
  </si>
  <si>
    <t>02142019.SA1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</si>
</sst>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mm/dd/yy"/>
    <numFmt numFmtId="166" formatCode="[&lt;=9999999]###\-####;\(###\)\ ###\-####"/>
    <numFmt numFmtId="167" formatCode="&quot;$&quot;#,##0"/>
    <numFmt numFmtId="168" formatCode="&quot;$&quot;#,##0.00"/>
    <numFmt numFmtId="169" formatCode="0_);[Red]\(0\)"/>
    <numFmt numFmtId="170" formatCode="0.000%"/>
    <numFmt numFmtId="171" formatCode="dd\-mmm\-yy_)"/>
    <numFmt numFmtId="172" formatCode="[$-409]d\-mmm\-yy;@"/>
    <numFmt numFmtId="173" formatCode="General_)"/>
    <numFmt numFmtId="174" formatCode="#,##0.0"/>
    <numFmt numFmtId="175" formatCode="00000\-0000"/>
    <numFmt numFmtId="176" formatCode="0.00000000%"/>
    <numFmt numFmtId="177" formatCode="#,##0.00000000"/>
    <numFmt numFmtId="178" formatCode="0.0000%"/>
    <numFmt numFmtId="179" formatCode="0.0000"/>
    <numFmt numFmtId="180" formatCode="0.00000"/>
    <numFmt numFmtId="181" formatCode="#,##0.00000"/>
    <numFmt numFmtId="182" formatCode="#,##0.000000000000000000000000000000"/>
  </numFmts>
  <fonts count="129" x14ac:knownFonts="1">
    <font>
      <sz val="10"/>
      <name val="Arial"/>
    </font>
    <font>
      <sz val="10"/>
      <name val="Arial"/>
      <family val="2"/>
    </font>
    <font>
      <sz val="12"/>
      <name val="Arial"/>
      <family val="2"/>
    </font>
    <font>
      <sz val="10"/>
      <name val="Courier"/>
      <family val="3"/>
    </font>
    <font>
      <u/>
      <sz val="10"/>
      <color indexed="12"/>
      <name val="Arial"/>
      <family val="2"/>
    </font>
    <font>
      <b/>
      <sz val="10"/>
      <name val="Arial"/>
      <family val="2"/>
    </font>
    <font>
      <sz val="10"/>
      <name val="Times New Roman"/>
      <family val="1"/>
    </font>
    <font>
      <b/>
      <i/>
      <sz val="10"/>
      <name val="Times New Roman"/>
      <family val="1"/>
    </font>
    <font>
      <i/>
      <sz val="10"/>
      <name val="Times New Roman"/>
      <family val="1"/>
    </font>
    <font>
      <sz val="10"/>
      <name val="Times New Roman"/>
      <family val="1"/>
    </font>
    <font>
      <b/>
      <sz val="22"/>
      <name val="Times New Roman"/>
      <family val="1"/>
    </font>
    <font>
      <b/>
      <i/>
      <sz val="16"/>
      <name val="Times New Roman"/>
      <family val="1"/>
    </font>
    <font>
      <b/>
      <i/>
      <sz val="12"/>
      <name val="Times New Roman"/>
      <family val="1"/>
    </font>
    <font>
      <b/>
      <sz val="12"/>
      <name val="Times New Roman"/>
      <family val="1"/>
    </font>
    <font>
      <i/>
      <sz val="12"/>
      <name val="Times New Roman"/>
      <family val="1"/>
    </font>
    <font>
      <i/>
      <sz val="8"/>
      <color indexed="10"/>
      <name val="Times New Roman"/>
      <family val="1"/>
    </font>
    <font>
      <i/>
      <sz val="24"/>
      <name val="Times New Roman"/>
      <family val="1"/>
    </font>
    <font>
      <b/>
      <sz val="14"/>
      <name val="Times New Roman"/>
      <family val="1"/>
    </font>
    <font>
      <sz val="12"/>
      <name val="Times New Roman"/>
      <family val="1"/>
    </font>
    <font>
      <sz val="9"/>
      <name val="Times New Roman"/>
      <family val="1"/>
    </font>
    <font>
      <b/>
      <sz val="10"/>
      <color indexed="10"/>
      <name val="Times New Roman"/>
      <family val="1"/>
    </font>
    <font>
      <b/>
      <sz val="10"/>
      <name val="Times New Roman"/>
      <family val="1"/>
    </font>
    <font>
      <sz val="8"/>
      <name val="Times New Roman"/>
      <family val="1"/>
    </font>
    <font>
      <b/>
      <sz val="8"/>
      <color indexed="81"/>
      <name val="Tahoma"/>
      <family val="2"/>
    </font>
    <font>
      <b/>
      <sz val="9"/>
      <name val="Times New Roman"/>
      <family val="1"/>
    </font>
    <font>
      <sz val="8"/>
      <name val="Arial"/>
      <family val="2"/>
    </font>
    <font>
      <i/>
      <sz val="10"/>
      <color indexed="9"/>
      <name val="Times New Roman"/>
      <family val="1"/>
    </font>
    <font>
      <i/>
      <sz val="8"/>
      <name val="Times New Roman"/>
      <family val="1"/>
    </font>
    <font>
      <sz val="10"/>
      <color indexed="9"/>
      <name val="Times New Roman"/>
      <family val="1"/>
    </font>
    <font>
      <b/>
      <i/>
      <sz val="10"/>
      <color indexed="10"/>
      <name val="Times New Roman"/>
      <family val="1"/>
    </font>
    <font>
      <b/>
      <sz val="8"/>
      <name val="Times New Roman"/>
      <family val="1"/>
    </font>
    <font>
      <b/>
      <i/>
      <sz val="8"/>
      <name val="Times New Roman"/>
      <family val="1"/>
    </font>
    <font>
      <sz val="10"/>
      <color indexed="12"/>
      <name val="Times New Roman"/>
      <family val="1"/>
    </font>
    <font>
      <b/>
      <i/>
      <sz val="11"/>
      <name val="Times New Roman"/>
      <family val="1"/>
    </font>
    <font>
      <i/>
      <sz val="11"/>
      <name val="Times New Roman"/>
      <family val="1"/>
    </font>
    <font>
      <sz val="9"/>
      <color indexed="9"/>
      <name val="Times New Roman"/>
      <family val="1"/>
    </font>
    <font>
      <sz val="8"/>
      <color indexed="9"/>
      <name val="Times New Roman"/>
      <family val="1"/>
    </font>
    <font>
      <i/>
      <sz val="10"/>
      <color indexed="10"/>
      <name val="Times New Roman"/>
      <family val="1"/>
    </font>
    <font>
      <sz val="10"/>
      <color indexed="9"/>
      <name val="Arial"/>
      <family val="2"/>
    </font>
    <font>
      <b/>
      <sz val="24"/>
      <name val="Times New Roman"/>
      <family val="1"/>
    </font>
    <font>
      <b/>
      <sz val="16"/>
      <name val="Times New Roman"/>
      <family val="1"/>
    </font>
    <font>
      <b/>
      <sz val="20"/>
      <name val="Times New Roman"/>
      <family val="1"/>
    </font>
    <font>
      <b/>
      <u/>
      <sz val="10"/>
      <name val="Times New Roman"/>
      <family val="1"/>
    </font>
    <font>
      <sz val="10"/>
      <name val="Arial"/>
      <family val="2"/>
    </font>
    <font>
      <sz val="12"/>
      <color indexed="8"/>
      <name val="Times New Roman"/>
      <family val="1"/>
    </font>
    <font>
      <sz val="14"/>
      <name val="Arial"/>
      <family val="2"/>
    </font>
    <font>
      <b/>
      <sz val="12"/>
      <name val="Arial"/>
      <family val="2"/>
    </font>
    <font>
      <sz val="18"/>
      <name val="Arial"/>
      <family val="2"/>
    </font>
    <font>
      <sz val="11"/>
      <name val="Arial"/>
      <family val="2"/>
    </font>
    <font>
      <b/>
      <u/>
      <sz val="12"/>
      <name val="Times New Roman"/>
      <family val="1"/>
    </font>
    <font>
      <b/>
      <i/>
      <sz val="10"/>
      <name val="Arial"/>
      <family val="2"/>
    </font>
    <font>
      <b/>
      <sz val="10"/>
      <name val="Roman"/>
      <family val="1"/>
      <charset val="255"/>
    </font>
    <font>
      <sz val="11"/>
      <color indexed="8"/>
      <name val="Calibri"/>
      <family val="2"/>
    </font>
    <font>
      <sz val="12"/>
      <color indexed="8"/>
      <name val="Times New Roman"/>
      <family val="1"/>
    </font>
    <font>
      <b/>
      <sz val="12"/>
      <color indexed="8"/>
      <name val="Times New Roman"/>
      <family val="1"/>
    </font>
    <font>
      <b/>
      <i/>
      <sz val="12"/>
      <color indexed="8"/>
      <name val="Calibri"/>
      <family val="2"/>
    </font>
    <font>
      <b/>
      <sz val="11"/>
      <color indexed="8"/>
      <name val="Times New Roman"/>
      <family val="1"/>
    </font>
    <font>
      <sz val="11"/>
      <color indexed="8"/>
      <name val="Times New Roman"/>
      <family val="1"/>
    </font>
    <font>
      <b/>
      <u/>
      <sz val="12"/>
      <color indexed="8"/>
      <name val="Times New Roman"/>
      <family val="1"/>
    </font>
    <font>
      <i/>
      <sz val="12"/>
      <color indexed="8"/>
      <name val="Times New Roman"/>
      <family val="1"/>
    </font>
    <font>
      <b/>
      <sz val="12"/>
      <color indexed="8"/>
      <name val="Calibri"/>
      <family val="2"/>
    </font>
    <font>
      <b/>
      <sz val="10"/>
      <color indexed="10"/>
      <name val="Arial"/>
      <family val="2"/>
    </font>
    <font>
      <b/>
      <i/>
      <u/>
      <sz val="12"/>
      <color indexed="8"/>
      <name val="Times New Roman"/>
      <family val="1"/>
    </font>
    <font>
      <b/>
      <i/>
      <sz val="12"/>
      <color indexed="8"/>
      <name val="Times New Roman"/>
      <family val="1"/>
    </font>
    <font>
      <b/>
      <sz val="16"/>
      <color indexed="8"/>
      <name val="Times New Roman"/>
      <family val="1"/>
    </font>
    <font>
      <b/>
      <sz val="11"/>
      <color indexed="8"/>
      <name val="Roman"/>
      <family val="1"/>
      <charset val="255"/>
    </font>
    <font>
      <sz val="12"/>
      <color indexed="8"/>
      <name val="Times"/>
      <family val="1"/>
    </font>
    <font>
      <u/>
      <sz val="12"/>
      <color indexed="8"/>
      <name val="Times New Roman"/>
      <family val="1"/>
    </font>
    <font>
      <sz val="10"/>
      <color indexed="8"/>
      <name val="Times New Roman"/>
      <family val="1"/>
    </font>
    <font>
      <sz val="10"/>
      <name val="Arial"/>
      <family val="2"/>
    </font>
    <font>
      <b/>
      <i/>
      <sz val="9"/>
      <name val="Times New Roman"/>
      <family val="1"/>
    </font>
    <font>
      <i/>
      <sz val="9"/>
      <name val="Times New Roman"/>
      <family val="1"/>
    </font>
    <font>
      <i/>
      <sz val="9"/>
      <color indexed="10"/>
      <name val="Times New Roman"/>
      <family val="1"/>
    </font>
    <font>
      <sz val="9"/>
      <name val="Arial"/>
      <family val="2"/>
    </font>
    <font>
      <b/>
      <sz val="9"/>
      <color indexed="10"/>
      <name val="Times New Roman"/>
      <family val="1"/>
    </font>
    <font>
      <b/>
      <sz val="9"/>
      <name val="MS Sans Serif"/>
      <family val="2"/>
    </font>
    <font>
      <u/>
      <sz val="9"/>
      <color indexed="12"/>
      <name val="Arial"/>
      <family val="2"/>
    </font>
    <font>
      <sz val="9"/>
      <color indexed="10"/>
      <name val="Times New Roman"/>
      <family val="1"/>
    </font>
    <font>
      <b/>
      <i/>
      <sz val="9"/>
      <color indexed="10"/>
      <name val="Times New Roman"/>
      <family val="1"/>
    </font>
    <font>
      <b/>
      <i/>
      <sz val="9"/>
      <color indexed="9"/>
      <name val="Times New Roman"/>
      <family val="1"/>
    </font>
    <font>
      <sz val="9"/>
      <color indexed="12"/>
      <name val="Times New Roman"/>
      <family val="1"/>
    </font>
    <font>
      <b/>
      <sz val="9"/>
      <color indexed="9"/>
      <name val="Times New Roman"/>
      <family val="1"/>
    </font>
    <font>
      <sz val="9"/>
      <color indexed="14"/>
      <name val="Times New Roman"/>
      <family val="1"/>
    </font>
    <font>
      <sz val="11"/>
      <color theme="1"/>
      <name val="Calibri"/>
      <family val="2"/>
      <scheme val="minor"/>
    </font>
    <font>
      <u/>
      <sz val="11"/>
      <color theme="10"/>
      <name val="Calibri"/>
      <family val="2"/>
    </font>
    <font>
      <sz val="9.5"/>
      <color rgb="FF333333"/>
      <name val="Verdana"/>
      <family val="2"/>
    </font>
    <font>
      <i/>
      <sz val="8"/>
      <name val="Arial"/>
      <family val="2"/>
    </font>
    <font>
      <b/>
      <sz val="11"/>
      <name val="Arial"/>
      <family val="2"/>
    </font>
    <font>
      <b/>
      <sz val="12"/>
      <name val="Calibri"/>
      <family val="2"/>
      <scheme val="minor"/>
    </font>
    <font>
      <sz val="12"/>
      <name val="Calibri"/>
      <family val="2"/>
      <scheme val="minor"/>
    </font>
    <font>
      <sz val="11"/>
      <color rgb="FFFF0000"/>
      <name val="Calibri"/>
      <family val="2"/>
      <scheme val="minor"/>
    </font>
    <font>
      <b/>
      <sz val="11"/>
      <name val="Times New Roman"/>
      <family val="1"/>
    </font>
    <font>
      <sz val="11"/>
      <color rgb="FF000000"/>
      <name val="Calibri"/>
      <family val="2"/>
    </font>
    <font>
      <b/>
      <sz val="14"/>
      <color rgb="FF000000"/>
      <name val="Calibri"/>
      <family val="2"/>
    </font>
    <font>
      <b/>
      <sz val="12"/>
      <color rgb="FF000000"/>
      <name val="Calibri"/>
      <family val="2"/>
    </font>
    <font>
      <sz val="11"/>
      <color rgb="FFFF0000"/>
      <name val="Calibri"/>
      <family val="2"/>
    </font>
    <font>
      <b/>
      <sz val="11"/>
      <color rgb="FF000000"/>
      <name val="Calibri"/>
      <family val="2"/>
    </font>
    <font>
      <sz val="11"/>
      <name val="Calibri"/>
      <family val="2"/>
    </font>
    <font>
      <b/>
      <sz val="9"/>
      <color rgb="FF000000"/>
      <name val="Tahoma"/>
      <family val="2"/>
    </font>
    <font>
      <sz val="9"/>
      <color rgb="FF000000"/>
      <name val="Tahoma"/>
      <family val="2"/>
    </font>
    <font>
      <sz val="18"/>
      <color theme="1"/>
      <name val="Calibri"/>
      <family val="2"/>
      <scheme val="minor"/>
    </font>
    <font>
      <b/>
      <sz val="14"/>
      <color theme="1"/>
      <name val="Calibri"/>
      <family val="2"/>
      <scheme val="minor"/>
    </font>
    <font>
      <b/>
      <sz val="10"/>
      <color theme="1"/>
      <name val="Arial"/>
      <family val="2"/>
    </font>
    <font>
      <b/>
      <sz val="8"/>
      <color theme="1"/>
      <name val="Arial"/>
      <family val="2"/>
    </font>
    <font>
      <sz val="6"/>
      <color theme="1"/>
      <name val="Calibri"/>
      <family val="2"/>
      <scheme val="minor"/>
    </font>
    <font>
      <sz val="8"/>
      <color theme="1"/>
      <name val="Arial"/>
      <family val="2"/>
    </font>
    <font>
      <sz val="12"/>
      <color theme="1"/>
      <name val="Calibri"/>
      <family val="2"/>
      <scheme val="minor"/>
    </font>
    <font>
      <sz val="11"/>
      <color rgb="FF9C0006"/>
      <name val="Calibri"/>
      <family val="2"/>
      <scheme val="minor"/>
    </font>
    <font>
      <sz val="16"/>
      <name val="Arial"/>
      <family val="2"/>
    </font>
    <font>
      <b/>
      <sz val="11"/>
      <color rgb="FF9C0006"/>
      <name val="Calibri"/>
      <family val="2"/>
      <scheme val="minor"/>
    </font>
    <font>
      <b/>
      <sz val="14"/>
      <color rgb="FF9C0006"/>
      <name val="Calibri"/>
      <family val="2"/>
      <scheme val="minor"/>
    </font>
    <font>
      <b/>
      <sz val="11"/>
      <name val="Calibri"/>
      <family val="2"/>
      <scheme val="minor"/>
    </font>
    <font>
      <b/>
      <sz val="11"/>
      <color rgb="FFC00000"/>
      <name val="Calibri"/>
      <family val="2"/>
      <scheme val="minor"/>
    </font>
    <font>
      <sz val="14"/>
      <name val="Times New Roman"/>
      <family val="1"/>
    </font>
    <font>
      <b/>
      <sz val="16"/>
      <name val="Arial"/>
      <family val="2"/>
    </font>
    <font>
      <b/>
      <sz val="16"/>
      <color rgb="FF000000"/>
      <name val="Calibri"/>
      <family val="2"/>
    </font>
    <font>
      <b/>
      <sz val="14"/>
      <color rgb="FFC00000"/>
      <name val="Calibri"/>
      <family val="2"/>
      <scheme val="minor"/>
    </font>
    <font>
      <b/>
      <sz val="10"/>
      <color rgb="FF9C0006"/>
      <name val="Arial"/>
      <family val="2"/>
    </font>
    <font>
      <sz val="9"/>
      <color rgb="FFFF0000"/>
      <name val="Times New Roman"/>
      <family val="1"/>
    </font>
    <font>
      <b/>
      <sz val="12"/>
      <color rgb="FFFF0000"/>
      <name val="Arial"/>
      <family val="2"/>
    </font>
    <font>
      <b/>
      <sz val="14"/>
      <name val="Arial"/>
      <family val="2"/>
    </font>
    <font>
      <b/>
      <sz val="10"/>
      <color rgb="FFFF0000"/>
      <name val="Arial"/>
      <family val="2"/>
    </font>
    <font>
      <sz val="14"/>
      <color rgb="FFFF0000"/>
      <name val="Arial"/>
      <family val="2"/>
    </font>
    <font>
      <b/>
      <sz val="14"/>
      <color rgb="FFFF0000"/>
      <name val="Arial"/>
      <family val="2"/>
    </font>
    <font>
      <sz val="14"/>
      <color rgb="FFFF0000"/>
      <name val="Times New Roman"/>
      <family val="1"/>
    </font>
    <font>
      <b/>
      <i/>
      <sz val="10"/>
      <color rgb="FFFF0000"/>
      <name val="Times New Roman"/>
      <family val="1"/>
    </font>
    <font>
      <sz val="9"/>
      <color indexed="81"/>
      <name val="Tahoma"/>
      <charset val="1"/>
    </font>
    <font>
      <b/>
      <sz val="9"/>
      <color indexed="81"/>
      <name val="Tahoma"/>
      <charset val="1"/>
    </font>
    <font>
      <sz val="9"/>
      <color indexed="81"/>
      <name val="Tahoma"/>
      <family val="2"/>
    </font>
  </fonts>
  <fills count="42">
    <fill>
      <patternFill patternType="none"/>
    </fill>
    <fill>
      <patternFill patternType="gray125"/>
    </fill>
    <fill>
      <patternFill patternType="solid">
        <fgColor indexed="22"/>
        <bgColor indexed="22"/>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indexed="42"/>
        <bgColor indexed="22"/>
      </patternFill>
    </fill>
    <fill>
      <patternFill patternType="solid">
        <fgColor indexed="47"/>
        <bgColor indexed="64"/>
      </patternFill>
    </fill>
    <fill>
      <patternFill patternType="solid">
        <fgColor indexed="13"/>
        <bgColor indexed="64"/>
      </patternFill>
    </fill>
    <fill>
      <patternFill patternType="solid">
        <fgColor rgb="FFEFECE1"/>
        <bgColor indexed="64"/>
      </patternFill>
    </fill>
    <fill>
      <patternFill patternType="solid">
        <fgColor rgb="FFEFECE1"/>
        <bgColor indexed="9"/>
      </patternFill>
    </fill>
    <fill>
      <patternFill patternType="solid">
        <fgColor rgb="FFFF7C80"/>
        <bgColor indexed="64"/>
      </patternFill>
    </fill>
    <fill>
      <patternFill patternType="solid">
        <fgColor theme="2"/>
        <bgColor indexed="64"/>
      </patternFill>
    </fill>
    <fill>
      <patternFill patternType="solid">
        <fgColor theme="0" tint="-0.24994659260841701"/>
        <bgColor indexed="64"/>
      </patternFill>
    </fill>
    <fill>
      <patternFill patternType="solid">
        <fgColor rgb="FFFFFFFF"/>
        <bgColor indexed="64"/>
      </patternFill>
    </fill>
    <fill>
      <patternFill patternType="solid">
        <fgColor rgb="FFFFFF00"/>
        <bgColor indexed="64"/>
      </patternFill>
    </fill>
    <fill>
      <patternFill patternType="solid">
        <fgColor rgb="FFFFFFCC"/>
        <bgColor indexed="64"/>
      </patternFill>
    </fill>
    <fill>
      <patternFill patternType="solid">
        <fgColor rgb="FFEFEBE1"/>
        <bgColor indexed="64"/>
      </patternFill>
    </fill>
    <fill>
      <patternFill patternType="solid">
        <fgColor rgb="FFCCFFCC"/>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8"/>
        <bgColor indexed="64"/>
      </patternFill>
    </fill>
    <fill>
      <patternFill patternType="solid">
        <fgColor rgb="FFF2DCDB"/>
        <bgColor rgb="FF000000"/>
      </patternFill>
    </fill>
    <fill>
      <patternFill patternType="solid">
        <fgColor rgb="FFDCE6F1"/>
        <bgColor rgb="FF000000"/>
      </patternFill>
    </fill>
    <fill>
      <patternFill patternType="solid">
        <fgColor rgb="FFD8E4BC"/>
        <bgColor rgb="FF000000"/>
      </patternFill>
    </fill>
    <fill>
      <patternFill patternType="solid">
        <fgColor rgb="FFEEECE1"/>
        <bgColor rgb="FF000000"/>
      </patternFill>
    </fill>
    <fill>
      <patternFill patternType="solid">
        <fgColor rgb="FFFFFF00"/>
        <bgColor rgb="FF000000"/>
      </patternFill>
    </fill>
    <fill>
      <patternFill patternType="lightUp">
        <fgColor rgb="FF000000"/>
        <bgColor rgb="FFDCE6F1"/>
      </patternFill>
    </fill>
    <fill>
      <patternFill patternType="lightUp">
        <fgColor rgb="FF000000"/>
        <bgColor rgb="FFD8E4BC"/>
      </patternFill>
    </fill>
    <fill>
      <patternFill patternType="lightUp">
        <fgColor rgb="FF000000"/>
        <bgColor rgb="FFF2DCDB"/>
      </patternFill>
    </fill>
    <fill>
      <patternFill patternType="lightUp">
        <fgColor rgb="FF000000"/>
        <bgColor rgb="FFEEECE1"/>
      </patternFill>
    </fill>
    <fill>
      <patternFill patternType="lightUp">
        <fgColor rgb="FF000000"/>
        <bgColor rgb="FFFFFF00"/>
      </patternFill>
    </fill>
    <fill>
      <patternFill patternType="solid">
        <fgColor theme="6" tint="0.59999389629810485"/>
        <bgColor rgb="FF000000"/>
      </patternFill>
    </fill>
    <fill>
      <patternFill patternType="solid">
        <fgColor theme="5" tint="0.79998168889431442"/>
        <bgColor indexed="64"/>
      </patternFill>
    </fill>
    <fill>
      <patternFill patternType="solid">
        <fgColor theme="3" tint="0.59999389629810485"/>
        <bgColor indexed="64"/>
      </patternFill>
    </fill>
    <fill>
      <patternFill patternType="gray0625">
        <bgColor theme="2" tint="-9.9948118533890809E-2"/>
      </patternFill>
    </fill>
    <fill>
      <patternFill patternType="solid">
        <fgColor rgb="FFFFFF99"/>
        <bgColor indexed="64"/>
      </patternFill>
    </fill>
    <fill>
      <patternFill patternType="solid">
        <fgColor rgb="FFFFC7CE"/>
      </patternFill>
    </fill>
    <fill>
      <patternFill patternType="solid">
        <fgColor theme="0" tint="-4.9989318521683403E-2"/>
        <bgColor indexed="64"/>
      </patternFill>
    </fill>
  </fills>
  <borders count="279">
    <border>
      <left/>
      <right/>
      <top/>
      <bottom/>
      <diagonal/>
    </border>
    <border>
      <left/>
      <right/>
      <top/>
      <bottom style="thin">
        <color indexed="64"/>
      </bottom>
      <diagonal/>
    </border>
    <border>
      <left/>
      <right/>
      <top/>
      <bottom style="thin">
        <color indexed="8"/>
      </bottom>
      <diagonal/>
    </border>
    <border>
      <left style="thin">
        <color indexed="8"/>
      </left>
      <right/>
      <top/>
      <bottom/>
      <diagonal/>
    </border>
    <border>
      <left style="double">
        <color indexed="64"/>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thin">
        <color indexed="64"/>
      </right>
      <top/>
      <bottom/>
      <diagonal/>
    </border>
    <border>
      <left style="thin">
        <color indexed="64"/>
      </left>
      <right style="double">
        <color indexed="64"/>
      </right>
      <top style="double">
        <color indexed="64"/>
      </top>
      <bottom/>
      <diagonal/>
    </border>
    <border>
      <left style="double">
        <color indexed="64"/>
      </left>
      <right style="thin">
        <color indexed="64"/>
      </right>
      <top/>
      <bottom/>
      <diagonal/>
    </border>
    <border>
      <left/>
      <right style="double">
        <color indexed="64"/>
      </right>
      <top/>
      <bottom/>
      <diagonal/>
    </border>
    <border>
      <left style="thin">
        <color indexed="64"/>
      </left>
      <right style="double">
        <color indexed="64"/>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double">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right/>
      <top style="thin">
        <color indexed="64"/>
      </top>
      <bottom style="thick">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style="thin">
        <color indexed="64"/>
      </left>
      <right style="thin">
        <color indexed="64"/>
      </right>
      <top style="thin">
        <color indexed="64"/>
      </top>
      <bottom style="thick">
        <color indexed="64"/>
      </bottom>
      <diagonal/>
    </border>
    <border>
      <left/>
      <right/>
      <top style="thick">
        <color indexed="64"/>
      </top>
      <bottom/>
      <diagonal/>
    </border>
    <border>
      <left style="thick">
        <color indexed="64"/>
      </left>
      <right/>
      <top/>
      <bottom/>
      <diagonal/>
    </border>
    <border>
      <left/>
      <right style="thick">
        <color indexed="64"/>
      </right>
      <top/>
      <bottom/>
      <diagonal/>
    </border>
    <border>
      <left/>
      <right/>
      <top/>
      <bottom style="thick">
        <color indexed="64"/>
      </bottom>
      <diagonal/>
    </border>
    <border>
      <left style="double">
        <color indexed="56"/>
      </left>
      <right/>
      <top style="double">
        <color indexed="56"/>
      </top>
      <bottom/>
      <diagonal/>
    </border>
    <border>
      <left/>
      <right/>
      <top style="double">
        <color indexed="56"/>
      </top>
      <bottom/>
      <diagonal/>
    </border>
    <border>
      <left/>
      <right/>
      <top style="double">
        <color indexed="56"/>
      </top>
      <bottom style="thin">
        <color indexed="56"/>
      </bottom>
      <diagonal/>
    </border>
    <border>
      <left/>
      <right style="double">
        <color indexed="56"/>
      </right>
      <top style="double">
        <color indexed="56"/>
      </top>
      <bottom/>
      <diagonal/>
    </border>
    <border>
      <left style="thin">
        <color indexed="64"/>
      </left>
      <right style="double">
        <color indexed="56"/>
      </right>
      <top style="thin">
        <color indexed="64"/>
      </top>
      <bottom/>
      <diagonal/>
    </border>
    <border>
      <left style="thin">
        <color indexed="64"/>
      </left>
      <right style="thin">
        <color indexed="64"/>
      </right>
      <top/>
      <bottom style="thick">
        <color indexed="64"/>
      </bottom>
      <diagonal/>
    </border>
    <border>
      <left style="thin">
        <color indexed="64"/>
      </left>
      <right style="double">
        <color indexed="56"/>
      </right>
      <top/>
      <bottom style="thick">
        <color indexed="64"/>
      </bottom>
      <diagonal/>
    </border>
    <border>
      <left style="double">
        <color indexed="56"/>
      </left>
      <right/>
      <top/>
      <bottom/>
      <diagonal/>
    </border>
    <border>
      <left/>
      <right style="double">
        <color indexed="56"/>
      </right>
      <top/>
      <bottom/>
      <diagonal/>
    </border>
    <border>
      <left/>
      <right/>
      <top style="thick">
        <color indexed="64"/>
      </top>
      <bottom style="thin">
        <color indexed="64"/>
      </bottom>
      <diagonal/>
    </border>
    <border>
      <left style="double">
        <color indexed="56"/>
      </left>
      <right/>
      <top/>
      <bottom style="double">
        <color indexed="56"/>
      </bottom>
      <diagonal/>
    </border>
    <border>
      <left/>
      <right/>
      <top/>
      <bottom style="double">
        <color indexed="56"/>
      </bottom>
      <diagonal/>
    </border>
    <border>
      <left/>
      <right style="thin">
        <color indexed="64"/>
      </right>
      <top/>
      <bottom style="thin">
        <color indexed="64"/>
      </bottom>
      <diagonal/>
    </border>
    <border>
      <left/>
      <right style="thin">
        <color indexed="64"/>
      </right>
      <top style="thin">
        <color indexed="64"/>
      </top>
      <bottom style="thick">
        <color indexed="64"/>
      </bottom>
      <diagonal/>
    </border>
    <border>
      <left style="double">
        <color indexed="56"/>
      </left>
      <right/>
      <top style="thick">
        <color indexed="64"/>
      </top>
      <bottom/>
      <diagonal/>
    </border>
    <border>
      <left/>
      <right style="double">
        <color indexed="56"/>
      </right>
      <top style="thick">
        <color indexed="64"/>
      </top>
      <bottom/>
      <diagonal/>
    </border>
    <border>
      <left style="thin">
        <color indexed="64"/>
      </left>
      <right style="double">
        <color indexed="56"/>
      </right>
      <top style="thin">
        <color indexed="64"/>
      </top>
      <bottom style="thin">
        <color indexed="64"/>
      </bottom>
      <diagonal/>
    </border>
    <border>
      <left style="thin">
        <color indexed="64"/>
      </left>
      <right style="double">
        <color indexed="56"/>
      </right>
      <top style="thin">
        <color indexed="64"/>
      </top>
      <bottom style="thick">
        <color indexed="64"/>
      </bottom>
      <diagonal/>
    </border>
    <border>
      <left style="double">
        <color indexed="56"/>
      </left>
      <right/>
      <top/>
      <bottom style="thick">
        <color indexed="64"/>
      </bottom>
      <diagonal/>
    </border>
    <border>
      <left/>
      <right style="double">
        <color indexed="56"/>
      </right>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double">
        <color indexed="56"/>
      </right>
      <top style="thick">
        <color indexed="64"/>
      </top>
      <bottom style="thin">
        <color indexed="64"/>
      </bottom>
      <diagonal/>
    </border>
    <border>
      <left/>
      <right style="double">
        <color indexed="56"/>
      </right>
      <top/>
      <bottom style="double">
        <color indexed="56"/>
      </bottom>
      <diagonal/>
    </border>
    <border>
      <left style="double">
        <color indexed="56"/>
      </left>
      <right/>
      <top/>
      <bottom style="thick">
        <color indexed="56"/>
      </bottom>
      <diagonal/>
    </border>
    <border>
      <left/>
      <right/>
      <top/>
      <bottom style="thick">
        <color indexed="56"/>
      </bottom>
      <diagonal/>
    </border>
    <border>
      <left/>
      <right style="double">
        <color indexed="56"/>
      </right>
      <top/>
      <bottom style="thick">
        <color indexed="56"/>
      </bottom>
      <diagonal/>
    </border>
    <border>
      <left style="double">
        <color indexed="56"/>
      </left>
      <right/>
      <top style="thick">
        <color indexed="56"/>
      </top>
      <bottom/>
      <diagonal/>
    </border>
    <border>
      <left/>
      <right/>
      <top style="thick">
        <color indexed="56"/>
      </top>
      <bottom/>
      <diagonal/>
    </border>
    <border>
      <left/>
      <right style="double">
        <color indexed="56"/>
      </right>
      <top style="thick">
        <color indexed="56"/>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double">
        <color indexed="64"/>
      </right>
      <top style="thin">
        <color indexed="64"/>
      </top>
      <bottom style="double">
        <color indexed="64"/>
      </bottom>
      <diagonal/>
    </border>
    <border>
      <left/>
      <right style="double">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right/>
      <top style="double">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style="medium">
        <color indexed="64"/>
      </right>
      <top style="medium">
        <color indexed="64"/>
      </top>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medium">
        <color indexed="64"/>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double">
        <color indexed="64"/>
      </top>
      <bottom style="thin">
        <color indexed="64"/>
      </bottom>
      <diagonal/>
    </border>
    <border>
      <left style="thick">
        <color indexed="64"/>
      </left>
      <right style="double">
        <color indexed="64"/>
      </right>
      <top style="double">
        <color indexed="64"/>
      </top>
      <bottom style="thin">
        <color indexed="64"/>
      </bottom>
      <diagonal/>
    </border>
    <border>
      <left style="thin">
        <color indexed="64"/>
      </left>
      <right style="thick">
        <color indexed="64"/>
      </right>
      <top style="thin">
        <color indexed="64"/>
      </top>
      <bottom style="double">
        <color indexed="64"/>
      </bottom>
      <diagonal/>
    </border>
    <border>
      <left style="thin">
        <color indexed="64"/>
      </left>
      <right style="thick">
        <color indexed="64"/>
      </right>
      <top style="double">
        <color indexed="64"/>
      </top>
      <bottom style="double">
        <color indexed="64"/>
      </bottom>
      <diagonal/>
    </border>
    <border>
      <left style="thick">
        <color indexed="64"/>
      </left>
      <right style="thick">
        <color indexed="64"/>
      </right>
      <top style="double">
        <color indexed="64"/>
      </top>
      <bottom style="double">
        <color indexed="64"/>
      </bottom>
      <diagonal/>
    </border>
    <border>
      <left style="thick">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medium">
        <color indexed="64"/>
      </top>
      <bottom style="double">
        <color indexed="64"/>
      </bottom>
      <diagonal/>
    </border>
    <border diagonalUp="1" diagonalDown="1">
      <left style="thin">
        <color indexed="64"/>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double">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double">
        <color indexed="8"/>
      </top>
      <bottom/>
      <diagonal/>
    </border>
    <border>
      <left style="thick">
        <color indexed="64"/>
      </left>
      <right/>
      <top style="thick">
        <color indexed="64"/>
      </top>
      <bottom style="thick">
        <color indexed="64"/>
      </bottom>
      <diagonal/>
    </border>
    <border>
      <left style="thin">
        <color indexed="64"/>
      </left>
      <right style="thick">
        <color indexed="64"/>
      </right>
      <top/>
      <bottom/>
      <diagonal/>
    </border>
    <border>
      <left style="thick">
        <color indexed="64"/>
      </left>
      <right style="thin">
        <color indexed="64"/>
      </right>
      <top/>
      <bottom/>
      <diagonal/>
    </border>
    <border>
      <left style="thick">
        <color indexed="64"/>
      </left>
      <right/>
      <top/>
      <bottom style="thick">
        <color auto="1"/>
      </bottom>
      <diagonal/>
    </border>
    <border>
      <left/>
      <right style="thick">
        <color auto="1"/>
      </right>
      <top/>
      <bottom style="thick">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right/>
      <top style="thick">
        <color indexed="64"/>
      </top>
      <bottom style="double">
        <color indexed="64"/>
      </bottom>
      <diagonal/>
    </border>
    <border>
      <left/>
      <right/>
      <top/>
      <bottom style="double">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bottom style="thin">
        <color auto="1"/>
      </bottom>
      <diagonal/>
    </border>
    <border>
      <left style="thick">
        <color indexed="64"/>
      </left>
      <right/>
      <top style="thin">
        <color indexed="64"/>
      </top>
      <bottom style="thin">
        <color indexed="64"/>
      </bottom>
      <diagonal/>
    </border>
    <border>
      <left style="thick">
        <color auto="1"/>
      </left>
      <right style="thick">
        <color auto="1"/>
      </right>
      <top/>
      <bottom/>
      <diagonal/>
    </border>
    <border>
      <left style="thick">
        <color auto="1"/>
      </left>
      <right style="thick">
        <color auto="1"/>
      </right>
      <top style="thin">
        <color auto="1"/>
      </top>
      <bottom style="thick">
        <color auto="1"/>
      </bottom>
      <diagonal/>
    </border>
    <border>
      <left style="thick">
        <color auto="1"/>
      </left>
      <right/>
      <top style="thin">
        <color auto="1"/>
      </top>
      <bottom style="thick">
        <color auto="1"/>
      </bottom>
      <diagonal/>
    </border>
    <border>
      <left/>
      <right style="thin">
        <color auto="1"/>
      </right>
      <top/>
      <bottom style="thin">
        <color auto="1"/>
      </bottom>
      <diagonal/>
    </border>
    <border>
      <left/>
      <right/>
      <top/>
      <bottom style="thin">
        <color indexed="64"/>
      </bottom>
      <diagonal/>
    </border>
    <border>
      <left style="thin">
        <color indexed="64"/>
      </left>
      <right/>
      <top/>
      <bottom style="thin">
        <color indexed="64"/>
      </bottom>
      <diagonal/>
    </border>
    <border>
      <left style="double">
        <color auto="1"/>
      </left>
      <right/>
      <top/>
      <bottom/>
      <diagonal/>
    </border>
    <border>
      <left/>
      <right style="double">
        <color auto="1"/>
      </right>
      <top style="thin">
        <color indexed="64"/>
      </top>
      <bottom/>
      <diagonal/>
    </border>
    <border>
      <left/>
      <right style="double">
        <color auto="1"/>
      </right>
      <top/>
      <bottom style="thin">
        <color auto="1"/>
      </bottom>
      <diagonal/>
    </border>
    <border>
      <left/>
      <right style="double">
        <color auto="1"/>
      </right>
      <top/>
      <bottom/>
      <diagonal/>
    </border>
    <border>
      <left/>
      <right style="double">
        <color auto="1"/>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diagonalUp="1" diagonalDown="1">
      <left/>
      <right/>
      <top style="thin">
        <color indexed="64"/>
      </top>
      <bottom/>
      <diagonal style="thin">
        <color indexed="64"/>
      </diagonal>
    </border>
    <border diagonalUp="1" diagonalDown="1">
      <left/>
      <right/>
      <top/>
      <bottom/>
      <diagonal style="thin">
        <color indexed="64"/>
      </diagonal>
    </border>
    <border diagonalUp="1" diagonalDown="1">
      <left/>
      <right/>
      <top/>
      <bottom style="thin">
        <color indexed="64"/>
      </bottom>
      <diagonal style="thin">
        <color indexed="64"/>
      </diagonal>
    </border>
    <border>
      <left style="thin">
        <color indexed="64"/>
      </left>
      <right style="double">
        <color indexed="64"/>
      </right>
      <top style="double">
        <color indexed="64"/>
      </top>
      <bottom style="thin">
        <color indexed="64"/>
      </bottom>
      <diagonal/>
    </border>
    <border>
      <left/>
      <right/>
      <top style="thick">
        <color indexed="64"/>
      </top>
      <bottom style="thin">
        <color indexed="64"/>
      </bottom>
      <diagonal/>
    </border>
    <border>
      <left/>
      <right style="medium">
        <color indexed="64"/>
      </right>
      <top style="thin">
        <color auto="1"/>
      </top>
      <bottom style="thin">
        <color indexed="64"/>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indexed="64"/>
      </left>
      <right/>
      <top style="double">
        <color indexed="64"/>
      </top>
      <bottom/>
      <diagonal/>
    </border>
    <border>
      <left style="thin">
        <color auto="1"/>
      </left>
      <right/>
      <top/>
      <bottom/>
      <diagonal/>
    </border>
    <border>
      <left/>
      <right style="thin">
        <color auto="1"/>
      </right>
      <top style="thick">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bottom style="thin">
        <color auto="1"/>
      </bottom>
      <diagonal/>
    </border>
    <border>
      <left/>
      <right style="thick">
        <color auto="1"/>
      </right>
      <top style="thin">
        <color indexed="64"/>
      </top>
      <bottom style="thin">
        <color indexed="64"/>
      </bottom>
      <diagonal/>
    </border>
    <border>
      <left/>
      <right style="thick">
        <color auto="1"/>
      </right>
      <top style="double">
        <color indexed="64"/>
      </top>
      <bottom/>
      <diagonal/>
    </border>
    <border>
      <left/>
      <right style="thick">
        <color auto="1"/>
      </right>
      <top/>
      <bottom style="thin">
        <color auto="1"/>
      </bottom>
      <diagonal/>
    </border>
    <border>
      <left style="double">
        <color auto="1"/>
      </left>
      <right/>
      <top/>
      <bottom style="thin">
        <color auto="1"/>
      </bottom>
      <diagonal/>
    </border>
    <border>
      <left/>
      <right style="thick">
        <color auto="1"/>
      </right>
      <top style="thin">
        <color auto="1"/>
      </top>
      <bottom/>
      <diagonal/>
    </border>
    <border>
      <left style="thick">
        <color auto="1"/>
      </left>
      <right/>
      <top style="thin">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double">
        <color auto="1"/>
      </top>
      <bottom style="thin">
        <color auto="1"/>
      </bottom>
      <diagonal/>
    </border>
    <border>
      <left style="thick">
        <color auto="1"/>
      </left>
      <right style="thin">
        <color auto="1"/>
      </right>
      <top style="thin">
        <color auto="1"/>
      </top>
      <bottom style="double">
        <color auto="1"/>
      </bottom>
      <diagonal/>
    </border>
    <border>
      <left style="thin">
        <color indexed="64"/>
      </left>
      <right/>
      <top/>
      <bottom style="double">
        <color auto="1"/>
      </bottom>
      <diagonal/>
    </border>
    <border>
      <left/>
      <right/>
      <top/>
      <bottom style="double">
        <color auto="1"/>
      </bottom>
      <diagonal/>
    </border>
    <border>
      <left/>
      <right style="double">
        <color auto="1"/>
      </right>
      <top/>
      <bottom style="double">
        <color auto="1"/>
      </bottom>
      <diagonal/>
    </border>
    <border>
      <left style="thick">
        <color auto="1"/>
      </left>
      <right/>
      <top style="double">
        <color auto="1"/>
      </top>
      <bottom style="thin">
        <color auto="1"/>
      </bottom>
      <diagonal/>
    </border>
    <border>
      <left style="double">
        <color indexed="64"/>
      </left>
      <right/>
      <top style="thin">
        <color indexed="64"/>
      </top>
      <bottom/>
      <diagonal/>
    </border>
    <border>
      <left style="thin">
        <color indexed="64"/>
      </left>
      <right/>
      <top/>
      <bottom style="thick">
        <color indexed="64"/>
      </bottom>
      <diagonal/>
    </border>
    <border>
      <left/>
      <right style="double">
        <color auto="1"/>
      </right>
      <top style="thin">
        <color indexed="64"/>
      </top>
      <bottom style="thin">
        <color auto="1"/>
      </bottom>
      <diagonal/>
    </border>
    <border>
      <left style="double">
        <color auto="1"/>
      </left>
      <right style="double">
        <color indexed="64"/>
      </right>
      <top style="thick">
        <color auto="1"/>
      </top>
      <bottom/>
      <diagonal/>
    </border>
    <border>
      <left style="double">
        <color auto="1"/>
      </left>
      <right style="double">
        <color auto="1"/>
      </right>
      <top/>
      <bottom style="thick">
        <color auto="1"/>
      </bottom>
      <diagonal/>
    </border>
    <border>
      <left style="thick">
        <color auto="1"/>
      </left>
      <right/>
      <top style="thin">
        <color auto="1"/>
      </top>
      <bottom style="double">
        <color indexed="64"/>
      </bottom>
      <diagonal/>
    </border>
    <border>
      <left style="medium">
        <color indexed="64"/>
      </left>
      <right/>
      <top style="thin">
        <color indexed="64"/>
      </top>
      <bottom style="thin">
        <color indexed="64"/>
      </bottom>
      <diagonal/>
    </border>
    <border>
      <left/>
      <right style="thin">
        <color auto="1"/>
      </right>
      <top/>
      <bottom style="thick">
        <color auto="1"/>
      </bottom>
      <diagonal/>
    </border>
    <border>
      <left style="thick">
        <color auto="1"/>
      </left>
      <right style="thin">
        <color auto="1"/>
      </right>
      <top/>
      <bottom style="thick">
        <color auto="1"/>
      </bottom>
      <diagonal/>
    </border>
    <border>
      <left style="thin">
        <color auto="1"/>
      </left>
      <right style="thick">
        <color auto="1"/>
      </right>
      <top style="thin">
        <color auto="1"/>
      </top>
      <bottom/>
      <diagonal/>
    </border>
    <border>
      <left style="thin">
        <color indexed="64"/>
      </left>
      <right/>
      <top style="thick">
        <color auto="1"/>
      </top>
      <bottom/>
      <diagonal/>
    </border>
    <border>
      <left style="thin">
        <color auto="1"/>
      </left>
      <right/>
      <top/>
      <bottom style="thick">
        <color auto="1"/>
      </bottom>
      <diagonal/>
    </border>
    <border>
      <left/>
      <right style="thick">
        <color auto="1"/>
      </right>
      <top/>
      <bottom style="thick">
        <color auto="1"/>
      </bottom>
      <diagonal/>
    </border>
    <border>
      <left style="thick">
        <color auto="1"/>
      </left>
      <right/>
      <top/>
      <bottom style="double">
        <color auto="1"/>
      </bottom>
      <diagonal/>
    </border>
    <border>
      <left/>
      <right style="thick">
        <color auto="1"/>
      </right>
      <top/>
      <bottom style="double">
        <color auto="1"/>
      </bottom>
      <diagonal/>
    </border>
  </borders>
  <cellStyleXfs count="21">
    <xf numFmtId="0" fontId="0" fillId="0" borderId="0"/>
    <xf numFmtId="43" fontId="43" fillId="0" borderId="0" applyFont="0" applyFill="0" applyBorder="0" applyAlignment="0" applyProtection="0"/>
    <xf numFmtId="44" fontId="43" fillId="0" borderId="0" applyFont="0" applyFill="0" applyBorder="0" applyAlignment="0" applyProtection="0"/>
    <xf numFmtId="44" fontId="52" fillId="0" borderId="0" applyFont="0" applyFill="0" applyBorder="0" applyAlignment="0" applyProtection="0"/>
    <xf numFmtId="167" fontId="1" fillId="0" borderId="1"/>
    <xf numFmtId="167" fontId="69" fillId="0" borderId="1"/>
    <xf numFmtId="167" fontId="43" fillId="0" borderId="1"/>
    <xf numFmtId="167" fontId="2" fillId="0" borderId="0" applyBorder="0"/>
    <xf numFmtId="0" fontId="3" fillId="0" borderId="2">
      <alignment vertical="center"/>
    </xf>
    <xf numFmtId="0" fontId="4" fillId="0" borderId="0" applyNumberFormat="0" applyFill="0" applyBorder="0" applyAlignment="0" applyProtection="0">
      <alignment vertical="top"/>
      <protection locked="0"/>
    </xf>
    <xf numFmtId="38" fontId="5" fillId="0" borderId="0"/>
    <xf numFmtId="173" fontId="22" fillId="0" borderId="0"/>
    <xf numFmtId="0" fontId="69" fillId="0" borderId="0"/>
    <xf numFmtId="0" fontId="43" fillId="0" borderId="0"/>
    <xf numFmtId="0" fontId="83" fillId="0" borderId="0"/>
    <xf numFmtId="0" fontId="6" fillId="0" borderId="0"/>
    <xf numFmtId="0" fontId="6" fillId="0" borderId="0"/>
    <xf numFmtId="9" fontId="43" fillId="0" borderId="0" applyFont="0" applyFill="0" applyBorder="0" applyAlignment="0" applyProtection="0"/>
    <xf numFmtId="9" fontId="52" fillId="0" borderId="0" applyFont="0" applyFill="0" applyBorder="0" applyAlignment="0" applyProtection="0"/>
    <xf numFmtId="171" fontId="3" fillId="2" borderId="3"/>
    <xf numFmtId="0" fontId="107" fillId="40" borderId="0" applyNumberFormat="0" applyBorder="0" applyAlignment="0" applyProtection="0"/>
  </cellStyleXfs>
  <cellXfs count="2174">
    <xf numFmtId="0" fontId="0" fillId="0" borderId="0" xfId="0"/>
    <xf numFmtId="0" fontId="7" fillId="0" borderId="0" xfId="0" applyFont="1" applyProtection="1"/>
    <xf numFmtId="0" fontId="9" fillId="0" borderId="0" xfId="0" applyFont="1" applyBorder="1" applyProtection="1"/>
    <xf numFmtId="0" fontId="9" fillId="0" borderId="0" xfId="0" applyFont="1" applyProtection="1"/>
    <xf numFmtId="0" fontId="19" fillId="0" borderId="0" xfId="0" applyFont="1" applyProtection="1"/>
    <xf numFmtId="0" fontId="9" fillId="0" borderId="0" xfId="0" applyFont="1" applyBorder="1" applyAlignment="1" applyProtection="1">
      <alignment horizontal="center"/>
    </xf>
    <xf numFmtId="0" fontId="20" fillId="0" borderId="0" xfId="0" applyFont="1" applyBorder="1" applyProtection="1"/>
    <xf numFmtId="0" fontId="19" fillId="0" borderId="0" xfId="0" applyFont="1" applyBorder="1" applyProtection="1"/>
    <xf numFmtId="0" fontId="15" fillId="0" borderId="0" xfId="0" applyFont="1" applyBorder="1" applyProtection="1"/>
    <xf numFmtId="0" fontId="12" fillId="3" borderId="4" xfId="0" applyFont="1" applyFill="1" applyBorder="1" applyAlignment="1" applyProtection="1">
      <alignment horizontal="left"/>
    </xf>
    <xf numFmtId="0" fontId="12" fillId="3" borderId="5" xfId="0" applyFont="1" applyFill="1" applyBorder="1" applyAlignment="1" applyProtection="1">
      <alignment horizontal="centerContinuous"/>
    </xf>
    <xf numFmtId="0" fontId="12" fillId="3" borderId="6" xfId="0" applyFont="1" applyFill="1" applyBorder="1" applyAlignment="1" applyProtection="1">
      <alignment horizontal="left"/>
    </xf>
    <xf numFmtId="0" fontId="12" fillId="3" borderId="7" xfId="0" applyFont="1" applyFill="1" applyBorder="1" applyAlignment="1" applyProtection="1">
      <alignment horizontal="left"/>
    </xf>
    <xf numFmtId="0" fontId="12" fillId="3" borderId="8" xfId="0" applyFont="1" applyFill="1" applyBorder="1" applyAlignment="1" applyProtection="1">
      <alignment horizontal="centerContinuous"/>
    </xf>
    <xf numFmtId="0" fontId="12" fillId="3" borderId="9" xfId="0" applyFont="1" applyFill="1" applyBorder="1" applyAlignment="1" applyProtection="1">
      <alignment horizontal="left"/>
    </xf>
    <xf numFmtId="0" fontId="12" fillId="3" borderId="5" xfId="0" applyFont="1" applyFill="1" applyBorder="1" applyAlignment="1" applyProtection="1">
      <alignment horizontal="left"/>
    </xf>
    <xf numFmtId="0" fontId="12" fillId="3" borderId="6" xfId="0" applyFont="1" applyFill="1" applyBorder="1" applyAlignment="1" applyProtection="1">
      <alignment horizontal="center"/>
    </xf>
    <xf numFmtId="0" fontId="12" fillId="3" borderId="7" xfId="0" applyFont="1" applyFill="1" applyBorder="1" applyAlignment="1" applyProtection="1">
      <alignment horizontal="center"/>
    </xf>
    <xf numFmtId="0" fontId="12" fillId="3" borderId="5" xfId="0" applyFont="1" applyFill="1" applyBorder="1" applyAlignment="1" applyProtection="1">
      <alignment horizontal="center"/>
    </xf>
    <xf numFmtId="0" fontId="12" fillId="3" borderId="8" xfId="0" applyFont="1" applyFill="1" applyBorder="1" applyAlignment="1" applyProtection="1">
      <alignment horizontal="center" wrapText="1"/>
    </xf>
    <xf numFmtId="0" fontId="7" fillId="0" borderId="0" xfId="0" applyFont="1" applyBorder="1" applyProtection="1"/>
    <xf numFmtId="0" fontId="9" fillId="0" borderId="0" xfId="0" applyFont="1"/>
    <xf numFmtId="0" fontId="22" fillId="0" borderId="0" xfId="0" applyFont="1" applyProtection="1"/>
    <xf numFmtId="0" fontId="9" fillId="0" borderId="0" xfId="0" applyFont="1" applyBorder="1"/>
    <xf numFmtId="0" fontId="0" fillId="0" borderId="0" xfId="0" applyProtection="1"/>
    <xf numFmtId="0" fontId="9" fillId="0" borderId="0" xfId="16" applyFont="1" applyBorder="1"/>
    <xf numFmtId="0" fontId="9" fillId="0" borderId="0" xfId="16" applyFont="1" applyAlignment="1"/>
    <xf numFmtId="0" fontId="9" fillId="0" borderId="0" xfId="16" applyFont="1"/>
    <xf numFmtId="0" fontId="30" fillId="0" borderId="10" xfId="0" applyFont="1" applyFill="1" applyBorder="1"/>
    <xf numFmtId="0" fontId="22" fillId="0" borderId="10" xfId="0" applyFont="1" applyFill="1" applyBorder="1" applyAlignment="1">
      <alignment horizontal="left"/>
    </xf>
    <xf numFmtId="0" fontId="30" fillId="0" borderId="0" xfId="16" applyFont="1"/>
    <xf numFmtId="0" fontId="30" fillId="3" borderId="11" xfId="16" applyFont="1" applyFill="1" applyBorder="1" applyAlignment="1">
      <alignment horizontal="centerContinuous"/>
    </xf>
    <xf numFmtId="0" fontId="29" fillId="0" borderId="0" xfId="0" applyFont="1"/>
    <xf numFmtId="0" fontId="30" fillId="0" borderId="11" xfId="16" applyFont="1" applyBorder="1" applyAlignment="1">
      <alignment horizontal="center"/>
    </xf>
    <xf numFmtId="0" fontId="33" fillId="0" borderId="12" xfId="0" applyFont="1" applyBorder="1"/>
    <xf numFmtId="0" fontId="9" fillId="0" borderId="13" xfId="0" applyFont="1" applyBorder="1"/>
    <xf numFmtId="167" fontId="22" fillId="0" borderId="14" xfId="0" applyNumberFormat="1" applyFont="1" applyBorder="1"/>
    <xf numFmtId="167" fontId="22" fillId="0" borderId="15" xfId="0" applyNumberFormat="1" applyFont="1" applyBorder="1"/>
    <xf numFmtId="167" fontId="9" fillId="0" borderId="14" xfId="0" applyNumberFormat="1" applyFont="1" applyBorder="1"/>
    <xf numFmtId="167" fontId="9" fillId="0" borderId="15" xfId="0" applyNumberFormat="1" applyFont="1" applyBorder="1"/>
    <xf numFmtId="167" fontId="9" fillId="0" borderId="16" xfId="0" applyNumberFormat="1" applyFont="1" applyBorder="1"/>
    <xf numFmtId="0" fontId="9" fillId="0" borderId="10" xfId="0" applyFont="1" applyBorder="1"/>
    <xf numFmtId="0" fontId="9" fillId="0" borderId="17" xfId="0" applyFont="1" applyBorder="1"/>
    <xf numFmtId="6" fontId="22" fillId="0" borderId="14" xfId="0" applyNumberFormat="1" applyFont="1" applyBorder="1"/>
    <xf numFmtId="6" fontId="22" fillId="0" borderId="18" xfId="0" applyNumberFormat="1" applyFont="1" applyBorder="1"/>
    <xf numFmtId="6" fontId="22" fillId="0" borderId="16" xfId="0" applyNumberFormat="1" applyFont="1" applyBorder="1"/>
    <xf numFmtId="0" fontId="21" fillId="0" borderId="0" xfId="16" applyFont="1"/>
    <xf numFmtId="0" fontId="33" fillId="0" borderId="10" xfId="0" applyFont="1" applyBorder="1"/>
    <xf numFmtId="0" fontId="21" fillId="0" borderId="17" xfId="0" applyFont="1" applyBorder="1"/>
    <xf numFmtId="6" fontId="30" fillId="0" borderId="14" xfId="0" applyNumberFormat="1" applyFont="1" applyBorder="1"/>
    <xf numFmtId="6" fontId="30" fillId="0" borderId="16" xfId="0" applyNumberFormat="1" applyFont="1" applyBorder="1"/>
    <xf numFmtId="0" fontId="33" fillId="0" borderId="10" xfId="0" applyFont="1" applyBorder="1" applyAlignment="1">
      <alignment horizontal="left"/>
    </xf>
    <xf numFmtId="0" fontId="9" fillId="0" borderId="10" xfId="0" applyFont="1" applyBorder="1" applyAlignment="1">
      <alignment horizontal="left"/>
    </xf>
    <xf numFmtId="0" fontId="9" fillId="0" borderId="10" xfId="0" quotePrefix="1" applyFont="1" applyBorder="1" applyAlignment="1">
      <alignment horizontal="left"/>
    </xf>
    <xf numFmtId="0" fontId="21" fillId="0" borderId="10" xfId="0" applyFont="1" applyBorder="1"/>
    <xf numFmtId="6" fontId="30" fillId="0" borderId="18" xfId="0" applyNumberFormat="1" applyFont="1" applyBorder="1"/>
    <xf numFmtId="0" fontId="34" fillId="0" borderId="10" xfId="0" applyFont="1" applyBorder="1"/>
    <xf numFmtId="0" fontId="21" fillId="0" borderId="10" xfId="0" applyFont="1" applyBorder="1" applyAlignment="1">
      <alignment horizontal="left"/>
    </xf>
    <xf numFmtId="0" fontId="33" fillId="3" borderId="19" xfId="0" applyFont="1" applyFill="1" applyBorder="1"/>
    <xf numFmtId="0" fontId="21" fillId="3" borderId="20" xfId="0" applyFont="1" applyFill="1" applyBorder="1"/>
    <xf numFmtId="6" fontId="30" fillId="3" borderId="21" xfId="0" applyNumberFormat="1" applyFont="1" applyFill="1" applyBorder="1"/>
    <xf numFmtId="6" fontId="30" fillId="3" borderId="22" xfId="0" applyNumberFormat="1" applyFont="1" applyFill="1" applyBorder="1"/>
    <xf numFmtId="6" fontId="30" fillId="3" borderId="23" xfId="0" applyNumberFormat="1" applyFont="1" applyFill="1" applyBorder="1"/>
    <xf numFmtId="6" fontId="22" fillId="0" borderId="17" xfId="0" applyNumberFormat="1" applyFont="1" applyBorder="1"/>
    <xf numFmtId="0" fontId="21" fillId="0" borderId="0" xfId="0" applyFont="1" applyBorder="1"/>
    <xf numFmtId="0" fontId="8" fillId="0" borderId="10" xfId="0" applyFont="1" applyBorder="1"/>
    <xf numFmtId="6" fontId="22" fillId="0" borderId="10" xfId="0" applyNumberFormat="1" applyFont="1" applyBorder="1"/>
    <xf numFmtId="0" fontId="9" fillId="0" borderId="24" xfId="0" applyFont="1" applyBorder="1"/>
    <xf numFmtId="0" fontId="9" fillId="0" borderId="25" xfId="0" applyFont="1" applyBorder="1"/>
    <xf numFmtId="2" fontId="22" fillId="0" borderId="24" xfId="0" applyNumberFormat="1" applyFont="1" applyBorder="1" applyAlignment="1">
      <alignment horizontal="center"/>
    </xf>
    <xf numFmtId="0" fontId="22" fillId="0" borderId="25" xfId="0" applyFont="1" applyBorder="1" applyAlignment="1">
      <alignment horizontal="center"/>
    </xf>
    <xf numFmtId="0" fontId="35" fillId="0" borderId="0" xfId="0" applyFont="1" applyProtection="1"/>
    <xf numFmtId="6" fontId="22" fillId="4" borderId="16" xfId="16" applyNumberFormat="1" applyFont="1" applyFill="1" applyBorder="1" applyAlignment="1" applyProtection="1">
      <alignment horizontal="right"/>
      <protection locked="0"/>
    </xf>
    <xf numFmtId="0" fontId="22" fillId="0" borderId="0" xfId="16" applyFont="1" applyBorder="1" applyProtection="1"/>
    <xf numFmtId="0" fontId="30" fillId="3" borderId="26" xfId="16" applyFont="1" applyFill="1" applyBorder="1" applyAlignment="1" applyProtection="1">
      <alignment horizontal="centerContinuous"/>
    </xf>
    <xf numFmtId="0" fontId="30" fillId="3" borderId="27" xfId="16" applyFont="1" applyFill="1" applyBorder="1" applyAlignment="1" applyProtection="1">
      <alignment horizontal="centerContinuous"/>
    </xf>
    <xf numFmtId="0" fontId="22" fillId="3" borderId="27" xfId="16" applyFont="1" applyFill="1" applyBorder="1" applyAlignment="1" applyProtection="1">
      <alignment horizontal="centerContinuous"/>
    </xf>
    <xf numFmtId="0" fontId="22" fillId="3" borderId="28" xfId="16" applyFont="1" applyFill="1" applyBorder="1" applyAlignment="1" applyProtection="1">
      <alignment horizontal="centerContinuous"/>
    </xf>
    <xf numFmtId="0" fontId="30" fillId="0" borderId="0" xfId="16" applyFont="1" applyBorder="1" applyAlignment="1" applyProtection="1">
      <alignment horizontal="center"/>
    </xf>
    <xf numFmtId="0" fontId="30" fillId="3" borderId="29" xfId="16" applyFont="1" applyFill="1" applyBorder="1" applyAlignment="1" applyProtection="1">
      <alignment horizontal="center"/>
    </xf>
    <xf numFmtId="0" fontId="22" fillId="0" borderId="29" xfId="16" applyFont="1" applyBorder="1" applyAlignment="1" applyProtection="1">
      <alignment horizontal="center"/>
    </xf>
    <xf numFmtId="6" fontId="22" fillId="0" borderId="29" xfId="16" applyNumberFormat="1" applyFont="1" applyBorder="1" applyAlignment="1" applyProtection="1">
      <alignment horizontal="center"/>
    </xf>
    <xf numFmtId="6" fontId="22" fillId="0" borderId="29" xfId="0" applyNumberFormat="1" applyFont="1" applyBorder="1" applyProtection="1"/>
    <xf numFmtId="9" fontId="22" fillId="0" borderId="29" xfId="0" applyNumberFormat="1" applyFont="1" applyBorder="1" applyProtection="1"/>
    <xf numFmtId="9" fontId="30" fillId="4" borderId="29" xfId="16" applyNumberFormat="1" applyFont="1" applyFill="1" applyBorder="1" applyAlignment="1" applyProtection="1">
      <alignment horizontal="center"/>
      <protection locked="0"/>
    </xf>
    <xf numFmtId="0" fontId="0" fillId="0" borderId="0" xfId="0" applyAlignment="1"/>
    <xf numFmtId="0" fontId="9" fillId="0" borderId="0" xfId="0" applyFont="1" applyAlignment="1" applyProtection="1">
      <alignment horizontal="center"/>
    </xf>
    <xf numFmtId="169" fontId="36" fillId="0" borderId="0" xfId="0" applyNumberFormat="1" applyFont="1"/>
    <xf numFmtId="169" fontId="28" fillId="0" borderId="0" xfId="0" applyNumberFormat="1" applyFont="1"/>
    <xf numFmtId="0" fontId="0" fillId="0" borderId="0" xfId="0" applyAlignment="1" applyProtection="1"/>
    <xf numFmtId="0" fontId="0" fillId="0" borderId="30" xfId="0" applyBorder="1" applyProtection="1"/>
    <xf numFmtId="22" fontId="38" fillId="0" borderId="30" xfId="0" applyNumberFormat="1" applyFont="1" applyBorder="1" applyProtection="1"/>
    <xf numFmtId="0" fontId="0" fillId="0" borderId="0" xfId="0" applyAlignment="1" applyProtection="1">
      <alignment horizontal="center"/>
    </xf>
    <xf numFmtId="0" fontId="9" fillId="0" borderId="0" xfId="0" applyFont="1" applyAlignment="1">
      <alignment horizontal="center"/>
    </xf>
    <xf numFmtId="0" fontId="9" fillId="5" borderId="0" xfId="0" applyFont="1" applyFill="1" applyAlignment="1" applyProtection="1">
      <alignment horizontal="centerContinuous"/>
    </xf>
    <xf numFmtId="0" fontId="9" fillId="5" borderId="0" xfId="0" applyFont="1" applyFill="1" applyAlignment="1" applyProtection="1"/>
    <xf numFmtId="0" fontId="13" fillId="3" borderId="26" xfId="0" applyFont="1" applyFill="1" applyBorder="1" applyAlignment="1" applyProtection="1">
      <alignment horizontal="centerContinuous"/>
    </xf>
    <xf numFmtId="0" fontId="42" fillId="3" borderId="27" xfId="0" applyFont="1" applyFill="1" applyBorder="1" applyAlignment="1" applyProtection="1">
      <alignment horizontal="centerContinuous"/>
    </xf>
    <xf numFmtId="0" fontId="9" fillId="3" borderId="27" xfId="0" applyFont="1" applyFill="1" applyBorder="1" applyAlignment="1" applyProtection="1">
      <alignment horizontal="centerContinuous"/>
    </xf>
    <xf numFmtId="0" fontId="9" fillId="3" borderId="28" xfId="0" applyFont="1" applyFill="1" applyBorder="1" applyAlignment="1" applyProtection="1">
      <alignment horizontal="centerContinuous"/>
    </xf>
    <xf numFmtId="0" fontId="0" fillId="0" borderId="0" xfId="0" quotePrefix="1" applyNumberFormat="1"/>
    <xf numFmtId="0" fontId="22" fillId="5" borderId="27" xfId="0" applyFont="1" applyFill="1" applyBorder="1" applyAlignment="1" applyProtection="1">
      <alignment horizontal="left"/>
      <protection locked="0"/>
    </xf>
    <xf numFmtId="167" fontId="22" fillId="5" borderId="26" xfId="0" applyNumberFormat="1" applyFont="1" applyFill="1" applyBorder="1" applyAlignment="1" applyProtection="1">
      <alignment horizontal="left"/>
      <protection locked="0"/>
    </xf>
    <xf numFmtId="0" fontId="6" fillId="0" borderId="0" xfId="0" applyFont="1" applyProtection="1"/>
    <xf numFmtId="0" fontId="18" fillId="0" borderId="0" xfId="0" applyFont="1"/>
    <xf numFmtId="14" fontId="0" fillId="0" borderId="0" xfId="0" applyNumberFormat="1"/>
    <xf numFmtId="0" fontId="43" fillId="0" borderId="0" xfId="0" applyFont="1"/>
    <xf numFmtId="0" fontId="0" fillId="0" borderId="0" xfId="0" applyAlignment="1">
      <alignment wrapText="1"/>
    </xf>
    <xf numFmtId="0" fontId="40" fillId="5" borderId="0" xfId="0" applyFont="1" applyFill="1" applyBorder="1" applyAlignment="1" applyProtection="1">
      <alignment horizontal="left" wrapText="1"/>
    </xf>
    <xf numFmtId="0" fontId="6" fillId="6" borderId="31" xfId="0" applyFont="1" applyFill="1" applyBorder="1" applyAlignment="1" applyProtection="1">
      <alignment horizontal="justify" vertical="top" wrapText="1"/>
      <protection locked="0"/>
    </xf>
    <xf numFmtId="0" fontId="21" fillId="6" borderId="31" xfId="0" applyFont="1" applyFill="1" applyBorder="1" applyAlignment="1" applyProtection="1">
      <alignment horizontal="justify" vertical="top" wrapText="1"/>
      <protection locked="0"/>
    </xf>
    <xf numFmtId="14" fontId="21" fillId="6" borderId="31" xfId="0" applyNumberFormat="1" applyFont="1" applyFill="1" applyBorder="1" applyAlignment="1" applyProtection="1">
      <alignment horizontal="justify" vertical="top" wrapText="1"/>
      <protection locked="0"/>
    </xf>
    <xf numFmtId="0" fontId="6" fillId="6" borderId="32" xfId="0" applyFont="1" applyFill="1" applyBorder="1" applyAlignment="1" applyProtection="1">
      <alignment horizontal="justify" vertical="top" wrapText="1"/>
      <protection locked="0"/>
    </xf>
    <xf numFmtId="0" fontId="21" fillId="6" borderId="32" xfId="0" applyFont="1" applyFill="1" applyBorder="1" applyAlignment="1" applyProtection="1">
      <alignment horizontal="justify" vertical="top" wrapText="1"/>
      <protection locked="0"/>
    </xf>
    <xf numFmtId="14" fontId="21" fillId="6" borderId="32" xfId="0" applyNumberFormat="1" applyFont="1" applyFill="1" applyBorder="1" applyAlignment="1" applyProtection="1">
      <alignment horizontal="justify" vertical="top" wrapText="1"/>
      <protection locked="0"/>
    </xf>
    <xf numFmtId="0" fontId="9" fillId="7" borderId="0" xfId="0" applyFont="1" applyFill="1"/>
    <xf numFmtId="3" fontId="22" fillId="6" borderId="33" xfId="0" applyNumberFormat="1" applyFont="1" applyFill="1" applyBorder="1" applyAlignment="1" applyProtection="1">
      <alignment horizontal="center"/>
      <protection locked="0"/>
    </xf>
    <xf numFmtId="0" fontId="19" fillId="0" borderId="33" xfId="0" applyFont="1" applyBorder="1" applyAlignment="1" applyProtection="1">
      <alignment horizontal="center"/>
    </xf>
    <xf numFmtId="3" fontId="22" fillId="6" borderId="29" xfId="0" applyNumberFormat="1" applyFont="1" applyFill="1" applyBorder="1" applyAlignment="1" applyProtection="1">
      <alignment horizontal="center"/>
      <protection locked="0"/>
    </xf>
    <xf numFmtId="165" fontId="19" fillId="0" borderId="29" xfId="0" applyNumberFormat="1" applyFont="1" applyFill="1" applyBorder="1" applyAlignment="1" applyProtection="1">
      <alignment horizontal="center"/>
    </xf>
    <xf numFmtId="165" fontId="19" fillId="0" borderId="34" xfId="0" applyNumberFormat="1" applyFont="1" applyFill="1" applyBorder="1" applyAlignment="1" applyProtection="1">
      <alignment horizontal="center"/>
    </xf>
    <xf numFmtId="165" fontId="19" fillId="4" borderId="29" xfId="0" applyNumberFormat="1" applyFont="1" applyFill="1" applyBorder="1" applyAlignment="1" applyProtection="1">
      <alignment horizontal="center"/>
      <protection locked="0"/>
    </xf>
    <xf numFmtId="165" fontId="24" fillId="0" borderId="29" xfId="0" applyNumberFormat="1" applyFont="1" applyFill="1" applyBorder="1" applyAlignment="1" applyProtection="1">
      <alignment horizontal="center"/>
    </xf>
    <xf numFmtId="3" fontId="19" fillId="0" borderId="33" xfId="0" applyNumberFormat="1" applyFont="1" applyBorder="1" applyAlignment="1" applyProtection="1">
      <alignment horizontal="center"/>
    </xf>
    <xf numFmtId="3" fontId="19" fillId="0" borderId="29" xfId="0" applyNumberFormat="1" applyFont="1" applyFill="1" applyBorder="1" applyAlignment="1" applyProtection="1">
      <alignment horizontal="center"/>
    </xf>
    <xf numFmtId="3" fontId="24" fillId="0" borderId="29" xfId="0" applyNumberFormat="1" applyFont="1" applyFill="1" applyBorder="1" applyAlignment="1" applyProtection="1">
      <alignment horizontal="center"/>
    </xf>
    <xf numFmtId="168" fontId="21" fillId="6" borderId="35" xfId="0" applyNumberFormat="1" applyFont="1" applyFill="1" applyBorder="1" applyAlignment="1" applyProtection="1">
      <alignment horizontal="right"/>
      <protection locked="0"/>
    </xf>
    <xf numFmtId="167" fontId="22" fillId="6" borderId="35" xfId="0" applyNumberFormat="1" applyFont="1" applyFill="1" applyBorder="1" applyAlignment="1" applyProtection="1">
      <alignment horizontal="right"/>
      <protection locked="0"/>
    </xf>
    <xf numFmtId="0" fontId="9" fillId="6" borderId="36" xfId="0" applyFont="1" applyFill="1" applyBorder="1" applyAlignment="1" applyProtection="1">
      <alignment horizontal="left" wrapText="1"/>
      <protection locked="0"/>
    </xf>
    <xf numFmtId="168" fontId="21" fillId="6" borderId="29" xfId="0" applyNumberFormat="1" applyFont="1" applyFill="1" applyBorder="1" applyAlignment="1" applyProtection="1">
      <alignment horizontal="right"/>
      <protection locked="0"/>
    </xf>
    <xf numFmtId="167" fontId="22" fillId="6" borderId="29" xfId="0" applyNumberFormat="1" applyFont="1" applyFill="1" applyBorder="1" applyAlignment="1" applyProtection="1">
      <alignment horizontal="right"/>
      <protection locked="0"/>
    </xf>
    <xf numFmtId="0" fontId="9" fillId="6" borderId="37" xfId="0" applyFont="1" applyFill="1" applyBorder="1" applyAlignment="1" applyProtection="1">
      <alignment horizontal="left" wrapText="1"/>
      <protection locked="0"/>
    </xf>
    <xf numFmtId="167" fontId="22" fillId="6" borderId="38" xfId="0" applyNumberFormat="1" applyFont="1" applyFill="1" applyBorder="1" applyAlignment="1" applyProtection="1">
      <alignment horizontal="right"/>
      <protection locked="0"/>
    </xf>
    <xf numFmtId="0" fontId="9" fillId="6" borderId="39" xfId="0" applyFont="1" applyFill="1" applyBorder="1" applyAlignment="1" applyProtection="1">
      <alignment horizontal="left" wrapText="1"/>
      <protection locked="0"/>
    </xf>
    <xf numFmtId="0" fontId="9" fillId="6" borderId="40" xfId="0" applyFont="1" applyFill="1" applyBorder="1" applyAlignment="1" applyProtection="1">
      <alignment horizontal="left" wrapText="1"/>
      <protection locked="0"/>
    </xf>
    <xf numFmtId="0" fontId="6" fillId="6" borderId="29" xfId="0" applyFont="1" applyFill="1" applyBorder="1" applyAlignment="1" applyProtection="1">
      <alignment horizontal="left" vertical="center" wrapText="1"/>
      <protection locked="0"/>
    </xf>
    <xf numFmtId="0" fontId="9" fillId="6" borderId="29" xfId="0" applyFont="1" applyFill="1" applyBorder="1" applyAlignment="1" applyProtection="1">
      <alignment horizontal="left" vertical="center" wrapText="1"/>
      <protection locked="0"/>
    </xf>
    <xf numFmtId="0" fontId="9" fillId="0" borderId="0" xfId="16" applyFont="1" applyFill="1" applyBorder="1"/>
    <xf numFmtId="0" fontId="9" fillId="0" borderId="0" xfId="0" applyFont="1" applyFill="1"/>
    <xf numFmtId="0" fontId="9" fillId="7" borderId="0" xfId="0" applyFont="1" applyFill="1" applyBorder="1"/>
    <xf numFmtId="0" fontId="9" fillId="7" borderId="17" xfId="0" applyFont="1" applyFill="1" applyBorder="1"/>
    <xf numFmtId="168" fontId="22" fillId="6" borderId="41" xfId="16" applyNumberFormat="1" applyFont="1" applyFill="1" applyBorder="1" applyAlignment="1" applyProtection="1">
      <alignment horizontal="center"/>
      <protection locked="0"/>
    </xf>
    <xf numFmtId="0" fontId="21" fillId="3" borderId="41" xfId="16" applyFont="1" applyFill="1" applyBorder="1" applyAlignment="1">
      <alignment horizontal="center"/>
    </xf>
    <xf numFmtId="0" fontId="21" fillId="6" borderId="29" xfId="0" applyFont="1" applyFill="1" applyBorder="1" applyAlignment="1" applyProtection="1">
      <alignment horizontal="center"/>
      <protection locked="0"/>
    </xf>
    <xf numFmtId="0" fontId="21" fillId="6" borderId="28" xfId="0" applyFont="1" applyFill="1" applyBorder="1" applyAlignment="1" applyProtection="1">
      <alignment horizontal="center"/>
    </xf>
    <xf numFmtId="0" fontId="21" fillId="8" borderId="44" xfId="0" applyFont="1" applyFill="1" applyBorder="1" applyAlignment="1" applyProtection="1">
      <alignment horizontal="center" vertical="center"/>
    </xf>
    <xf numFmtId="0" fontId="9" fillId="7" borderId="42" xfId="0" applyFont="1" applyFill="1" applyBorder="1" applyAlignment="1" applyProtection="1">
      <alignment horizontal="left"/>
    </xf>
    <xf numFmtId="0" fontId="9" fillId="7" borderId="27" xfId="0" applyFont="1" applyFill="1" applyBorder="1" applyAlignment="1" applyProtection="1">
      <alignment horizontal="left"/>
    </xf>
    <xf numFmtId="0" fontId="9" fillId="7" borderId="28" xfId="0" applyFont="1" applyFill="1" applyBorder="1" applyAlignment="1" applyProtection="1">
      <alignment horizontal="left"/>
    </xf>
    <xf numFmtId="0" fontId="6" fillId="7" borderId="42" xfId="0" applyFont="1" applyFill="1" applyBorder="1" applyAlignment="1" applyProtection="1">
      <alignment horizontal="left"/>
    </xf>
    <xf numFmtId="0" fontId="19" fillId="7" borderId="45" xfId="0" applyFont="1" applyFill="1" applyBorder="1" applyAlignment="1" applyProtection="1">
      <alignment horizontal="left"/>
    </xf>
    <xf numFmtId="0" fontId="19" fillId="7" borderId="29" xfId="0" applyFont="1" applyFill="1" applyBorder="1" applyAlignment="1" applyProtection="1">
      <alignment horizontal="left"/>
    </xf>
    <xf numFmtId="0" fontId="24" fillId="7" borderId="29" xfId="0" applyFont="1" applyFill="1" applyBorder="1" applyAlignment="1" applyProtection="1">
      <alignment horizontal="left"/>
    </xf>
    <xf numFmtId="0" fontId="19" fillId="7" borderId="33" xfId="0" applyFont="1" applyFill="1" applyBorder="1" applyAlignment="1" applyProtection="1">
      <alignment horizontal="left"/>
    </xf>
    <xf numFmtId="10" fontId="0" fillId="0" borderId="0" xfId="0" applyNumberFormat="1"/>
    <xf numFmtId="166" fontId="22" fillId="6" borderId="46" xfId="0" applyNumberFormat="1" applyFont="1" applyFill="1" applyBorder="1" applyAlignment="1" applyProtection="1">
      <alignment shrinkToFit="1"/>
      <protection locked="0"/>
    </xf>
    <xf numFmtId="10" fontId="0" fillId="6" borderId="29" xfId="0" applyNumberFormat="1" applyFill="1" applyBorder="1" applyProtection="1">
      <protection locked="0"/>
    </xf>
    <xf numFmtId="0" fontId="6" fillId="7" borderId="47" xfId="0" applyFont="1" applyFill="1" applyBorder="1"/>
    <xf numFmtId="0" fontId="6" fillId="7" borderId="29" xfId="0" applyFont="1" applyFill="1" applyBorder="1"/>
    <xf numFmtId="0" fontId="6" fillId="7" borderId="48" xfId="0" applyFont="1" applyFill="1" applyBorder="1"/>
    <xf numFmtId="0" fontId="6" fillId="7" borderId="34" xfId="0" applyFont="1" applyFill="1" applyBorder="1"/>
    <xf numFmtId="0" fontId="6" fillId="7" borderId="26" xfId="0" applyFont="1" applyFill="1" applyBorder="1"/>
    <xf numFmtId="0" fontId="6" fillId="7" borderId="28" xfId="0" applyFont="1" applyFill="1" applyBorder="1"/>
    <xf numFmtId="0" fontId="24" fillId="3" borderId="19" xfId="0" applyFont="1" applyFill="1" applyBorder="1" applyProtection="1"/>
    <xf numFmtId="167" fontId="6" fillId="6" borderId="45" xfId="16" applyNumberFormat="1" applyFont="1" applyFill="1" applyBorder="1" applyAlignment="1" applyProtection="1">
      <alignment horizontal="left"/>
      <protection locked="0"/>
    </xf>
    <xf numFmtId="168" fontId="6" fillId="6" borderId="29" xfId="16" applyNumberFormat="1" applyFont="1" applyFill="1" applyBorder="1" applyAlignment="1" applyProtection="1">
      <alignment horizontal="left"/>
      <protection locked="0"/>
    </xf>
    <xf numFmtId="14" fontId="6" fillId="6" borderId="29" xfId="16" applyNumberFormat="1" applyFont="1" applyFill="1" applyBorder="1" applyAlignment="1" applyProtection="1">
      <alignment horizontal="left"/>
      <protection locked="0"/>
    </xf>
    <xf numFmtId="170" fontId="6" fillId="6" borderId="29" xfId="16" applyNumberFormat="1" applyFont="1" applyFill="1" applyBorder="1" applyAlignment="1" applyProtection="1">
      <alignment horizontal="left"/>
      <protection locked="0"/>
    </xf>
    <xf numFmtId="3" fontId="6" fillId="6" borderId="29" xfId="16" applyNumberFormat="1" applyFont="1" applyFill="1" applyBorder="1" applyAlignment="1" applyProtection="1">
      <alignment horizontal="left"/>
      <protection locked="0"/>
    </xf>
    <xf numFmtId="168" fontId="21" fillId="7" borderId="29" xfId="0" applyNumberFormat="1" applyFont="1" applyFill="1" applyBorder="1" applyAlignment="1" applyProtection="1">
      <alignment horizontal="right"/>
    </xf>
    <xf numFmtId="0" fontId="6" fillId="7" borderId="50" xfId="0" applyFont="1" applyFill="1" applyBorder="1" applyAlignment="1" applyProtection="1">
      <alignment horizontal="left"/>
    </xf>
    <xf numFmtId="0" fontId="6" fillId="7" borderId="51" xfId="0" applyFont="1" applyFill="1" applyBorder="1" applyAlignment="1" applyProtection="1">
      <alignment horizontal="left"/>
    </xf>
    <xf numFmtId="0" fontId="6" fillId="7" borderId="52" xfId="0" applyFont="1" applyFill="1" applyBorder="1" applyAlignment="1" applyProtection="1">
      <alignment horizontal="left"/>
    </xf>
    <xf numFmtId="167" fontId="9" fillId="6" borderId="53" xfId="0" applyNumberFormat="1" applyFont="1" applyFill="1" applyBorder="1" applyAlignment="1" applyProtection="1">
      <alignment horizontal="center"/>
      <protection locked="0"/>
    </xf>
    <xf numFmtId="0" fontId="9" fillId="6" borderId="43" xfId="0" applyFont="1" applyFill="1" applyBorder="1" applyAlignment="1" applyProtection="1">
      <alignment horizontal="center"/>
      <protection locked="0"/>
    </xf>
    <xf numFmtId="167" fontId="9" fillId="6" borderId="54" xfId="0" applyNumberFormat="1" applyFont="1" applyFill="1" applyBorder="1" applyAlignment="1" applyProtection="1">
      <alignment horizontal="center"/>
      <protection locked="0"/>
    </xf>
    <xf numFmtId="0" fontId="9" fillId="6" borderId="56" xfId="0" applyFont="1" applyFill="1" applyBorder="1" applyAlignment="1" applyProtection="1">
      <alignment horizontal="center"/>
      <protection locked="0"/>
    </xf>
    <xf numFmtId="0" fontId="51" fillId="0" borderId="0" xfId="0" applyFont="1" applyAlignment="1">
      <alignment horizontal="center" vertical="center"/>
    </xf>
    <xf numFmtId="0" fontId="0" fillId="6" borderId="29" xfId="0" applyFill="1" applyBorder="1" applyAlignment="1" applyProtection="1">
      <protection locked="0"/>
    </xf>
    <xf numFmtId="15" fontId="6" fillId="9" borderId="29" xfId="0" applyNumberFormat="1" applyFont="1" applyFill="1" applyBorder="1" applyAlignment="1" applyProtection="1">
      <alignment horizontal="center"/>
      <protection locked="0"/>
    </xf>
    <xf numFmtId="15" fontId="6" fillId="9" borderId="33" xfId="0" applyNumberFormat="1" applyFont="1" applyFill="1" applyBorder="1" applyAlignment="1" applyProtection="1">
      <alignment horizontal="center"/>
      <protection locked="0"/>
    </xf>
    <xf numFmtId="15" fontId="9" fillId="9" borderId="29" xfId="0" applyNumberFormat="1" applyFont="1" applyFill="1" applyBorder="1" applyAlignment="1" applyProtection="1">
      <alignment horizontal="center"/>
      <protection locked="0"/>
    </xf>
    <xf numFmtId="15" fontId="9" fillId="9" borderId="33" xfId="0" applyNumberFormat="1" applyFont="1" applyFill="1" applyBorder="1" applyAlignment="1" applyProtection="1">
      <alignment horizontal="center"/>
      <protection locked="0"/>
    </xf>
    <xf numFmtId="15" fontId="6" fillId="9" borderId="57" xfId="0" applyNumberFormat="1" applyFont="1" applyFill="1" applyBorder="1" applyAlignment="1" applyProtection="1">
      <alignment horizontal="center"/>
      <protection locked="0"/>
    </xf>
    <xf numFmtId="0" fontId="83" fillId="6" borderId="29" xfId="14" applyFill="1" applyBorder="1" applyProtection="1">
      <protection locked="0"/>
    </xf>
    <xf numFmtId="0" fontId="83" fillId="6" borderId="29" xfId="14" applyFill="1" applyBorder="1" applyProtection="1">
      <protection locked="0"/>
    </xf>
    <xf numFmtId="0" fontId="83" fillId="6" borderId="29" xfId="14" applyFill="1" applyBorder="1" applyProtection="1">
      <protection locked="0"/>
    </xf>
    <xf numFmtId="0" fontId="83" fillId="6" borderId="38" xfId="14" applyFill="1" applyBorder="1" applyProtection="1">
      <protection locked="0"/>
    </xf>
    <xf numFmtId="0" fontId="7" fillId="12" borderId="0" xfId="0" applyFont="1" applyFill="1" applyProtection="1"/>
    <xf numFmtId="0" fontId="9" fillId="12" borderId="0" xfId="0" applyFont="1" applyFill="1" applyBorder="1" applyProtection="1"/>
    <xf numFmtId="0" fontId="9" fillId="12" borderId="0" xfId="0" applyFont="1" applyFill="1" applyProtection="1"/>
    <xf numFmtId="0" fontId="11" fillId="12" borderId="0" xfId="0" applyFont="1" applyFill="1" applyBorder="1" applyAlignment="1" applyProtection="1">
      <alignment vertical="center"/>
    </xf>
    <xf numFmtId="0" fontId="12" fillId="12" borderId="0" xfId="0" applyFont="1" applyFill="1" applyBorder="1" applyAlignment="1" applyProtection="1">
      <alignment vertical="center"/>
    </xf>
    <xf numFmtId="0" fontId="8" fillId="12" borderId="0" xfId="0" applyFont="1" applyFill="1" applyBorder="1" applyAlignment="1" applyProtection="1">
      <alignment vertical="center"/>
    </xf>
    <xf numFmtId="0" fontId="11" fillId="12" borderId="0" xfId="0" quotePrefix="1" applyFont="1" applyFill="1" applyBorder="1" applyAlignment="1" applyProtection="1">
      <alignment horizontal="left" vertical="center"/>
    </xf>
    <xf numFmtId="0" fontId="7" fillId="12" borderId="0" xfId="0" applyFont="1" applyFill="1" applyBorder="1" applyAlignment="1" applyProtection="1">
      <alignment horizontal="right"/>
    </xf>
    <xf numFmtId="164" fontId="7" fillId="12" borderId="0" xfId="0" applyNumberFormat="1" applyFont="1" applyFill="1" applyBorder="1" applyAlignment="1" applyProtection="1">
      <alignment horizontal="left"/>
    </xf>
    <xf numFmtId="0" fontId="13" fillId="12" borderId="0" xfId="0" applyFont="1" applyFill="1" applyBorder="1" applyProtection="1"/>
    <xf numFmtId="0" fontId="14" fillId="12" borderId="0" xfId="0" applyFont="1" applyFill="1" applyBorder="1" applyAlignment="1" applyProtection="1">
      <alignment horizontal="right"/>
    </xf>
    <xf numFmtId="175" fontId="15" fillId="12" borderId="0" xfId="0" applyNumberFormat="1" applyFont="1" applyFill="1" applyBorder="1" applyAlignment="1" applyProtection="1">
      <alignment horizontal="left"/>
    </xf>
    <xf numFmtId="0" fontId="10" fillId="12" borderId="0" xfId="0" applyFont="1" applyFill="1" applyBorder="1" applyProtection="1"/>
    <xf numFmtId="0" fontId="16" fillId="12" borderId="0" xfId="0" applyFont="1" applyFill="1" applyBorder="1" applyAlignment="1" applyProtection="1">
      <alignment horizontal="left"/>
    </xf>
    <xf numFmtId="0" fontId="17" fillId="12" borderId="0" xfId="0" applyFont="1" applyFill="1" applyBorder="1" applyAlignment="1" applyProtection="1">
      <alignment horizontal="right"/>
    </xf>
    <xf numFmtId="0" fontId="18" fillId="12" borderId="0" xfId="0" applyFont="1" applyFill="1" applyBorder="1" applyProtection="1"/>
    <xf numFmtId="0" fontId="9" fillId="12" borderId="0" xfId="0" applyFont="1" applyFill="1" applyBorder="1" applyAlignment="1" applyProtection="1">
      <alignment horizontal="center"/>
    </xf>
    <xf numFmtId="0" fontId="20" fillId="12" borderId="0" xfId="0" applyFont="1" applyFill="1" applyBorder="1" applyProtection="1"/>
    <xf numFmtId="0" fontId="19" fillId="12" borderId="0" xfId="0" applyFont="1" applyFill="1" applyBorder="1" applyProtection="1"/>
    <xf numFmtId="0" fontId="9" fillId="13" borderId="0" xfId="15" applyFont="1" applyFill="1" applyAlignment="1">
      <alignment horizontal="left"/>
    </xf>
    <xf numFmtId="0" fontId="9" fillId="12" borderId="58" xfId="0" applyFont="1" applyFill="1" applyBorder="1" applyProtection="1"/>
    <xf numFmtId="0" fontId="9" fillId="12" borderId="59" xfId="0" applyFont="1" applyFill="1" applyBorder="1" applyProtection="1"/>
    <xf numFmtId="0" fontId="9" fillId="12" borderId="60" xfId="0" applyFont="1" applyFill="1" applyBorder="1" applyProtection="1"/>
    <xf numFmtId="0" fontId="19" fillId="12" borderId="60" xfId="0" applyFont="1" applyFill="1" applyBorder="1" applyProtection="1"/>
    <xf numFmtId="0" fontId="9" fillId="12" borderId="0" xfId="0" applyFont="1" applyFill="1"/>
    <xf numFmtId="0" fontId="9" fillId="12" borderId="0" xfId="0" applyFont="1" applyFill="1" applyAlignment="1">
      <alignment horizontal="left"/>
    </xf>
    <xf numFmtId="0" fontId="9" fillId="12" borderId="61" xfId="0" applyFont="1" applyFill="1" applyBorder="1" applyAlignment="1">
      <alignment horizontal="left"/>
    </xf>
    <xf numFmtId="0" fontId="7" fillId="12" borderId="62" xfId="0" applyFont="1" applyFill="1" applyBorder="1" applyProtection="1"/>
    <xf numFmtId="0" fontId="31" fillId="12" borderId="63" xfId="0" applyFont="1" applyFill="1" applyBorder="1" applyProtection="1"/>
    <xf numFmtId="0" fontId="22" fillId="12" borderId="63" xfId="0" applyFont="1" applyFill="1" applyBorder="1" applyProtection="1"/>
    <xf numFmtId="0" fontId="0" fillId="12" borderId="64" xfId="0" applyFill="1" applyBorder="1"/>
    <xf numFmtId="10" fontId="0" fillId="12" borderId="63" xfId="0" applyNumberFormat="1" applyFill="1" applyBorder="1"/>
    <xf numFmtId="0" fontId="0" fillId="12" borderId="63" xfId="0" applyFill="1" applyBorder="1"/>
    <xf numFmtId="0" fontId="0" fillId="12" borderId="65" xfId="0" applyFill="1" applyBorder="1"/>
    <xf numFmtId="0" fontId="0" fillId="12" borderId="62" xfId="0" applyFill="1" applyBorder="1"/>
    <xf numFmtId="0" fontId="0" fillId="12" borderId="0" xfId="0" applyFill="1" applyBorder="1"/>
    <xf numFmtId="10" fontId="48" fillId="12" borderId="38" xfId="0" applyNumberFormat="1" applyFont="1" applyFill="1" applyBorder="1" applyAlignment="1">
      <alignment horizontal="center" vertical="center" wrapText="1"/>
    </xf>
    <xf numFmtId="0" fontId="43" fillId="12" borderId="38" xfId="0" applyFont="1" applyFill="1" applyBorder="1" applyAlignment="1">
      <alignment horizontal="center" vertical="center" wrapText="1"/>
    </xf>
    <xf numFmtId="0" fontId="43" fillId="12" borderId="66" xfId="0" applyFont="1" applyFill="1" applyBorder="1" applyAlignment="1">
      <alignment horizontal="center" vertical="center" wrapText="1"/>
    </xf>
    <xf numFmtId="0" fontId="0" fillId="12" borderId="61" xfId="0" applyFill="1" applyBorder="1"/>
    <xf numFmtId="10" fontId="0" fillId="12" borderId="67" xfId="0" applyNumberFormat="1" applyFill="1" applyBorder="1"/>
    <xf numFmtId="0" fontId="0" fillId="12" borderId="67" xfId="0" applyFill="1" applyBorder="1"/>
    <xf numFmtId="0" fontId="0" fillId="12" borderId="68" xfId="0" applyFill="1" applyBorder="1"/>
    <xf numFmtId="0" fontId="0" fillId="12" borderId="69" xfId="0" applyFill="1" applyBorder="1"/>
    <xf numFmtId="0" fontId="0" fillId="12" borderId="70" xfId="0" applyFill="1" applyBorder="1"/>
    <xf numFmtId="0" fontId="22" fillId="12" borderId="69" xfId="0" applyFont="1" applyFill="1" applyBorder="1" applyProtection="1"/>
    <xf numFmtId="0" fontId="9" fillId="12" borderId="61" xfId="0" applyFont="1" applyFill="1" applyBorder="1" applyProtection="1"/>
    <xf numFmtId="0" fontId="22" fillId="12" borderId="61" xfId="0" applyFont="1" applyFill="1" applyBorder="1" applyProtection="1"/>
    <xf numFmtId="0" fontId="6" fillId="12" borderId="1" xfId="0" applyFont="1" applyFill="1" applyBorder="1" applyProtection="1"/>
    <xf numFmtId="0" fontId="22" fillId="12" borderId="1" xfId="0" applyFont="1" applyFill="1" applyBorder="1" applyProtection="1"/>
    <xf numFmtId="0" fontId="27" fillId="12" borderId="27" xfId="0" applyFont="1" applyFill="1" applyBorder="1" applyProtection="1"/>
    <xf numFmtId="0" fontId="22" fillId="12" borderId="27" xfId="0" applyFont="1" applyFill="1" applyBorder="1" applyProtection="1"/>
    <xf numFmtId="0" fontId="9" fillId="12" borderId="27" xfId="0" applyFont="1" applyFill="1" applyBorder="1" applyProtection="1"/>
    <xf numFmtId="0" fontId="9" fillId="12" borderId="46" xfId="0" applyFont="1" applyFill="1" applyBorder="1" applyProtection="1"/>
    <xf numFmtId="0" fontId="22" fillId="12" borderId="46" xfId="0" applyFont="1" applyFill="1" applyBorder="1" applyProtection="1"/>
    <xf numFmtId="0" fontId="9" fillId="12" borderId="1" xfId="0" applyFont="1" applyFill="1" applyBorder="1" applyProtection="1"/>
    <xf numFmtId="0" fontId="9" fillId="12" borderId="71" xfId="0" applyFont="1" applyFill="1" applyBorder="1" applyProtection="1"/>
    <xf numFmtId="0" fontId="22" fillId="12" borderId="71" xfId="0" applyFont="1" applyFill="1" applyBorder="1" applyProtection="1"/>
    <xf numFmtId="0" fontId="0" fillId="12" borderId="1" xfId="0" applyFill="1" applyBorder="1"/>
    <xf numFmtId="0" fontId="0" fillId="12" borderId="72" xfId="0" applyFill="1" applyBorder="1"/>
    <xf numFmtId="0" fontId="0" fillId="12" borderId="73" xfId="0" applyFill="1" applyBorder="1"/>
    <xf numFmtId="0" fontId="0" fillId="12" borderId="75" xfId="0" applyFill="1" applyBorder="1"/>
    <xf numFmtId="49" fontId="22" fillId="12" borderId="46" xfId="0" applyNumberFormat="1" applyFont="1" applyFill="1" applyBorder="1" applyProtection="1"/>
    <xf numFmtId="0" fontId="0" fillId="12" borderId="76" xfId="0" applyFill="1" applyBorder="1"/>
    <xf numFmtId="0" fontId="0" fillId="12" borderId="58" xfId="0" applyFill="1" applyBorder="1"/>
    <xf numFmtId="0" fontId="0" fillId="12" borderId="77" xfId="0" applyFill="1" applyBorder="1"/>
    <xf numFmtId="10" fontId="0" fillId="12" borderId="29" xfId="0" applyNumberFormat="1" applyFill="1" applyBorder="1"/>
    <xf numFmtId="0" fontId="0" fillId="12" borderId="29" xfId="0" applyFill="1" applyBorder="1"/>
    <xf numFmtId="10" fontId="0" fillId="12" borderId="57" xfId="0" applyNumberFormat="1" applyFill="1" applyBorder="1"/>
    <xf numFmtId="0" fontId="0" fillId="12" borderId="57" xfId="0" applyFill="1" applyBorder="1"/>
    <xf numFmtId="0" fontId="0" fillId="12" borderId="80" xfId="0" applyFill="1" applyBorder="1"/>
    <xf numFmtId="0" fontId="0" fillId="12" borderId="81" xfId="0" applyFill="1" applyBorder="1"/>
    <xf numFmtId="0" fontId="0" fillId="12" borderId="27" xfId="0" applyFill="1" applyBorder="1"/>
    <xf numFmtId="0" fontId="0" fillId="12" borderId="46" xfId="0" applyFill="1" applyBorder="1"/>
    <xf numFmtId="10" fontId="0" fillId="12" borderId="73" xfId="0" applyNumberFormat="1" applyFill="1" applyBorder="1"/>
    <xf numFmtId="0" fontId="0" fillId="12" borderId="84" xfId="0" applyFill="1" applyBorder="1"/>
    <xf numFmtId="0" fontId="0" fillId="12" borderId="85" xfId="0" applyFill="1" applyBorder="1"/>
    <xf numFmtId="0" fontId="0" fillId="12" borderId="86" xfId="0" applyFill="1" applyBorder="1"/>
    <xf numFmtId="0" fontId="0" fillId="12" borderId="87" xfId="0" applyFill="1" applyBorder="1"/>
    <xf numFmtId="0" fontId="0" fillId="12" borderId="88" xfId="0" applyFill="1" applyBorder="1"/>
    <xf numFmtId="0" fontId="0" fillId="12" borderId="89" xfId="0" applyFill="1" applyBorder="1"/>
    <xf numFmtId="0" fontId="0" fillId="12" borderId="90" xfId="0" applyFill="1" applyBorder="1"/>
    <xf numFmtId="0" fontId="7" fillId="12" borderId="47" xfId="0" applyFont="1" applyFill="1" applyBorder="1" applyProtection="1"/>
    <xf numFmtId="0" fontId="9" fillId="12" borderId="29" xfId="0" applyFont="1" applyFill="1" applyBorder="1"/>
    <xf numFmtId="0" fontId="9" fillId="12" borderId="41" xfId="0" applyFont="1" applyFill="1" applyBorder="1"/>
    <xf numFmtId="0" fontId="9" fillId="12" borderId="47" xfId="0" applyFont="1" applyFill="1" applyBorder="1"/>
    <xf numFmtId="0" fontId="7" fillId="12" borderId="12" xfId="0" applyFont="1" applyFill="1" applyBorder="1" applyProtection="1"/>
    <xf numFmtId="0" fontId="9" fillId="12" borderId="10" xfId="0" applyFont="1" applyFill="1" applyBorder="1" applyProtection="1"/>
    <xf numFmtId="0" fontId="9" fillId="12" borderId="17" xfId="0" applyFont="1" applyFill="1" applyBorder="1" applyProtection="1"/>
    <xf numFmtId="165" fontId="24" fillId="12" borderId="0" xfId="0" applyNumberFormat="1" applyFont="1" applyFill="1" applyBorder="1" applyAlignment="1" applyProtection="1">
      <alignment horizontal="center"/>
    </xf>
    <xf numFmtId="0" fontId="15" fillId="12" borderId="0" xfId="0" applyFont="1" applyFill="1" applyBorder="1" applyProtection="1"/>
    <xf numFmtId="0" fontId="9" fillId="12" borderId="91" xfId="0" applyFont="1" applyFill="1" applyBorder="1"/>
    <xf numFmtId="0" fontId="9" fillId="12" borderId="92" xfId="0" applyFont="1" applyFill="1" applyBorder="1"/>
    <xf numFmtId="0" fontId="9" fillId="12" borderId="93" xfId="0" applyFont="1" applyFill="1" applyBorder="1" applyAlignment="1">
      <alignment horizontal="center" vertical="center"/>
    </xf>
    <xf numFmtId="0" fontId="22" fillId="12" borderId="94" xfId="0" applyFont="1" applyFill="1" applyBorder="1" applyAlignment="1">
      <alignment horizontal="left" vertical="center"/>
    </xf>
    <xf numFmtId="0" fontId="22" fillId="12" borderId="95" xfId="0" applyFont="1" applyFill="1" applyBorder="1" applyAlignment="1">
      <alignment vertical="center"/>
    </xf>
    <xf numFmtId="0" fontId="22" fillId="12" borderId="96" xfId="0" applyFont="1" applyFill="1" applyBorder="1" applyAlignment="1">
      <alignment vertical="center"/>
    </xf>
    <xf numFmtId="0" fontId="9" fillId="12" borderId="97" xfId="0" applyFont="1" applyFill="1" applyBorder="1" applyAlignment="1">
      <alignment horizontal="center" vertical="center"/>
    </xf>
    <xf numFmtId="0" fontId="9" fillId="12" borderId="98" xfId="0" applyFont="1" applyFill="1" applyBorder="1" applyAlignment="1">
      <alignment horizontal="center" vertical="center"/>
    </xf>
    <xf numFmtId="0" fontId="9" fillId="12" borderId="35" xfId="0" applyFont="1" applyFill="1" applyBorder="1" applyAlignment="1" applyProtection="1">
      <alignment horizontal="left" vertical="center" wrapText="1"/>
      <protection locked="0"/>
    </xf>
    <xf numFmtId="0" fontId="9" fillId="12" borderId="99" xfId="0" applyFont="1" applyFill="1" applyBorder="1" applyAlignment="1">
      <alignment horizontal="center" vertical="center"/>
    </xf>
    <xf numFmtId="0" fontId="6" fillId="12" borderId="33" xfId="0" applyFont="1" applyFill="1" applyBorder="1" applyAlignment="1" applyProtection="1">
      <alignment horizontal="left" vertical="center" wrapText="1"/>
      <protection locked="0"/>
    </xf>
    <xf numFmtId="0" fontId="6" fillId="12" borderId="29" xfId="0" applyFont="1" applyFill="1" applyBorder="1" applyAlignment="1" applyProtection="1">
      <alignment horizontal="left" vertical="center" wrapText="1"/>
      <protection locked="0"/>
    </xf>
    <xf numFmtId="0" fontId="9" fillId="12" borderId="100" xfId="0" applyFont="1" applyFill="1" applyBorder="1" applyAlignment="1">
      <alignment horizontal="center" vertical="center"/>
    </xf>
    <xf numFmtId="0" fontId="6" fillId="12" borderId="29" xfId="0" applyFont="1" applyFill="1" applyBorder="1" applyAlignment="1" applyProtection="1">
      <alignment horizontal="left" vertical="center" wrapText="1"/>
    </xf>
    <xf numFmtId="49" fontId="6" fillId="12" borderId="29" xfId="0" applyNumberFormat="1" applyFont="1" applyFill="1" applyBorder="1" applyAlignment="1" applyProtection="1">
      <alignment horizontal="left" vertical="center" wrapText="1"/>
    </xf>
    <xf numFmtId="0" fontId="9" fillId="12" borderId="101" xfId="0" applyFont="1" applyFill="1" applyBorder="1" applyAlignment="1">
      <alignment horizontal="center" vertical="center"/>
    </xf>
    <xf numFmtId="0" fontId="9" fillId="12" borderId="102" xfId="0" applyFont="1" applyFill="1" applyBorder="1" applyAlignment="1">
      <alignment horizontal="center"/>
    </xf>
    <xf numFmtId="0" fontId="9" fillId="12" borderId="103" xfId="0" applyFont="1" applyFill="1" applyBorder="1" applyAlignment="1">
      <alignment horizontal="center"/>
    </xf>
    <xf numFmtId="0" fontId="9" fillId="12" borderId="93" xfId="0" applyFont="1" applyFill="1" applyBorder="1" applyAlignment="1">
      <alignment horizontal="left"/>
    </xf>
    <xf numFmtId="0" fontId="20" fillId="12" borderId="0" xfId="0" applyFont="1" applyFill="1" applyAlignment="1" applyProtection="1">
      <alignment horizontal="center"/>
    </xf>
    <xf numFmtId="167" fontId="26" fillId="12" borderId="30" xfId="0" applyNumberFormat="1" applyFont="1" applyFill="1" applyBorder="1" applyAlignment="1" applyProtection="1">
      <alignment horizontal="left"/>
    </xf>
    <xf numFmtId="1" fontId="28" fillId="12" borderId="0" xfId="0" applyNumberFormat="1" applyFont="1" applyFill="1" applyProtection="1"/>
    <xf numFmtId="0" fontId="21" fillId="12" borderId="25" xfId="16" applyFont="1" applyFill="1" applyBorder="1" applyAlignment="1" applyProtection="1">
      <alignment horizontal="center"/>
    </xf>
    <xf numFmtId="0" fontId="9" fillId="12" borderId="43" xfId="0" applyFont="1" applyFill="1" applyBorder="1" applyAlignment="1" applyProtection="1">
      <alignment horizontal="center"/>
    </xf>
    <xf numFmtId="164" fontId="9" fillId="12" borderId="43" xfId="0" applyNumberFormat="1" applyFont="1" applyFill="1" applyBorder="1" applyAlignment="1" applyProtection="1">
      <alignment horizontal="center"/>
    </xf>
    <xf numFmtId="0" fontId="9" fillId="12" borderId="56" xfId="0" applyFont="1" applyFill="1" applyBorder="1" applyAlignment="1" applyProtection="1">
      <alignment horizontal="center"/>
    </xf>
    <xf numFmtId="0" fontId="9" fillId="12" borderId="104" xfId="0" applyFont="1" applyFill="1" applyBorder="1" applyAlignment="1" applyProtection="1">
      <alignment horizontal="center"/>
      <protection locked="0"/>
    </xf>
    <xf numFmtId="0" fontId="9" fillId="12" borderId="0" xfId="0" applyFont="1" applyFill="1" applyAlignment="1" applyProtection="1">
      <alignment horizontal="left"/>
    </xf>
    <xf numFmtId="0" fontId="15" fillId="12" borderId="0" xfId="0" applyFont="1" applyFill="1" applyBorder="1" applyAlignment="1" applyProtection="1">
      <alignment horizontal="left"/>
    </xf>
    <xf numFmtId="0" fontId="9" fillId="12" borderId="105" xfId="0" applyFont="1" applyFill="1" applyBorder="1" applyAlignment="1" applyProtection="1">
      <alignment horizontal="center"/>
    </xf>
    <xf numFmtId="0" fontId="9" fillId="12" borderId="102" xfId="0" applyFont="1" applyFill="1" applyBorder="1" applyProtection="1"/>
    <xf numFmtId="0" fontId="9" fillId="12" borderId="106" xfId="0" applyFont="1" applyFill="1" applyBorder="1" applyProtection="1"/>
    <xf numFmtId="0" fontId="8" fillId="12" borderId="107" xfId="0" applyFont="1" applyFill="1" applyBorder="1" applyProtection="1"/>
    <xf numFmtId="0" fontId="9" fillId="12" borderId="103" xfId="0" applyFont="1" applyFill="1" applyBorder="1" applyProtection="1"/>
    <xf numFmtId="0" fontId="9" fillId="12" borderId="108" xfId="0" applyFont="1" applyFill="1" applyBorder="1" applyProtection="1"/>
    <xf numFmtId="0" fontId="9" fillId="12" borderId="109" xfId="0" applyFont="1" applyFill="1" applyBorder="1" applyProtection="1"/>
    <xf numFmtId="0" fontId="8" fillId="12" borderId="109" xfId="0" applyFont="1" applyFill="1" applyBorder="1" applyProtection="1"/>
    <xf numFmtId="0" fontId="7" fillId="12" borderId="12" xfId="16" applyFont="1" applyFill="1" applyBorder="1" applyProtection="1"/>
    <xf numFmtId="0" fontId="21" fillId="12" borderId="19" xfId="16" applyFont="1" applyFill="1" applyBorder="1" applyProtection="1"/>
    <xf numFmtId="0" fontId="6" fillId="12" borderId="10" xfId="16" applyFont="1" applyFill="1" applyBorder="1" applyProtection="1"/>
    <xf numFmtId="0" fontId="7" fillId="12" borderId="12" xfId="0" applyFont="1" applyFill="1" applyBorder="1"/>
    <xf numFmtId="0" fontId="9" fillId="12" borderId="110" xfId="0" applyFont="1" applyFill="1" applyBorder="1"/>
    <xf numFmtId="0" fontId="15" fillId="12" borderId="13" xfId="0" applyFont="1" applyFill="1" applyBorder="1" applyProtection="1"/>
    <xf numFmtId="0" fontId="9" fillId="12" borderId="10" xfId="16" applyFont="1" applyFill="1" applyBorder="1"/>
    <xf numFmtId="0" fontId="13" fillId="12" borderId="12" xfId="16" applyFont="1" applyFill="1" applyBorder="1"/>
    <xf numFmtId="0" fontId="9" fillId="12" borderId="110" xfId="16" applyFont="1" applyFill="1" applyBorder="1"/>
    <xf numFmtId="0" fontId="9" fillId="12" borderId="13" xfId="16" applyFont="1" applyFill="1" applyBorder="1"/>
    <xf numFmtId="0" fontId="9" fillId="12" borderId="0" xfId="16" applyFont="1" applyFill="1" applyBorder="1"/>
    <xf numFmtId="0" fontId="9" fillId="12" borderId="17" xfId="16" applyFont="1" applyFill="1" applyBorder="1"/>
    <xf numFmtId="0" fontId="21" fillId="12" borderId="14" xfId="16" applyFont="1" applyFill="1" applyBorder="1" applyAlignment="1">
      <alignment horizontal="center"/>
    </xf>
    <xf numFmtId="0" fontId="21" fillId="12" borderId="41" xfId="16" applyFont="1" applyFill="1" applyBorder="1" applyAlignment="1">
      <alignment horizontal="center"/>
    </xf>
    <xf numFmtId="0" fontId="9" fillId="12" borderId="0" xfId="0" applyFont="1" applyFill="1" applyBorder="1"/>
    <xf numFmtId="0" fontId="9" fillId="12" borderId="17" xfId="0" applyFont="1" applyFill="1" applyBorder="1"/>
    <xf numFmtId="0" fontId="9" fillId="12" borderId="42" xfId="0" applyFont="1" applyFill="1" applyBorder="1" applyAlignment="1">
      <alignment horizontal="left"/>
    </xf>
    <xf numFmtId="0" fontId="9" fillId="12" borderId="27" xfId="16" applyFont="1" applyFill="1" applyBorder="1"/>
    <xf numFmtId="0" fontId="6" fillId="12" borderId="42" xfId="0" applyFont="1" applyFill="1" applyBorder="1" applyAlignment="1">
      <alignment horizontal="left"/>
    </xf>
    <xf numFmtId="0" fontId="9" fillId="12" borderId="28" xfId="16" applyFont="1" applyFill="1" applyBorder="1"/>
    <xf numFmtId="0" fontId="9" fillId="12" borderId="42" xfId="0" quotePrefix="1" applyFont="1" applyFill="1" applyBorder="1" applyAlignment="1">
      <alignment horizontal="left"/>
    </xf>
    <xf numFmtId="0" fontId="21" fillId="12" borderId="111" xfId="16" applyFont="1" applyFill="1" applyBorder="1"/>
    <xf numFmtId="0" fontId="9" fillId="12" borderId="112" xfId="16" applyFont="1" applyFill="1" applyBorder="1"/>
    <xf numFmtId="0" fontId="20" fillId="12" borderId="0" xfId="16" applyFont="1" applyFill="1" applyBorder="1"/>
    <xf numFmtId="0" fontId="9" fillId="12" borderId="74" xfId="0" applyFont="1" applyFill="1" applyBorder="1"/>
    <xf numFmtId="0" fontId="9" fillId="12" borderId="42" xfId="16" applyFont="1" applyFill="1" applyBorder="1"/>
    <xf numFmtId="0" fontId="22" fillId="12" borderId="27" xfId="16" applyFont="1" applyFill="1" applyBorder="1"/>
    <xf numFmtId="0" fontId="9" fillId="12" borderId="28" xfId="0" applyFont="1" applyFill="1" applyBorder="1"/>
    <xf numFmtId="0" fontId="6" fillId="12" borderId="42" xfId="16" applyFont="1" applyFill="1" applyBorder="1"/>
    <xf numFmtId="0" fontId="9" fillId="12" borderId="42" xfId="16" applyFont="1" applyFill="1" applyBorder="1" applyProtection="1">
      <protection locked="0"/>
    </xf>
    <xf numFmtId="0" fontId="21" fillId="12" borderId="10" xfId="16" applyFont="1" applyFill="1" applyBorder="1"/>
    <xf numFmtId="0" fontId="9" fillId="12" borderId="27" xfId="0" applyFont="1" applyFill="1" applyBorder="1"/>
    <xf numFmtId="0" fontId="21" fillId="12" borderId="24" xfId="16" applyFont="1" applyFill="1" applyBorder="1"/>
    <xf numFmtId="0" fontId="9" fillId="12" borderId="113" xfId="16" applyFont="1" applyFill="1" applyBorder="1"/>
    <xf numFmtId="0" fontId="9" fillId="12" borderId="113" xfId="0" applyFont="1" applyFill="1" applyBorder="1"/>
    <xf numFmtId="0" fontId="9" fillId="12" borderId="25" xfId="0" applyFont="1" applyFill="1" applyBorder="1"/>
    <xf numFmtId="0" fontId="20" fillId="12" borderId="10" xfId="16" applyFont="1" applyFill="1" applyBorder="1"/>
    <xf numFmtId="0" fontId="9" fillId="12" borderId="24" xfId="16" applyFont="1" applyFill="1" applyBorder="1"/>
    <xf numFmtId="0" fontId="9" fillId="12" borderId="13" xfId="0" applyFont="1" applyFill="1" applyBorder="1"/>
    <xf numFmtId="0" fontId="9" fillId="12" borderId="10" xfId="16" applyFont="1" applyFill="1" applyBorder="1" applyAlignment="1">
      <alignment horizontal="left"/>
    </xf>
    <xf numFmtId="0" fontId="21" fillId="12" borderId="43" xfId="16" applyFont="1" applyFill="1" applyBorder="1" applyAlignment="1">
      <alignment horizontal="center"/>
    </xf>
    <xf numFmtId="0" fontId="9" fillId="12" borderId="42" xfId="0" applyFont="1" applyFill="1" applyBorder="1" applyProtection="1"/>
    <xf numFmtId="0" fontId="21" fillId="12" borderId="42" xfId="0" applyFont="1" applyFill="1" applyBorder="1" applyProtection="1"/>
    <xf numFmtId="0" fontId="21" fillId="12" borderId="24" xfId="0" applyFont="1" applyFill="1" applyBorder="1"/>
    <xf numFmtId="0" fontId="7" fillId="12" borderId="114" xfId="0" applyFont="1" applyFill="1" applyBorder="1"/>
    <xf numFmtId="0" fontId="9" fillId="12" borderId="115" xfId="0" applyFont="1" applyFill="1" applyBorder="1" applyProtection="1"/>
    <xf numFmtId="0" fontId="18" fillId="12" borderId="0" xfId="0" applyFont="1" applyFill="1" applyBorder="1" applyAlignment="1" applyProtection="1">
      <alignment horizontal="center"/>
    </xf>
    <xf numFmtId="0" fontId="18" fillId="12" borderId="0" xfId="0" applyFont="1" applyFill="1" applyBorder="1" applyAlignment="1" applyProtection="1">
      <alignment horizontal="centerContinuous"/>
    </xf>
    <xf numFmtId="0" fontId="9" fillId="12" borderId="0" xfId="0" applyFont="1" applyFill="1" applyBorder="1" applyAlignment="1" applyProtection="1">
      <alignment horizontal="centerContinuous"/>
    </xf>
    <xf numFmtId="0" fontId="18" fillId="12" borderId="0" xfId="0" quotePrefix="1" applyFont="1" applyFill="1" applyBorder="1" applyAlignment="1" applyProtection="1">
      <alignment horizontal="right"/>
    </xf>
    <xf numFmtId="0" fontId="18" fillId="12" borderId="29" xfId="0" applyFont="1" applyFill="1" applyBorder="1" applyProtection="1"/>
    <xf numFmtId="0" fontId="9" fillId="12" borderId="29" xfId="0" applyFont="1" applyFill="1" applyBorder="1" applyProtection="1"/>
    <xf numFmtId="0" fontId="9" fillId="12" borderId="26" xfId="0" applyFont="1" applyFill="1" applyBorder="1" applyAlignment="1" applyProtection="1"/>
    <xf numFmtId="0" fontId="9" fillId="12" borderId="28" xfId="0" applyFont="1" applyFill="1" applyBorder="1" applyAlignment="1" applyProtection="1"/>
    <xf numFmtId="0" fontId="9" fillId="12" borderId="116" xfId="0" applyFont="1" applyFill="1" applyBorder="1" applyProtection="1"/>
    <xf numFmtId="0" fontId="13" fillId="12" borderId="61" xfId="0" applyFont="1" applyFill="1" applyBorder="1" applyProtection="1"/>
    <xf numFmtId="0" fontId="9" fillId="12" borderId="117" xfId="0" applyFont="1" applyFill="1" applyBorder="1" applyProtection="1"/>
    <xf numFmtId="15" fontId="9" fillId="12" borderId="0" xfId="0" applyNumberFormat="1" applyFont="1" applyFill="1" applyBorder="1" applyProtection="1"/>
    <xf numFmtId="15" fontId="32" fillId="12" borderId="0" xfId="0" applyNumberFormat="1" applyFont="1" applyFill="1" applyBorder="1" applyAlignment="1" applyProtection="1">
      <alignment horizontal="center"/>
    </xf>
    <xf numFmtId="171" fontId="32" fillId="12" borderId="0" xfId="0" applyNumberFormat="1" applyFont="1" applyFill="1" applyBorder="1" applyAlignment="1" applyProtection="1">
      <alignment horizontal="center"/>
    </xf>
    <xf numFmtId="0" fontId="50" fillId="12" borderId="0" xfId="0" applyFont="1" applyFill="1"/>
    <xf numFmtId="0" fontId="0" fillId="12" borderId="0" xfId="0" applyFill="1"/>
    <xf numFmtId="14" fontId="0" fillId="12" borderId="0" xfId="0" applyNumberFormat="1" applyFill="1"/>
    <xf numFmtId="0" fontId="18" fillId="12" borderId="0" xfId="0" applyFont="1" applyFill="1"/>
    <xf numFmtId="0" fontId="7" fillId="12" borderId="0" xfId="14" applyFont="1" applyFill="1" applyAlignment="1" applyProtection="1">
      <alignment horizontal="left"/>
    </xf>
    <xf numFmtId="0" fontId="8" fillId="12" borderId="0" xfId="14" applyFont="1" applyFill="1" applyBorder="1" applyAlignment="1" applyProtection="1">
      <alignment horizontal="left"/>
    </xf>
    <xf numFmtId="0" fontId="6" fillId="12" borderId="0" xfId="14" applyFont="1" applyFill="1" applyBorder="1" applyAlignment="1" applyProtection="1">
      <alignment horizontal="left"/>
    </xf>
    <xf numFmtId="0" fontId="83" fillId="12" borderId="0" xfId="14" applyFill="1"/>
    <xf numFmtId="0" fontId="83" fillId="12" borderId="118" xfId="14" applyFill="1" applyBorder="1"/>
    <xf numFmtId="0" fontId="83" fillId="12" borderId="119" xfId="14" applyFill="1" applyBorder="1"/>
    <xf numFmtId="0" fontId="83" fillId="12" borderId="27" xfId="14" applyFill="1" applyBorder="1"/>
    <xf numFmtId="0" fontId="83" fillId="12" borderId="43" xfId="14" applyFill="1" applyBorder="1"/>
    <xf numFmtId="0" fontId="65" fillId="12" borderId="0" xfId="14" applyFont="1" applyFill="1" applyAlignment="1">
      <alignment horizontal="center"/>
    </xf>
    <xf numFmtId="0" fontId="53" fillId="12" borderId="42" xfId="14" applyFont="1" applyFill="1" applyBorder="1" applyAlignment="1">
      <alignment horizontal="justify" vertical="center"/>
    </xf>
    <xf numFmtId="0" fontId="53" fillId="12" borderId="27" xfId="14" applyFont="1" applyFill="1" applyBorder="1" applyAlignment="1">
      <alignment horizontal="justify" vertical="center"/>
    </xf>
    <xf numFmtId="0" fontId="83" fillId="12" borderId="27" xfId="14" applyFill="1" applyBorder="1" applyProtection="1">
      <protection locked="0"/>
    </xf>
    <xf numFmtId="0" fontId="65" fillId="12" borderId="18" xfId="14" applyFont="1" applyFill="1" applyBorder="1" applyAlignment="1">
      <alignment horizontal="center"/>
    </xf>
    <xf numFmtId="0" fontId="54" fillId="12" borderId="27" xfId="14" applyFont="1" applyFill="1" applyBorder="1" applyAlignment="1">
      <alignment horizontal="justify"/>
    </xf>
    <xf numFmtId="0" fontId="51" fillId="12" borderId="18" xfId="0" applyFont="1" applyFill="1" applyBorder="1" applyAlignment="1">
      <alignment horizontal="center" vertical="center"/>
    </xf>
    <xf numFmtId="0" fontId="60" fillId="12" borderId="27" xfId="0" applyFont="1" applyFill="1" applyBorder="1" applyAlignment="1">
      <alignment horizontal="justify" vertical="center"/>
    </xf>
    <xf numFmtId="0" fontId="60" fillId="12" borderId="43" xfId="0" applyFont="1" applyFill="1" applyBorder="1" applyAlignment="1">
      <alignment horizontal="justify" vertical="center"/>
    </xf>
    <xf numFmtId="0" fontId="53" fillId="12" borderId="27" xfId="14" applyFont="1" applyFill="1" applyBorder="1" applyAlignment="1">
      <alignment wrapText="1"/>
    </xf>
    <xf numFmtId="0" fontId="83" fillId="12" borderId="27" xfId="14" applyFill="1" applyBorder="1" applyAlignment="1">
      <alignment wrapText="1"/>
    </xf>
    <xf numFmtId="0" fontId="53" fillId="12" borderId="120" xfId="14" applyFont="1" applyFill="1" applyBorder="1" applyAlignment="1">
      <alignment vertical="center" wrapText="1"/>
    </xf>
    <xf numFmtId="0" fontId="53" fillId="12" borderId="1" xfId="14" applyFont="1" applyFill="1" applyBorder="1" applyAlignment="1">
      <alignment vertical="center" wrapText="1"/>
    </xf>
    <xf numFmtId="0" fontId="55" fillId="12" borderId="18" xfId="0" applyFont="1" applyFill="1" applyBorder="1" applyAlignment="1">
      <alignment vertical="center" wrapText="1"/>
    </xf>
    <xf numFmtId="0" fontId="51" fillId="12" borderId="0" xfId="0" applyFont="1" applyFill="1" applyAlignment="1">
      <alignment horizontal="center" vertical="center"/>
    </xf>
    <xf numFmtId="0" fontId="83" fillId="12" borderId="112" xfId="14" applyFill="1" applyBorder="1" applyProtection="1">
      <protection locked="0"/>
    </xf>
    <xf numFmtId="0" fontId="83" fillId="12" borderId="104" xfId="14" applyFill="1" applyBorder="1"/>
    <xf numFmtId="0" fontId="51" fillId="12" borderId="121" xfId="0" applyFont="1" applyFill="1" applyBorder="1" applyAlignment="1">
      <alignment horizontal="center" vertical="center"/>
    </xf>
    <xf numFmtId="0" fontId="51" fillId="12" borderId="50" xfId="0" applyFont="1" applyFill="1" applyBorder="1" applyAlignment="1">
      <alignment horizontal="center" vertical="center"/>
    </xf>
    <xf numFmtId="0" fontId="51" fillId="12" borderId="24" xfId="0" applyFont="1" applyFill="1" applyBorder="1" applyAlignment="1">
      <alignment horizontal="center" vertical="center"/>
    </xf>
    <xf numFmtId="0" fontId="0" fillId="12" borderId="110" xfId="0" applyFill="1" applyBorder="1"/>
    <xf numFmtId="0" fontId="0" fillId="12" borderId="13" xfId="0" applyFill="1" applyBorder="1"/>
    <xf numFmtId="0" fontId="21" fillId="12" borderId="19" xfId="0" applyFont="1" applyFill="1" applyBorder="1" applyAlignment="1" applyProtection="1">
      <alignment vertical="top"/>
    </xf>
    <xf numFmtId="0" fontId="9" fillId="12" borderId="122" xfId="0" applyFont="1" applyFill="1" applyBorder="1" applyAlignment="1" applyProtection="1">
      <alignment vertical="top"/>
    </xf>
    <xf numFmtId="0" fontId="9" fillId="12" borderId="122" xfId="0" applyFont="1" applyFill="1" applyBorder="1" applyAlignment="1" applyProtection="1">
      <alignment horizontal="right" vertical="top"/>
    </xf>
    <xf numFmtId="0" fontId="39" fillId="12" borderId="122" xfId="0" applyFont="1" applyFill="1" applyBorder="1" applyAlignment="1" applyProtection="1">
      <alignment horizontal="center" vertical="center" wrapText="1"/>
    </xf>
    <xf numFmtId="0" fontId="9" fillId="12" borderId="122" xfId="0" applyFont="1" applyFill="1" applyBorder="1" applyProtection="1"/>
    <xf numFmtId="0" fontId="9" fillId="12" borderId="122" xfId="0" applyFont="1" applyFill="1" applyBorder="1" applyAlignment="1" applyProtection="1">
      <alignment horizontal="center" textRotation="90"/>
    </xf>
    <xf numFmtId="0" fontId="9" fillId="12" borderId="20" xfId="0" applyFont="1" applyFill="1" applyBorder="1" applyAlignment="1" applyProtection="1">
      <alignment horizontal="center" textRotation="90"/>
    </xf>
    <xf numFmtId="0" fontId="21" fillId="12" borderId="1" xfId="0" applyFont="1" applyFill="1" applyBorder="1" applyAlignment="1" applyProtection="1">
      <alignment vertical="top"/>
    </xf>
    <xf numFmtId="0" fontId="21" fillId="12" borderId="1" xfId="0" applyFont="1" applyFill="1" applyBorder="1" applyAlignment="1" applyProtection="1">
      <alignment horizontal="right" vertical="top"/>
    </xf>
    <xf numFmtId="0" fontId="9" fillId="12" borderId="1" xfId="0" applyFont="1" applyFill="1" applyBorder="1" applyAlignment="1" applyProtection="1">
      <alignment vertical="top"/>
    </xf>
    <xf numFmtId="0" fontId="21" fillId="12" borderId="1" xfId="0" applyFont="1" applyFill="1" applyBorder="1" applyAlignment="1" applyProtection="1">
      <alignment horizontal="center" vertical="top"/>
    </xf>
    <xf numFmtId="0" fontId="21" fillId="12" borderId="1" xfId="0" applyFont="1" applyFill="1" applyBorder="1" applyAlignment="1" applyProtection="1">
      <alignment wrapText="1"/>
    </xf>
    <xf numFmtId="0" fontId="21" fillId="12" borderId="27" xfId="0" applyFont="1" applyFill="1" applyBorder="1" applyAlignment="1" applyProtection="1">
      <alignment vertical="top"/>
    </xf>
    <xf numFmtId="0" fontId="21" fillId="12" borderId="27" xfId="0" applyFont="1" applyFill="1" applyBorder="1" applyAlignment="1" applyProtection="1">
      <alignment horizontal="right" vertical="top"/>
    </xf>
    <xf numFmtId="0" fontId="9" fillId="12" borderId="27" xfId="0" applyFont="1" applyFill="1" applyBorder="1" applyAlignment="1" applyProtection="1">
      <alignment vertical="top"/>
    </xf>
    <xf numFmtId="0" fontId="21" fillId="12" borderId="27" xfId="0" applyFont="1" applyFill="1" applyBorder="1" applyAlignment="1" applyProtection="1">
      <alignment horizontal="center" vertical="top"/>
    </xf>
    <xf numFmtId="0" fontId="21" fillId="12" borderId="27" xfId="0" applyFont="1" applyFill="1" applyBorder="1" applyAlignment="1" applyProtection="1">
      <alignment wrapText="1"/>
    </xf>
    <xf numFmtId="0" fontId="9" fillId="12" borderId="27" xfId="0" applyFont="1" applyFill="1" applyBorder="1" applyAlignment="1" applyProtection="1">
      <alignment horizontal="right" vertical="top"/>
    </xf>
    <xf numFmtId="0" fontId="9" fillId="12" borderId="27" xfId="0" applyFont="1" applyFill="1" applyBorder="1" applyAlignment="1" applyProtection="1">
      <alignment horizontal="center" vertical="top"/>
    </xf>
    <xf numFmtId="0" fontId="0" fillId="12" borderId="27" xfId="0" applyFill="1" applyBorder="1" applyAlignment="1" applyProtection="1">
      <alignment wrapText="1"/>
    </xf>
    <xf numFmtId="0" fontId="21" fillId="12" borderId="27" xfId="0" quotePrefix="1" applyFont="1" applyFill="1" applyBorder="1" applyAlignment="1" applyProtection="1">
      <alignment horizontal="center" vertical="top"/>
    </xf>
    <xf numFmtId="0" fontId="9" fillId="12" borderId="27" xfId="0" applyFont="1" applyFill="1" applyBorder="1" applyAlignment="1" applyProtection="1">
      <alignment wrapText="1"/>
    </xf>
    <xf numFmtId="0" fontId="6" fillId="12" borderId="27" xfId="0" applyFont="1" applyFill="1" applyBorder="1" applyAlignment="1" applyProtection="1">
      <alignment vertical="top"/>
    </xf>
    <xf numFmtId="0" fontId="6" fillId="12" borderId="27" xfId="0" applyFont="1" applyFill="1" applyBorder="1" applyAlignment="1" applyProtection="1">
      <alignment wrapText="1"/>
    </xf>
    <xf numFmtId="0" fontId="6" fillId="12" borderId="27" xfId="0" applyFont="1" applyFill="1" applyBorder="1" applyAlignment="1" applyProtection="1">
      <alignment horizontal="right" vertical="top"/>
    </xf>
    <xf numFmtId="0" fontId="6" fillId="12" borderId="27" xfId="0" quotePrefix="1" applyFont="1" applyFill="1" applyBorder="1" applyAlignment="1" applyProtection="1">
      <alignment horizontal="center" vertical="top"/>
    </xf>
    <xf numFmtId="0" fontId="6" fillId="12" borderId="27" xfId="0" applyFont="1" applyFill="1" applyBorder="1" applyProtection="1"/>
    <xf numFmtId="0" fontId="6" fillId="12" borderId="51" xfId="0" applyFont="1" applyFill="1" applyBorder="1" applyAlignment="1" applyProtection="1">
      <alignment vertical="top"/>
    </xf>
    <xf numFmtId="0" fontId="9" fillId="12" borderId="51" xfId="0" applyFont="1" applyFill="1" applyBorder="1" applyProtection="1"/>
    <xf numFmtId="0" fontId="6" fillId="12" borderId="51" xfId="0" quotePrefix="1" applyFont="1" applyFill="1" applyBorder="1" applyAlignment="1" applyProtection="1">
      <alignment horizontal="center" vertical="top"/>
    </xf>
    <xf numFmtId="0" fontId="6" fillId="12" borderId="51" xfId="0" applyFont="1" applyFill="1" applyBorder="1" applyProtection="1"/>
    <xf numFmtId="0" fontId="0" fillId="12" borderId="10" xfId="0" applyFill="1" applyBorder="1"/>
    <xf numFmtId="0" fontId="0" fillId="12" borderId="24" xfId="0" applyFill="1" applyBorder="1"/>
    <xf numFmtId="0" fontId="0" fillId="12" borderId="113" xfId="0" applyFill="1" applyBorder="1"/>
    <xf numFmtId="0" fontId="5" fillId="12" borderId="113" xfId="0" applyFont="1" applyFill="1" applyBorder="1" applyAlignment="1">
      <alignment wrapText="1"/>
    </xf>
    <xf numFmtId="0" fontId="0" fillId="12" borderId="17" xfId="0" applyFill="1" applyBorder="1"/>
    <xf numFmtId="0" fontId="0" fillId="12" borderId="25" xfId="0" applyFill="1" applyBorder="1"/>
    <xf numFmtId="0" fontId="0" fillId="12" borderId="119" xfId="0" applyFill="1" applyBorder="1" applyAlignment="1"/>
    <xf numFmtId="0" fontId="0" fillId="12" borderId="27" xfId="0" applyFill="1" applyBorder="1" applyAlignment="1"/>
    <xf numFmtId="0" fontId="0" fillId="12" borderId="43" xfId="0" applyFill="1" applyBorder="1"/>
    <xf numFmtId="0" fontId="0" fillId="12" borderId="42" xfId="0" applyFill="1" applyBorder="1"/>
    <xf numFmtId="0" fontId="43" fillId="12" borderId="42" xfId="0" applyFont="1" applyFill="1" applyBorder="1"/>
    <xf numFmtId="0" fontId="0" fillId="12" borderId="118" xfId="0" applyFill="1" applyBorder="1" applyAlignment="1"/>
    <xf numFmtId="0" fontId="0" fillId="12" borderId="42" xfId="0" applyFill="1" applyBorder="1" applyAlignment="1"/>
    <xf numFmtId="0" fontId="0" fillId="12" borderId="50" xfId="0" applyFill="1" applyBorder="1"/>
    <xf numFmtId="0" fontId="0" fillId="12" borderId="51" xfId="0" applyFill="1" applyBorder="1"/>
    <xf numFmtId="0" fontId="0" fillId="12" borderId="56" xfId="0" applyFill="1" applyBorder="1"/>
    <xf numFmtId="0" fontId="0" fillId="12" borderId="120" xfId="0" applyFill="1" applyBorder="1"/>
    <xf numFmtId="0" fontId="0" fillId="12" borderId="1" xfId="0" applyFill="1" applyBorder="1" applyAlignment="1">
      <alignment wrapText="1"/>
    </xf>
    <xf numFmtId="0" fontId="0" fillId="12" borderId="105" xfId="0" applyFill="1" applyBorder="1"/>
    <xf numFmtId="0" fontId="5" fillId="12" borderId="42" xfId="0" applyFont="1" applyFill="1" applyBorder="1" applyAlignment="1">
      <alignment horizontal="right"/>
    </xf>
    <xf numFmtId="0" fontId="0" fillId="12" borderId="111" xfId="0" applyFill="1" applyBorder="1"/>
    <xf numFmtId="0" fontId="0" fillId="12" borderId="112" xfId="0" applyFill="1" applyBorder="1"/>
    <xf numFmtId="0" fontId="43" fillId="12" borderId="62" xfId="0" applyFont="1" applyFill="1" applyBorder="1" applyAlignment="1">
      <alignment horizontal="center" vertical="center" wrapText="1"/>
    </xf>
    <xf numFmtId="0" fontId="43" fillId="12" borderId="63" xfId="0" applyFont="1" applyFill="1" applyBorder="1" applyAlignment="1">
      <alignment horizontal="center" vertical="center" wrapText="1"/>
    </xf>
    <xf numFmtId="0" fontId="43" fillId="12" borderId="65" xfId="0" applyFont="1" applyFill="1" applyBorder="1" applyAlignment="1">
      <alignment horizontal="center" vertical="center" wrapText="1"/>
    </xf>
    <xf numFmtId="0" fontId="9" fillId="14" borderId="58" xfId="0" applyFont="1" applyFill="1" applyBorder="1"/>
    <xf numFmtId="0" fontId="9" fillId="14" borderId="115" xfId="0" applyFont="1" applyFill="1" applyBorder="1"/>
    <xf numFmtId="0" fontId="19" fillId="14" borderId="33" xfId="0" applyFont="1" applyFill="1" applyBorder="1" applyAlignment="1" applyProtection="1">
      <alignment horizontal="center"/>
    </xf>
    <xf numFmtId="165" fontId="19" fillId="14" borderId="29" xfId="0" applyNumberFormat="1" applyFont="1" applyFill="1" applyBorder="1" applyAlignment="1" applyProtection="1">
      <alignment horizontal="center"/>
    </xf>
    <xf numFmtId="0" fontId="9" fillId="14" borderId="29" xfId="0" applyFont="1" applyFill="1" applyBorder="1" applyAlignment="1" applyProtection="1">
      <alignment horizontal="center"/>
    </xf>
    <xf numFmtId="167" fontId="9" fillId="14" borderId="29" xfId="0" applyNumberFormat="1" applyFont="1" applyFill="1" applyBorder="1" applyProtection="1"/>
    <xf numFmtId="0" fontId="9" fillId="14" borderId="92" xfId="0" applyFont="1" applyFill="1" applyBorder="1"/>
    <xf numFmtId="0" fontId="9" fillId="14" borderId="97" xfId="0" applyFont="1" applyFill="1" applyBorder="1"/>
    <xf numFmtId="0" fontId="83" fillId="14" borderId="41" xfId="14" applyFill="1" applyBorder="1"/>
    <xf numFmtId="0" fontId="0" fillId="14" borderId="41" xfId="0" applyFill="1" applyBorder="1"/>
    <xf numFmtId="0" fontId="83" fillId="14" borderId="127" xfId="14" applyFill="1" applyBorder="1"/>
    <xf numFmtId="0" fontId="21" fillId="14" borderId="29" xfId="0" applyFont="1" applyFill="1" applyBorder="1" applyAlignment="1" applyProtection="1">
      <alignment horizontal="center" vertical="center"/>
    </xf>
    <xf numFmtId="0" fontId="21" fillId="14" borderId="44" xfId="0" applyFont="1" applyFill="1" applyBorder="1" applyAlignment="1" applyProtection="1">
      <alignment horizontal="center" vertical="center"/>
    </xf>
    <xf numFmtId="0" fontId="9" fillId="14" borderId="29" xfId="0" applyFont="1" applyFill="1" applyBorder="1" applyProtection="1"/>
    <xf numFmtId="0" fontId="21" fillId="14" borderId="29" xfId="0" applyFont="1" applyFill="1" applyBorder="1" applyAlignment="1" applyProtection="1">
      <alignment horizontal="center"/>
    </xf>
    <xf numFmtId="0" fontId="0" fillId="14" borderId="28" xfId="0" applyFill="1" applyBorder="1"/>
    <xf numFmtId="176" fontId="0" fillId="14" borderId="29" xfId="0" applyNumberFormat="1" applyFill="1" applyBorder="1"/>
    <xf numFmtId="0" fontId="0" fillId="14" borderId="29" xfId="0" applyFill="1" applyBorder="1"/>
    <xf numFmtId="168" fontId="0" fillId="14" borderId="29" xfId="0" applyNumberFormat="1" applyFill="1" applyBorder="1"/>
    <xf numFmtId="168" fontId="0" fillId="14" borderId="26" xfId="0" applyNumberFormat="1" applyFill="1" applyBorder="1"/>
    <xf numFmtId="0" fontId="5" fillId="14" borderId="27" xfId="0" applyFont="1" applyFill="1" applyBorder="1" applyAlignment="1">
      <alignment horizontal="right"/>
    </xf>
    <xf numFmtId="0" fontId="5" fillId="14" borderId="42" xfId="0" applyFont="1" applyFill="1" applyBorder="1" applyAlignment="1">
      <alignment horizontal="right"/>
    </xf>
    <xf numFmtId="168" fontId="0" fillId="14" borderId="27" xfId="0" applyNumberFormat="1" applyFill="1" applyBorder="1"/>
    <xf numFmtId="168" fontId="43" fillId="14" borderId="128" xfId="0" applyNumberFormat="1" applyFont="1" applyFill="1" applyBorder="1"/>
    <xf numFmtId="168" fontId="0" fillId="14" borderId="82" xfId="0" applyNumberFormat="1" applyFill="1" applyBorder="1"/>
    <xf numFmtId="168" fontId="43" fillId="14" borderId="82" xfId="0" applyNumberFormat="1" applyFont="1" applyFill="1" applyBorder="1"/>
    <xf numFmtId="0" fontId="9" fillId="14" borderId="82" xfId="0" applyFont="1" applyFill="1" applyBorder="1" applyAlignment="1" applyProtection="1">
      <alignment horizontal="center"/>
    </xf>
    <xf numFmtId="167" fontId="9" fillId="14" borderId="82" xfId="0" applyNumberFormat="1" applyFont="1" applyFill="1" applyBorder="1" applyProtection="1"/>
    <xf numFmtId="0" fontId="0" fillId="14" borderId="83" xfId="0" applyFill="1" applyBorder="1" applyAlignment="1">
      <alignment horizontal="center"/>
    </xf>
    <xf numFmtId="168" fontId="43" fillId="14" borderId="129" xfId="0" applyNumberFormat="1" applyFont="1" applyFill="1" applyBorder="1"/>
    <xf numFmtId="168" fontId="43" fillId="14" borderId="29" xfId="0" applyNumberFormat="1" applyFont="1" applyFill="1" applyBorder="1"/>
    <xf numFmtId="0" fontId="0" fillId="14" borderId="78" xfId="0" applyFill="1" applyBorder="1" applyAlignment="1">
      <alignment horizontal="center"/>
    </xf>
    <xf numFmtId="168" fontId="43" fillId="14" borderId="130" xfId="0" applyNumberFormat="1" applyFont="1" applyFill="1" applyBorder="1"/>
    <xf numFmtId="168" fontId="0" fillId="14" borderId="57" xfId="0" applyNumberFormat="1" applyFill="1" applyBorder="1"/>
    <xf numFmtId="168" fontId="43" fillId="14" borderId="57" xfId="0" applyNumberFormat="1" applyFont="1" applyFill="1" applyBorder="1"/>
    <xf numFmtId="0" fontId="9" fillId="14" borderId="57" xfId="0" applyFont="1" applyFill="1" applyBorder="1" applyAlignment="1" applyProtection="1">
      <alignment horizontal="center"/>
    </xf>
    <xf numFmtId="167" fontId="9" fillId="14" borderId="57" xfId="0" applyNumberFormat="1" applyFont="1" applyFill="1" applyBorder="1" applyProtection="1"/>
    <xf numFmtId="0" fontId="0" fillId="14" borderId="79" xfId="0" applyFill="1" applyBorder="1" applyAlignment="1">
      <alignment horizontal="center"/>
    </xf>
    <xf numFmtId="0" fontId="70" fillId="12" borderId="114" xfId="0" applyFont="1" applyFill="1" applyBorder="1" applyProtection="1"/>
    <xf numFmtId="0" fontId="71" fillId="12" borderId="58" xfId="0" applyFont="1" applyFill="1" applyBorder="1" applyProtection="1"/>
    <xf numFmtId="0" fontId="19" fillId="12" borderId="58" xfId="0" applyFont="1" applyFill="1" applyBorder="1" applyProtection="1"/>
    <xf numFmtId="175" fontId="72" fillId="12" borderId="58" xfId="0" applyNumberFormat="1" applyFont="1" applyFill="1" applyBorder="1" applyProtection="1"/>
    <xf numFmtId="0" fontId="70" fillId="12" borderId="115" xfId="0" applyFont="1" applyFill="1" applyBorder="1" applyProtection="1"/>
    <xf numFmtId="0" fontId="73" fillId="0" borderId="0" xfId="0" quotePrefix="1" applyNumberFormat="1" applyFont="1"/>
    <xf numFmtId="0" fontId="19" fillId="12" borderId="59" xfId="0" applyFont="1" applyFill="1" applyBorder="1" applyProtection="1"/>
    <xf numFmtId="0" fontId="24" fillId="12" borderId="0" xfId="0" applyFont="1" applyFill="1" applyBorder="1" applyProtection="1"/>
    <xf numFmtId="0" fontId="73" fillId="0" borderId="0" xfId="0" quotePrefix="1" applyNumberFormat="1" applyFont="1" applyFill="1" applyAlignment="1">
      <alignment horizontal="center"/>
    </xf>
    <xf numFmtId="0" fontId="19" fillId="12" borderId="0" xfId="0" applyFont="1" applyFill="1" applyBorder="1" applyAlignment="1" applyProtection="1">
      <alignment horizontal="center"/>
    </xf>
    <xf numFmtId="0" fontId="74" fillId="12" borderId="0" xfId="0" applyFont="1" applyFill="1" applyBorder="1" applyProtection="1"/>
    <xf numFmtId="0" fontId="73" fillId="0" borderId="0" xfId="0" applyFont="1"/>
    <xf numFmtId="0" fontId="73" fillId="0" borderId="0" xfId="0" applyFont="1" applyAlignment="1">
      <alignment horizontal="center" vertical="center" wrapText="1"/>
    </xf>
    <xf numFmtId="0" fontId="19" fillId="0" borderId="0" xfId="0" applyFont="1" applyAlignment="1" applyProtection="1">
      <alignment horizontal="center" vertical="center" wrapText="1"/>
    </xf>
    <xf numFmtId="0" fontId="19" fillId="0" borderId="0" xfId="0" quotePrefix="1" applyFont="1" applyAlignment="1" applyProtection="1">
      <alignment horizontal="center" vertical="center" wrapText="1"/>
    </xf>
    <xf numFmtId="0" fontId="24" fillId="3" borderId="122" xfId="0" applyFont="1" applyFill="1" applyBorder="1" applyProtection="1"/>
    <xf numFmtId="0" fontId="19" fillId="3" borderId="131" xfId="0" applyFont="1" applyFill="1" applyBorder="1" applyProtection="1"/>
    <xf numFmtId="0" fontId="19" fillId="3" borderId="122" xfId="0" applyFont="1" applyFill="1" applyBorder="1" applyProtection="1"/>
    <xf numFmtId="0" fontId="19" fillId="3" borderId="20" xfId="0" applyFont="1" applyFill="1" applyBorder="1" applyProtection="1"/>
    <xf numFmtId="0" fontId="75" fillId="0" borderId="0" xfId="0" quotePrefix="1" applyNumberFormat="1" applyFont="1"/>
    <xf numFmtId="168" fontId="19" fillId="0" borderId="0" xfId="0" applyNumberFormat="1" applyFont="1" applyProtection="1"/>
    <xf numFmtId="168" fontId="73" fillId="0" borderId="0" xfId="0" quotePrefix="1" applyNumberFormat="1" applyFont="1"/>
    <xf numFmtId="0" fontId="19" fillId="7" borderId="26" xfId="0" applyFont="1" applyFill="1" applyBorder="1" applyAlignment="1" applyProtection="1">
      <alignment horizontal="left"/>
    </xf>
    <xf numFmtId="0" fontId="19" fillId="7" borderId="27" xfId="0" applyFont="1" applyFill="1" applyBorder="1" applyAlignment="1" applyProtection="1">
      <alignment horizontal="left"/>
    </xf>
    <xf numFmtId="0" fontId="19" fillId="7" borderId="28" xfId="0" applyFont="1" applyFill="1" applyBorder="1" applyAlignment="1" applyProtection="1">
      <alignment horizontal="left"/>
    </xf>
    <xf numFmtId="0" fontId="35" fillId="12" borderId="60" xfId="0" applyFont="1" applyFill="1" applyBorder="1" applyProtection="1"/>
    <xf numFmtId="0" fontId="73" fillId="0" borderId="0" xfId="0" applyNumberFormat="1" applyFont="1"/>
    <xf numFmtId="49" fontId="35" fillId="0" borderId="0" xfId="0" applyNumberFormat="1" applyFont="1" applyBorder="1" applyProtection="1"/>
    <xf numFmtId="0" fontId="77" fillId="12" borderId="113" xfId="0" applyFont="1" applyFill="1" applyBorder="1" applyAlignment="1" applyProtection="1">
      <alignment horizontal="center"/>
    </xf>
    <xf numFmtId="0" fontId="19" fillId="3" borderId="131" xfId="0" applyFont="1" applyFill="1" applyBorder="1" applyAlignment="1" applyProtection="1">
      <alignment horizontal="left"/>
    </xf>
    <xf numFmtId="0" fontId="19" fillId="3" borderId="122" xfId="0" applyFont="1" applyFill="1" applyBorder="1" applyAlignment="1" applyProtection="1">
      <alignment horizontal="left"/>
    </xf>
    <xf numFmtId="0" fontId="19" fillId="3" borderId="20" xfId="0" applyFont="1" applyFill="1" applyBorder="1" applyAlignment="1" applyProtection="1">
      <alignment horizontal="left"/>
    </xf>
    <xf numFmtId="0" fontId="19" fillId="7" borderId="119" xfId="0" applyFont="1" applyFill="1" applyBorder="1" applyAlignment="1" applyProtection="1">
      <alignment horizontal="center"/>
    </xf>
    <xf numFmtId="0" fontId="19" fillId="7" borderId="132" xfId="0" applyFont="1" applyFill="1" applyBorder="1" applyAlignment="1" applyProtection="1">
      <alignment horizontal="center"/>
    </xf>
    <xf numFmtId="0" fontId="19" fillId="7" borderId="27" xfId="0" applyFont="1" applyFill="1" applyBorder="1" applyAlignment="1" applyProtection="1">
      <alignment horizontal="center"/>
    </xf>
    <xf numFmtId="0" fontId="19" fillId="7" borderId="28" xfId="0" applyFont="1" applyFill="1" applyBorder="1" applyAlignment="1" applyProtection="1">
      <alignment horizontal="center"/>
    </xf>
    <xf numFmtId="0" fontId="74" fillId="12" borderId="0" xfId="0" applyFont="1" applyFill="1" applyBorder="1" applyAlignment="1" applyProtection="1">
      <alignment horizontal="left"/>
    </xf>
    <xf numFmtId="0" fontId="19" fillId="12" borderId="0" xfId="0" applyFont="1" applyFill="1" applyBorder="1" applyAlignment="1" applyProtection="1">
      <alignment horizontal="left"/>
    </xf>
    <xf numFmtId="0" fontId="19" fillId="7" borderId="133" xfId="0" applyFont="1" applyFill="1" applyBorder="1" applyAlignment="1" applyProtection="1">
      <alignment horizontal="center"/>
    </xf>
    <xf numFmtId="0" fontId="19" fillId="7" borderId="1" xfId="0" applyFont="1" applyFill="1" applyBorder="1" applyAlignment="1" applyProtection="1">
      <alignment horizontal="center"/>
    </xf>
    <xf numFmtId="0" fontId="19" fillId="7" borderId="74" xfId="0" applyFont="1" applyFill="1" applyBorder="1" applyAlignment="1" applyProtection="1">
      <alignment horizontal="center"/>
    </xf>
    <xf numFmtId="0" fontId="19" fillId="7" borderId="61" xfId="0" applyFont="1" applyFill="1" applyBorder="1" applyProtection="1"/>
    <xf numFmtId="0" fontId="9" fillId="15" borderId="0" xfId="0" applyFont="1" applyFill="1" applyAlignment="1">
      <alignment horizontal="left"/>
    </xf>
    <xf numFmtId="0" fontId="9" fillId="15" borderId="0" xfId="0" applyFont="1" applyFill="1"/>
    <xf numFmtId="0" fontId="70" fillId="12" borderId="12" xfId="0" applyFont="1" applyFill="1" applyBorder="1" applyProtection="1"/>
    <xf numFmtId="0" fontId="19" fillId="12" borderId="110" xfId="0" applyFont="1" applyFill="1" applyBorder="1" applyProtection="1"/>
    <xf numFmtId="0" fontId="24" fillId="12" borderId="110" xfId="0" applyFont="1" applyFill="1" applyBorder="1" applyProtection="1"/>
    <xf numFmtId="0" fontId="19" fillId="12" borderId="13" xfId="0" applyFont="1" applyFill="1" applyBorder="1" applyProtection="1"/>
    <xf numFmtId="0" fontId="19" fillId="12" borderId="10" xfId="0" applyFont="1" applyFill="1" applyBorder="1" applyProtection="1"/>
    <xf numFmtId="0" fontId="19" fillId="3" borderId="23" xfId="0" applyFont="1" applyFill="1" applyBorder="1" applyAlignment="1" applyProtection="1">
      <alignment horizontal="center" wrapText="1"/>
    </xf>
    <xf numFmtId="0" fontId="19" fillId="3" borderId="134" xfId="0" applyFont="1" applyFill="1" applyBorder="1" applyAlignment="1" applyProtection="1">
      <alignment horizontal="center" wrapText="1"/>
    </xf>
    <xf numFmtId="0" fontId="19" fillId="3" borderId="131" xfId="0" applyFont="1" applyFill="1" applyBorder="1" applyAlignment="1" applyProtection="1">
      <alignment horizontal="center" wrapText="1"/>
    </xf>
    <xf numFmtId="0" fontId="19" fillId="3" borderId="21" xfId="0" applyFont="1" applyFill="1" applyBorder="1" applyAlignment="1" applyProtection="1">
      <alignment horizontal="center" wrapText="1"/>
    </xf>
    <xf numFmtId="0" fontId="19" fillId="3" borderId="122" xfId="0" applyFont="1" applyFill="1" applyBorder="1" applyAlignment="1" applyProtection="1">
      <alignment horizontal="center" wrapText="1"/>
    </xf>
    <xf numFmtId="0" fontId="19" fillId="3" borderId="20" xfId="0" applyFont="1" applyFill="1" applyBorder="1" applyAlignment="1" applyProtection="1">
      <alignment horizontal="center" wrapText="1"/>
    </xf>
    <xf numFmtId="0" fontId="19" fillId="3" borderId="135" xfId="0" applyFont="1" applyFill="1" applyBorder="1" applyAlignment="1" applyProtection="1">
      <alignment horizontal="center" wrapText="1"/>
    </xf>
    <xf numFmtId="0" fontId="19" fillId="3" borderId="45" xfId="0" applyFont="1" applyFill="1" applyBorder="1" applyAlignment="1" applyProtection="1">
      <alignment horizontal="center" wrapText="1"/>
    </xf>
    <xf numFmtId="0" fontId="19" fillId="12" borderId="17" xfId="0" applyFont="1" applyFill="1" applyBorder="1" applyProtection="1"/>
    <xf numFmtId="0" fontId="19" fillId="0" borderId="0" xfId="0" applyFont="1" applyAlignment="1" applyProtection="1">
      <alignment wrapText="1"/>
    </xf>
    <xf numFmtId="174" fontId="19" fillId="6" borderId="33" xfId="0" applyNumberFormat="1" applyFont="1" applyFill="1" applyBorder="1" applyAlignment="1" applyProtection="1">
      <alignment horizontal="center"/>
      <protection locked="0"/>
    </xf>
    <xf numFmtId="3" fontId="19" fillId="6" borderId="33" xfId="0" applyNumberFormat="1" applyFont="1" applyFill="1" applyBorder="1" applyAlignment="1" applyProtection="1">
      <alignment horizontal="center"/>
      <protection locked="0"/>
    </xf>
    <xf numFmtId="168" fontId="73" fillId="14" borderId="27" xfId="0" applyNumberFormat="1" applyFont="1" applyFill="1" applyBorder="1" applyProtection="1"/>
    <xf numFmtId="0" fontId="74" fillId="12" borderId="0" xfId="0" applyFont="1" applyFill="1" applyBorder="1" applyAlignment="1" applyProtection="1">
      <alignment horizontal="center"/>
    </xf>
    <xf numFmtId="168" fontId="19" fillId="6" borderId="45" xfId="0" applyNumberFormat="1" applyFont="1" applyFill="1" applyBorder="1" applyAlignment="1" applyProtection="1">
      <alignment horizontal="right"/>
      <protection locked="0"/>
    </xf>
    <xf numFmtId="174" fontId="19" fillId="6" borderId="29" xfId="0" applyNumberFormat="1" applyFont="1" applyFill="1" applyBorder="1" applyAlignment="1" applyProtection="1">
      <alignment horizontal="center"/>
      <protection locked="0"/>
    </xf>
    <xf numFmtId="3" fontId="19" fillId="6" borderId="29" xfId="0" applyNumberFormat="1" applyFont="1" applyFill="1" applyBorder="1" applyAlignment="1" applyProtection="1">
      <alignment horizontal="center"/>
      <protection locked="0"/>
    </xf>
    <xf numFmtId="168" fontId="19" fillId="6" borderId="29" xfId="0" applyNumberFormat="1" applyFont="1" applyFill="1" applyBorder="1" applyAlignment="1" applyProtection="1">
      <alignment horizontal="right"/>
      <protection locked="0"/>
    </xf>
    <xf numFmtId="168" fontId="19" fillId="6" borderId="34" xfId="0" applyNumberFormat="1" applyFont="1" applyFill="1" applyBorder="1" applyAlignment="1" applyProtection="1">
      <alignment horizontal="right"/>
      <protection locked="0"/>
    </xf>
    <xf numFmtId="165" fontId="24" fillId="14" borderId="29" xfId="0" applyNumberFormat="1" applyFont="1" applyFill="1" applyBorder="1" applyAlignment="1" applyProtection="1">
      <alignment horizontal="center"/>
    </xf>
    <xf numFmtId="3" fontId="24" fillId="14" borderId="29" xfId="0" applyNumberFormat="1" applyFont="1" applyFill="1" applyBorder="1" applyAlignment="1" applyProtection="1">
      <alignment horizontal="center"/>
    </xf>
    <xf numFmtId="3" fontId="24" fillId="14" borderId="26" xfId="0" applyNumberFormat="1" applyFont="1" applyFill="1" applyBorder="1" applyAlignment="1" applyProtection="1">
      <alignment horizontal="center"/>
    </xf>
    <xf numFmtId="167" fontId="24" fillId="14" borderId="29" xfId="0" applyNumberFormat="1" applyFont="1" applyFill="1" applyBorder="1" applyAlignment="1" applyProtection="1">
      <alignment horizontal="center"/>
    </xf>
    <xf numFmtId="0" fontId="35" fillId="12" borderId="0" xfId="0" applyFont="1" applyFill="1" applyBorder="1" applyProtection="1"/>
    <xf numFmtId="0" fontId="70" fillId="12" borderId="10" xfId="0" applyFont="1" applyFill="1" applyBorder="1" applyProtection="1"/>
    <xf numFmtId="0" fontId="78" fillId="12" borderId="0" xfId="0" applyFont="1" applyFill="1" applyBorder="1" applyAlignment="1" applyProtection="1">
      <alignment horizontal="center"/>
    </xf>
    <xf numFmtId="0" fontId="78" fillId="12" borderId="0" xfId="0" applyFont="1" applyFill="1" applyBorder="1" applyAlignment="1" applyProtection="1"/>
    <xf numFmtId="0" fontId="71" fillId="12" borderId="0" xfId="0" applyFont="1" applyFill="1" applyBorder="1" applyAlignment="1" applyProtection="1">
      <alignment horizontal="center"/>
    </xf>
    <xf numFmtId="0" fontId="19" fillId="3" borderId="136" xfId="0" applyFont="1" applyFill="1" applyBorder="1" applyAlignment="1" applyProtection="1">
      <alignment horizontal="center" wrapText="1"/>
    </xf>
    <xf numFmtId="0" fontId="79" fillId="12" borderId="0" xfId="0" applyFont="1" applyFill="1" applyBorder="1" applyAlignment="1" applyProtection="1">
      <alignment horizontal="center"/>
    </xf>
    <xf numFmtId="0" fontId="19" fillId="6" borderId="137" xfId="0" applyFont="1" applyFill="1" applyBorder="1" applyAlignment="1" applyProtection="1">
      <alignment horizontal="center"/>
      <protection locked="0"/>
    </xf>
    <xf numFmtId="0" fontId="19" fillId="6" borderId="138" xfId="0" applyFont="1" applyFill="1" applyBorder="1" applyAlignment="1" applyProtection="1">
      <alignment horizontal="center"/>
      <protection locked="0"/>
    </xf>
    <xf numFmtId="0" fontId="19" fillId="6" borderId="139" xfId="0" applyFont="1" applyFill="1" applyBorder="1" applyAlignment="1" applyProtection="1">
      <alignment horizontal="center"/>
      <protection locked="0"/>
    </xf>
    <xf numFmtId="0" fontId="19" fillId="14" borderId="35" xfId="0" applyFont="1" applyFill="1" applyBorder="1" applyAlignment="1" applyProtection="1">
      <alignment horizontal="center"/>
    </xf>
    <xf numFmtId="3" fontId="19" fillId="14" borderId="35" xfId="0" applyNumberFormat="1" applyFont="1" applyFill="1" applyBorder="1" applyAlignment="1" applyProtection="1">
      <alignment horizontal="center"/>
    </xf>
    <xf numFmtId="3" fontId="24" fillId="14" borderId="33" xfId="0" applyNumberFormat="1" applyFont="1" applyFill="1" applyBorder="1" applyAlignment="1" applyProtection="1">
      <alignment horizontal="center"/>
    </xf>
    <xf numFmtId="9" fontId="35" fillId="12" borderId="0" xfId="0" applyNumberFormat="1" applyFont="1" applyFill="1" applyBorder="1" applyProtection="1"/>
    <xf numFmtId="167" fontId="19" fillId="3" borderId="20" xfId="0" applyNumberFormat="1" applyFont="1" applyFill="1" applyBorder="1" applyAlignment="1" applyProtection="1">
      <alignment horizontal="center" wrapText="1"/>
    </xf>
    <xf numFmtId="3" fontId="19" fillId="6" borderId="137" xfId="0" applyNumberFormat="1" applyFont="1" applyFill="1" applyBorder="1" applyAlignment="1" applyProtection="1">
      <alignment horizontal="center"/>
      <protection locked="0"/>
    </xf>
    <xf numFmtId="3" fontId="19" fillId="6" borderId="138" xfId="0" applyNumberFormat="1" applyFont="1" applyFill="1" applyBorder="1" applyAlignment="1" applyProtection="1">
      <alignment horizontal="center"/>
      <protection locked="0"/>
    </xf>
    <xf numFmtId="4" fontId="79" fillId="12" borderId="0" xfId="0" applyNumberFormat="1" applyFont="1" applyFill="1" applyBorder="1" applyAlignment="1" applyProtection="1">
      <alignment horizontal="center"/>
    </xf>
    <xf numFmtId="3" fontId="19" fillId="6" borderId="139" xfId="0" applyNumberFormat="1" applyFont="1" applyFill="1" applyBorder="1" applyAlignment="1" applyProtection="1">
      <alignment horizontal="center"/>
      <protection locked="0"/>
    </xf>
    <xf numFmtId="167" fontId="24" fillId="14" borderId="33" xfId="0" applyNumberFormat="1" applyFont="1" applyFill="1" applyBorder="1" applyAlignment="1" applyProtection="1">
      <alignment horizontal="center"/>
    </xf>
    <xf numFmtId="0" fontId="78" fillId="12" borderId="0" xfId="0" applyFont="1" applyFill="1" applyBorder="1" applyProtection="1"/>
    <xf numFmtId="3" fontId="19" fillId="3" borderId="23" xfId="0" applyNumberFormat="1" applyFont="1" applyFill="1" applyBorder="1" applyAlignment="1" applyProtection="1">
      <alignment horizontal="center" wrapText="1"/>
    </xf>
    <xf numFmtId="3" fontId="19" fillId="3" borderId="134" xfId="0" applyNumberFormat="1" applyFont="1" applyFill="1" applyBorder="1" applyAlignment="1" applyProtection="1">
      <alignment horizontal="center" wrapText="1"/>
    </xf>
    <xf numFmtId="3" fontId="19" fillId="3" borderId="131" xfId="0" applyNumberFormat="1" applyFont="1" applyFill="1" applyBorder="1" applyAlignment="1" applyProtection="1">
      <alignment horizontal="center" wrapText="1"/>
    </xf>
    <xf numFmtId="3" fontId="19" fillId="3" borderId="20" xfId="0" applyNumberFormat="1" applyFont="1" applyFill="1" applyBorder="1" applyAlignment="1" applyProtection="1">
      <alignment horizontal="center" wrapText="1"/>
    </xf>
    <xf numFmtId="0" fontId="72" fillId="12" borderId="0" xfId="0" applyFont="1" applyFill="1" applyBorder="1" applyProtection="1"/>
    <xf numFmtId="3" fontId="19" fillId="0" borderId="49" xfId="0" applyNumberFormat="1" applyFont="1" applyBorder="1" applyAlignment="1" applyProtection="1">
      <alignment horizontal="right"/>
    </xf>
    <xf numFmtId="3" fontId="19" fillId="0" borderId="26" xfId="0" applyNumberFormat="1" applyFont="1" applyBorder="1" applyAlignment="1" applyProtection="1">
      <alignment horizontal="right"/>
    </xf>
    <xf numFmtId="4" fontId="24" fillId="12" borderId="0" xfId="0" applyNumberFormat="1" applyFont="1" applyFill="1" applyBorder="1" applyAlignment="1" applyProtection="1">
      <alignment horizontal="center"/>
    </xf>
    <xf numFmtId="0" fontId="19" fillId="12" borderId="24" xfId="0" applyFont="1" applyFill="1" applyBorder="1" applyProtection="1"/>
    <xf numFmtId="0" fontId="19" fillId="12" borderId="113" xfId="0" applyFont="1" applyFill="1" applyBorder="1" applyProtection="1"/>
    <xf numFmtId="0" fontId="19" fillId="12" borderId="25" xfId="0" applyFont="1" applyFill="1" applyBorder="1" applyProtection="1"/>
    <xf numFmtId="0" fontId="0" fillId="0" borderId="0" xfId="0" applyAlignment="1">
      <alignment horizontal="left"/>
    </xf>
    <xf numFmtId="0" fontId="43" fillId="0" borderId="0" xfId="0" applyFont="1" applyFill="1" applyBorder="1" applyAlignment="1">
      <alignment horizontal="left"/>
    </xf>
    <xf numFmtId="0" fontId="0" fillId="0" borderId="0" xfId="0" applyFill="1" applyBorder="1" applyAlignment="1">
      <alignment horizontal="left"/>
    </xf>
    <xf numFmtId="0" fontId="21" fillId="12" borderId="110" xfId="16" applyFont="1" applyFill="1" applyBorder="1" applyProtection="1"/>
    <xf numFmtId="0" fontId="6" fillId="12" borderId="110" xfId="16" applyFont="1" applyFill="1" applyBorder="1" applyProtection="1"/>
    <xf numFmtId="0" fontId="6" fillId="0" borderId="0" xfId="0" applyFont="1" applyBorder="1" applyProtection="1"/>
    <xf numFmtId="0" fontId="6" fillId="12" borderId="122" xfId="16" applyFont="1" applyFill="1" applyBorder="1" applyProtection="1"/>
    <xf numFmtId="0" fontId="6" fillId="12" borderId="20" xfId="16" applyFont="1" applyFill="1" applyBorder="1" applyProtection="1"/>
    <xf numFmtId="0" fontId="43" fillId="12" borderId="17" xfId="0" applyFont="1" applyFill="1" applyBorder="1" applyProtection="1"/>
    <xf numFmtId="168" fontId="6" fillId="14" borderId="29" xfId="16" applyNumberFormat="1" applyFont="1" applyFill="1" applyBorder="1" applyAlignment="1" applyProtection="1">
      <alignment horizontal="left"/>
    </xf>
    <xf numFmtId="167" fontId="6" fillId="12" borderId="0" xfId="16" applyNumberFormat="1" applyFont="1" applyFill="1" applyBorder="1" applyAlignment="1" applyProtection="1">
      <alignment horizontal="center"/>
    </xf>
    <xf numFmtId="0" fontId="6" fillId="12" borderId="0" xfId="16" applyFont="1" applyFill="1" applyBorder="1" applyProtection="1"/>
    <xf numFmtId="0" fontId="43" fillId="12" borderId="10" xfId="0" applyFont="1" applyFill="1" applyBorder="1" applyProtection="1"/>
    <xf numFmtId="0" fontId="6" fillId="12" borderId="10" xfId="0" applyFont="1" applyFill="1" applyBorder="1" applyProtection="1"/>
    <xf numFmtId="0" fontId="6" fillId="12" borderId="17" xfId="0" applyFont="1" applyFill="1" applyBorder="1" applyProtection="1"/>
    <xf numFmtId="0" fontId="6" fillId="12" borderId="0" xfId="0" applyFont="1" applyFill="1" applyBorder="1" applyProtection="1"/>
    <xf numFmtId="0" fontId="6" fillId="12" borderId="24" xfId="0" applyFont="1" applyFill="1" applyBorder="1" applyProtection="1"/>
    <xf numFmtId="0" fontId="6" fillId="12" borderId="113" xfId="0" applyFont="1" applyFill="1" applyBorder="1" applyProtection="1"/>
    <xf numFmtId="0" fontId="6" fillId="12" borderId="25" xfId="0" applyFont="1" applyFill="1" applyBorder="1" applyProtection="1"/>
    <xf numFmtId="0" fontId="70" fillId="12" borderId="0" xfId="0" applyFont="1" applyFill="1"/>
    <xf numFmtId="0" fontId="19" fillId="12" borderId="0" xfId="0" applyFont="1" applyFill="1"/>
    <xf numFmtId="0" fontId="19" fillId="0" borderId="0" xfId="0" applyFont="1" applyAlignment="1">
      <alignment horizontal="left"/>
    </xf>
    <xf numFmtId="0" fontId="24" fillId="12" borderId="0" xfId="16" applyFont="1" applyFill="1" applyBorder="1"/>
    <xf numFmtId="0" fontId="24" fillId="12" borderId="0" xfId="0" applyFont="1" applyFill="1" applyBorder="1"/>
    <xf numFmtId="0" fontId="19" fillId="12" borderId="0" xfId="0" applyFont="1" applyFill="1" applyBorder="1"/>
    <xf numFmtId="0" fontId="19" fillId="12" borderId="0" xfId="16" applyFont="1" applyFill="1" applyBorder="1"/>
    <xf numFmtId="0" fontId="24" fillId="12" borderId="141" xfId="16" applyFont="1" applyFill="1" applyBorder="1" applyAlignment="1" applyProtection="1">
      <alignment horizontal="center"/>
    </xf>
    <xf numFmtId="0" fontId="24" fillId="12" borderId="123" xfId="16" applyFont="1" applyFill="1" applyBorder="1" applyAlignment="1" applyProtection="1">
      <alignment horizontal="center" wrapText="1"/>
      <protection locked="0"/>
    </xf>
    <xf numFmtId="0" fontId="24" fillId="12" borderId="123" xfId="16" applyFont="1" applyFill="1" applyBorder="1" applyAlignment="1" applyProtection="1">
      <alignment horizontal="center"/>
      <protection locked="0"/>
    </xf>
    <xf numFmtId="6" fontId="24" fillId="12" borderId="141" xfId="16" applyNumberFormat="1" applyFont="1" applyFill="1" applyBorder="1" applyAlignment="1" applyProtection="1">
      <alignment horizontal="right"/>
    </xf>
    <xf numFmtId="6" fontId="24" fillId="12" borderId="142" xfId="16" applyNumberFormat="1" applyFont="1" applyFill="1" applyBorder="1" applyAlignment="1" applyProtection="1">
      <alignment horizontal="right"/>
    </xf>
    <xf numFmtId="0" fontId="19" fillId="12" borderId="141" xfId="0" applyFont="1" applyFill="1" applyBorder="1"/>
    <xf numFmtId="0" fontId="24" fillId="12" borderId="47" xfId="0" applyFont="1" applyFill="1" applyBorder="1"/>
    <xf numFmtId="0" fontId="19" fillId="12" borderId="29" xfId="0" applyFont="1" applyFill="1" applyBorder="1"/>
    <xf numFmtId="0" fontId="19" fillId="12" borderId="26" xfId="16" applyFont="1" applyFill="1" applyBorder="1"/>
    <xf numFmtId="6" fontId="24" fillId="12" borderId="143" xfId="16" applyNumberFormat="1" applyFont="1" applyFill="1" applyBorder="1" applyAlignment="1" applyProtection="1">
      <alignment horizontal="right"/>
    </xf>
    <xf numFmtId="6" fontId="24" fillId="12" borderId="53" xfId="16" applyNumberFormat="1" applyFont="1" applyFill="1" applyBorder="1" applyAlignment="1" applyProtection="1">
      <alignment horizontal="right"/>
    </xf>
    <xf numFmtId="0" fontId="19" fillId="12" borderId="143" xfId="0" applyFont="1" applyFill="1" applyBorder="1"/>
    <xf numFmtId="0" fontId="80" fillId="12" borderId="143" xfId="16" applyFont="1" applyFill="1" applyBorder="1" applyAlignment="1" applyProtection="1">
      <alignment horizontal="right"/>
    </xf>
    <xf numFmtId="0" fontId="80" fillId="12" borderId="53" xfId="16" applyFont="1" applyFill="1" applyBorder="1" applyAlignment="1" applyProtection="1">
      <alignment horizontal="right"/>
    </xf>
    <xf numFmtId="0" fontId="19" fillId="12" borderId="47" xfId="0" applyFont="1" applyFill="1" applyBorder="1"/>
    <xf numFmtId="167" fontId="80" fillId="12" borderId="143" xfId="16" applyNumberFormat="1" applyFont="1" applyFill="1" applyBorder="1" applyAlignment="1" applyProtection="1">
      <alignment horizontal="right"/>
    </xf>
    <xf numFmtId="167" fontId="80" fillId="12" borderId="53" xfId="16" applyNumberFormat="1" applyFont="1" applyFill="1" applyBorder="1" applyAlignment="1" applyProtection="1">
      <alignment horizontal="right"/>
    </xf>
    <xf numFmtId="0" fontId="19" fillId="12" borderId="29" xfId="0" quotePrefix="1" applyFont="1" applyFill="1" applyBorder="1" applyAlignment="1">
      <alignment horizontal="left"/>
    </xf>
    <xf numFmtId="6" fontId="19" fillId="4" borderId="143" xfId="16" applyNumberFormat="1" applyFont="1" applyFill="1" applyBorder="1" applyAlignment="1" applyProtection="1">
      <alignment horizontal="right"/>
      <protection locked="0"/>
    </xf>
    <xf numFmtId="6" fontId="19" fillId="14" borderId="53" xfId="16" applyNumberFormat="1" applyFont="1" applyFill="1" applyBorder="1" applyAlignment="1" applyProtection="1">
      <alignment horizontal="right"/>
      <protection locked="0"/>
    </xf>
    <xf numFmtId="6" fontId="19" fillId="6" borderId="53" xfId="16" applyNumberFormat="1" applyFont="1" applyFill="1" applyBorder="1" applyAlignment="1" applyProtection="1">
      <alignment horizontal="right"/>
      <protection locked="0"/>
    </xf>
    <xf numFmtId="6" fontId="24" fillId="0" borderId="55" xfId="16" applyNumberFormat="1" applyFont="1" applyBorder="1" applyAlignment="1" applyProtection="1">
      <alignment horizontal="right"/>
    </xf>
    <xf numFmtId="6" fontId="24" fillId="14" borderId="53" xfId="16" applyNumberFormat="1" applyFont="1" applyFill="1" applyBorder="1" applyAlignment="1" applyProtection="1">
      <alignment horizontal="right"/>
    </xf>
    <xf numFmtId="10" fontId="71" fillId="14" borderId="55" xfId="0" applyNumberFormat="1" applyFont="1" applyFill="1" applyBorder="1"/>
    <xf numFmtId="6" fontId="80" fillId="0" borderId="143" xfId="16" applyNumberFormat="1" applyFont="1" applyBorder="1" applyAlignment="1" applyProtection="1">
      <alignment horizontal="right"/>
    </xf>
    <xf numFmtId="6" fontId="80" fillId="12" borderId="53" xfId="16" applyNumberFormat="1" applyFont="1" applyFill="1" applyBorder="1" applyAlignment="1" applyProtection="1">
      <alignment horizontal="right"/>
    </xf>
    <xf numFmtId="10" fontId="71" fillId="12" borderId="26" xfId="16" applyNumberFormat="1" applyFont="1" applyFill="1" applyBorder="1" applyProtection="1">
      <protection locked="0"/>
    </xf>
    <xf numFmtId="0" fontId="19" fillId="12" borderId="41" xfId="16" applyFont="1" applyFill="1" applyBorder="1"/>
    <xf numFmtId="6" fontId="19" fillId="0" borderId="55" xfId="16" applyNumberFormat="1" applyFont="1" applyBorder="1" applyAlignment="1" applyProtection="1">
      <alignment horizontal="right"/>
      <protection locked="0"/>
    </xf>
    <xf numFmtId="6" fontId="24" fillId="0" borderId="143" xfId="16" applyNumberFormat="1" applyFont="1" applyBorder="1" applyAlignment="1" applyProtection="1">
      <alignment horizontal="right"/>
      <protection locked="0"/>
    </xf>
    <xf numFmtId="6" fontId="24" fillId="14" borderId="53" xfId="16" applyNumberFormat="1" applyFont="1" applyFill="1" applyBorder="1" applyAlignment="1" applyProtection="1">
      <alignment horizontal="right"/>
      <protection locked="0"/>
    </xf>
    <xf numFmtId="0" fontId="70" fillId="12" borderId="47" xfId="0" applyFont="1" applyFill="1" applyBorder="1"/>
    <xf numFmtId="0" fontId="24" fillId="12" borderId="47" xfId="0" applyFont="1" applyFill="1" applyBorder="1" applyAlignment="1"/>
    <xf numFmtId="0" fontId="19" fillId="12" borderId="47" xfId="0" applyFont="1" applyFill="1" applyBorder="1" applyAlignment="1">
      <alignment horizontal="right"/>
    </xf>
    <xf numFmtId="6" fontId="19" fillId="0" borderId="55" xfId="16" applyNumberFormat="1" applyFont="1" applyBorder="1" applyAlignment="1" applyProtection="1">
      <alignment horizontal="right"/>
    </xf>
    <xf numFmtId="6" fontId="19" fillId="14" borderId="53" xfId="16" applyNumberFormat="1" applyFont="1" applyFill="1" applyBorder="1" applyAlignment="1" applyProtection="1">
      <alignment horizontal="right"/>
    </xf>
    <xf numFmtId="6" fontId="24" fillId="0" borderId="143" xfId="16" applyNumberFormat="1" applyFont="1" applyBorder="1" applyAlignment="1" applyProtection="1">
      <alignment horizontal="right"/>
    </xf>
    <xf numFmtId="10" fontId="71" fillId="14" borderId="143" xfId="0" applyNumberFormat="1" applyFont="1" applyFill="1" applyBorder="1"/>
    <xf numFmtId="0" fontId="71" fillId="12" borderId="47" xfId="0" applyFont="1" applyFill="1" applyBorder="1"/>
    <xf numFmtId="6" fontId="19" fillId="0" borderId="143" xfId="16" applyNumberFormat="1" applyFont="1" applyBorder="1" applyAlignment="1" applyProtection="1">
      <alignment horizontal="right"/>
    </xf>
    <xf numFmtId="6" fontId="19" fillId="0" borderId="123" xfId="16" applyNumberFormat="1" applyFont="1" applyBorder="1" applyAlignment="1" applyProtection="1">
      <alignment horizontal="right"/>
    </xf>
    <xf numFmtId="10" fontId="71" fillId="14" borderId="123" xfId="0" applyNumberFormat="1" applyFont="1" applyFill="1" applyBorder="1"/>
    <xf numFmtId="0" fontId="19" fillId="12" borderId="26" xfId="0" applyFont="1" applyFill="1" applyBorder="1"/>
    <xf numFmtId="0" fontId="19" fillId="0" borderId="0" xfId="0" applyFont="1"/>
    <xf numFmtId="0" fontId="19" fillId="12" borderId="27" xfId="0" applyFont="1" applyFill="1" applyBorder="1"/>
    <xf numFmtId="0" fontId="72" fillId="14" borderId="0" xfId="0" applyFont="1" applyFill="1" applyBorder="1" applyProtection="1"/>
    <xf numFmtId="0" fontId="24" fillId="0" borderId="141" xfId="16" applyFont="1" applyFill="1" applyBorder="1" applyAlignment="1" applyProtection="1">
      <alignment horizontal="center"/>
    </xf>
    <xf numFmtId="0" fontId="24" fillId="12" borderId="53" xfId="16" applyFont="1" applyFill="1" applyBorder="1" applyAlignment="1" applyProtection="1">
      <alignment horizontal="center"/>
    </xf>
    <xf numFmtId="0" fontId="24" fillId="0" borderId="123" xfId="16" applyFont="1" applyFill="1" applyBorder="1" applyAlignment="1" applyProtection="1">
      <alignment horizontal="center"/>
      <protection locked="0"/>
    </xf>
    <xf numFmtId="0" fontId="24" fillId="12" borderId="53" xfId="16" applyFont="1" applyFill="1" applyBorder="1" applyAlignment="1" applyProtection="1">
      <alignment horizontal="center"/>
      <protection locked="0"/>
    </xf>
    <xf numFmtId="6" fontId="80" fillId="0" borderId="141" xfId="16" applyNumberFormat="1" applyFont="1" applyBorder="1" applyAlignment="1" applyProtection="1">
      <alignment horizontal="right"/>
    </xf>
    <xf numFmtId="6" fontId="80" fillId="0" borderId="143" xfId="16" applyNumberFormat="1" applyFont="1" applyBorder="1" applyAlignment="1" applyProtection="1">
      <alignment horizontal="right"/>
      <protection locked="0"/>
    </xf>
    <xf numFmtId="6" fontId="80" fillId="12" borderId="53" xfId="16" applyNumberFormat="1" applyFont="1" applyFill="1" applyBorder="1" applyAlignment="1" applyProtection="1">
      <alignment horizontal="right"/>
      <protection locked="0"/>
    </xf>
    <xf numFmtId="10" fontId="71" fillId="12" borderId="143" xfId="0" applyNumberFormat="1" applyFont="1" applyFill="1" applyBorder="1"/>
    <xf numFmtId="0" fontId="24" fillId="12" borderId="29" xfId="0" applyFont="1" applyFill="1" applyBorder="1"/>
    <xf numFmtId="0" fontId="24" fillId="12" borderId="41" xfId="16" applyFont="1" applyFill="1" applyBorder="1"/>
    <xf numFmtId="6" fontId="24" fillId="3" borderId="11" xfId="16" applyNumberFormat="1" applyFont="1" applyFill="1" applyBorder="1" applyAlignment="1" applyProtection="1">
      <alignment horizontal="right"/>
    </xf>
    <xf numFmtId="6" fontId="24" fillId="0" borderId="143" xfId="16" applyNumberFormat="1" applyFont="1" applyFill="1" applyBorder="1" applyAlignment="1" applyProtection="1">
      <alignment horizontal="right"/>
    </xf>
    <xf numFmtId="6" fontId="24" fillId="12" borderId="41" xfId="16" applyNumberFormat="1" applyFont="1" applyFill="1" applyBorder="1"/>
    <xf numFmtId="6" fontId="19" fillId="0" borderId="143" xfId="16" applyNumberFormat="1" applyFont="1" applyFill="1" applyBorder="1" applyAlignment="1" applyProtection="1">
      <alignment horizontal="right"/>
    </xf>
    <xf numFmtId="6" fontId="19" fillId="12" borderId="53" xfId="16" applyNumberFormat="1" applyFont="1" applyFill="1" applyBorder="1" applyAlignment="1" applyProtection="1">
      <alignment horizontal="right"/>
    </xf>
    <xf numFmtId="0" fontId="24" fillId="12" borderId="47" xfId="0" quotePrefix="1" applyFont="1" applyFill="1" applyBorder="1" applyAlignment="1">
      <alignment horizontal="left"/>
    </xf>
    <xf numFmtId="167" fontId="80" fillId="0" borderId="143" xfId="16" applyNumberFormat="1" applyFont="1" applyBorder="1" applyAlignment="1" applyProtection="1">
      <alignment horizontal="right"/>
    </xf>
    <xf numFmtId="6" fontId="35" fillId="0" borderId="143" xfId="16" applyNumberFormat="1" applyFont="1" applyBorder="1" applyAlignment="1" applyProtection="1">
      <alignment horizontal="right"/>
    </xf>
    <xf numFmtId="6" fontId="35" fillId="12" borderId="53" xfId="16" applyNumberFormat="1" applyFont="1" applyFill="1" applyBorder="1" applyAlignment="1" applyProtection="1">
      <alignment horizontal="right"/>
    </xf>
    <xf numFmtId="6" fontId="35" fillId="7" borderId="143" xfId="16" applyNumberFormat="1" applyFont="1" applyFill="1" applyBorder="1" applyAlignment="1" applyProtection="1">
      <alignment horizontal="right"/>
    </xf>
    <xf numFmtId="9" fontId="81" fillId="12" borderId="0" xfId="16" applyNumberFormat="1" applyFont="1" applyFill="1" applyBorder="1"/>
    <xf numFmtId="10" fontId="71" fillId="12" borderId="26" xfId="16" applyNumberFormat="1" applyFont="1" applyFill="1" applyBorder="1"/>
    <xf numFmtId="9" fontId="35" fillId="0" borderId="0" xfId="0" applyNumberFormat="1" applyFont="1" applyProtection="1">
      <protection locked="0"/>
    </xf>
    <xf numFmtId="0" fontId="19" fillId="12" borderId="47" xfId="0" applyFont="1" applyFill="1" applyBorder="1" applyAlignment="1">
      <alignment horizontal="left"/>
    </xf>
    <xf numFmtId="0" fontId="82" fillId="12" borderId="29" xfId="0" applyFont="1" applyFill="1" applyBorder="1"/>
    <xf numFmtId="4" fontId="19" fillId="0" borderId="123" xfId="16" applyNumberFormat="1" applyFont="1" applyBorder="1" applyAlignment="1" applyProtection="1">
      <alignment horizontal="right"/>
    </xf>
    <xf numFmtId="4" fontId="19" fillId="14" borderId="124" xfId="16" applyNumberFormat="1" applyFont="1" applyFill="1" applyBorder="1" applyAlignment="1" applyProtection="1">
      <alignment horizontal="right"/>
    </xf>
    <xf numFmtId="0" fontId="19" fillId="12" borderId="123" xfId="0" applyFont="1" applyFill="1" applyBorder="1"/>
    <xf numFmtId="0" fontId="19" fillId="12" borderId="10" xfId="0" applyFont="1" applyFill="1" applyBorder="1"/>
    <xf numFmtId="0" fontId="19" fillId="12" borderId="28" xfId="0" applyFont="1" applyFill="1" applyBorder="1"/>
    <xf numFmtId="0" fontId="72" fillId="12" borderId="17" xfId="0" applyFont="1" applyFill="1" applyBorder="1" applyProtection="1"/>
    <xf numFmtId="0" fontId="19" fillId="12" borderId="17" xfId="0" applyFont="1" applyFill="1" applyBorder="1"/>
    <xf numFmtId="0" fontId="19" fillId="12" borderId="24" xfId="0" applyFont="1" applyFill="1" applyBorder="1"/>
    <xf numFmtId="0" fontId="19" fillId="12" borderId="144" xfId="0" applyFont="1" applyFill="1" applyBorder="1"/>
    <xf numFmtId="0" fontId="19" fillId="12" borderId="34" xfId="0" applyFont="1" applyFill="1" applyBorder="1"/>
    <xf numFmtId="0" fontId="19" fillId="12" borderId="145" xfId="0" applyFont="1" applyFill="1" applyBorder="1"/>
    <xf numFmtId="0" fontId="19" fillId="12" borderId="113" xfId="0" applyFont="1" applyFill="1" applyBorder="1"/>
    <xf numFmtId="0" fontId="19" fillId="12" borderId="25" xfId="0" applyFont="1" applyFill="1" applyBorder="1"/>
    <xf numFmtId="0" fontId="83" fillId="15" borderId="28" xfId="14" applyFill="1" applyBorder="1" applyProtection="1">
      <protection locked="0"/>
    </xf>
    <xf numFmtId="0" fontId="0" fillId="15" borderId="28" xfId="0" applyFill="1" applyBorder="1" applyAlignment="1" applyProtection="1">
      <protection locked="0"/>
    </xf>
    <xf numFmtId="0" fontId="21" fillId="6" borderId="28" xfId="0" applyFont="1" applyFill="1" applyBorder="1" applyAlignment="1" applyProtection="1">
      <alignment horizontal="center"/>
      <protection locked="0"/>
    </xf>
    <xf numFmtId="0" fontId="0" fillId="14" borderId="27" xfId="0" applyFill="1" applyBorder="1"/>
    <xf numFmtId="176" fontId="0" fillId="14" borderId="27" xfId="0" applyNumberFormat="1" applyFill="1" applyBorder="1"/>
    <xf numFmtId="177" fontId="0" fillId="14" borderId="27" xfId="0" applyNumberFormat="1" applyFill="1" applyBorder="1"/>
    <xf numFmtId="177" fontId="43" fillId="14" borderId="27" xfId="0" applyNumberFormat="1" applyFont="1" applyFill="1" applyBorder="1" applyAlignment="1">
      <alignment horizontal="right"/>
    </xf>
    <xf numFmtId="168" fontId="43" fillId="14" borderId="27" xfId="0" applyNumberFormat="1" applyFont="1" applyFill="1" applyBorder="1"/>
    <xf numFmtId="0" fontId="75" fillId="0" borderId="0" xfId="0" applyNumberFormat="1" applyFont="1"/>
    <xf numFmtId="168" fontId="22" fillId="6" borderId="38" xfId="0" applyNumberFormat="1" applyFont="1" applyFill="1" applyBorder="1" applyAlignment="1" applyProtection="1">
      <alignment horizontal="right"/>
      <protection locked="0"/>
    </xf>
    <xf numFmtId="168" fontId="22" fillId="6" borderId="140" xfId="0" applyNumberFormat="1" applyFont="1" applyFill="1" applyBorder="1" applyAlignment="1" applyProtection="1">
      <alignment horizontal="right"/>
      <protection locked="0"/>
    </xf>
    <xf numFmtId="0" fontId="43" fillId="12" borderId="1" xfId="0" applyFont="1" applyFill="1" applyBorder="1"/>
    <xf numFmtId="0" fontId="43" fillId="12" borderId="27" xfId="0" applyFont="1" applyFill="1" applyBorder="1"/>
    <xf numFmtId="0" fontId="43" fillId="12" borderId="27" xfId="0" quotePrefix="1" applyFont="1" applyFill="1" applyBorder="1"/>
    <xf numFmtId="0" fontId="0" fillId="0" borderId="0" xfId="0" applyFill="1"/>
    <xf numFmtId="0" fontId="6" fillId="6" borderId="37" xfId="0" applyFont="1" applyFill="1" applyBorder="1" applyAlignment="1" applyProtection="1">
      <alignment horizontal="left" wrapText="1"/>
      <protection locked="0"/>
    </xf>
    <xf numFmtId="0" fontId="6" fillId="6" borderId="39" xfId="0" applyFont="1" applyFill="1" applyBorder="1" applyAlignment="1" applyProtection="1">
      <alignment horizontal="left" wrapText="1"/>
      <protection locked="0"/>
    </xf>
    <xf numFmtId="168" fontId="0" fillId="0" borderId="0" xfId="0" applyNumberFormat="1"/>
    <xf numFmtId="0" fontId="0" fillId="0" borderId="26" xfId="0" applyBorder="1"/>
    <xf numFmtId="168" fontId="0" fillId="0" borderId="27" xfId="0" applyNumberFormat="1" applyBorder="1"/>
    <xf numFmtId="0" fontId="0" fillId="0" borderId="27" xfId="0" applyBorder="1" applyAlignment="1">
      <alignment horizontal="center"/>
    </xf>
    <xf numFmtId="0" fontId="0" fillId="0" borderId="28" xfId="0" applyBorder="1" applyAlignment="1">
      <alignment horizontal="center"/>
    </xf>
    <xf numFmtId="168" fontId="0" fillId="0" borderId="26" xfId="0" applyNumberFormat="1" applyBorder="1"/>
    <xf numFmtId="0" fontId="0" fillId="0" borderId="26" xfId="0" applyBorder="1" applyAlignment="1">
      <alignment wrapText="1"/>
    </xf>
    <xf numFmtId="168" fontId="0" fillId="0" borderId="27" xfId="0" applyNumberFormat="1" applyBorder="1" applyAlignment="1">
      <alignment vertical="center"/>
    </xf>
    <xf numFmtId="0" fontId="19" fillId="18" borderId="0" xfId="0" applyFont="1" applyFill="1" applyProtection="1"/>
    <xf numFmtId="0" fontId="19" fillId="19" borderId="28" xfId="0" applyFont="1" applyFill="1" applyBorder="1" applyAlignment="1" applyProtection="1">
      <alignment horizontal="center"/>
    </xf>
    <xf numFmtId="0" fontId="19" fillId="19" borderId="119" xfId="0" applyFont="1" applyFill="1" applyBorder="1" applyAlignment="1" applyProtection="1">
      <alignment horizontal="center"/>
    </xf>
    <xf numFmtId="0" fontId="19" fillId="20" borderId="59" xfId="0" applyFont="1" applyFill="1" applyBorder="1" applyProtection="1"/>
    <xf numFmtId="0" fontId="19" fillId="20" borderId="191" xfId="0" applyFont="1" applyFill="1" applyBorder="1" applyProtection="1"/>
    <xf numFmtId="0" fontId="19" fillId="20" borderId="192" xfId="0" applyFont="1" applyFill="1" applyBorder="1" applyProtection="1"/>
    <xf numFmtId="0" fontId="19" fillId="20" borderId="60" xfId="0" applyFont="1" applyFill="1" applyBorder="1" applyProtection="1"/>
    <xf numFmtId="0" fontId="19" fillId="20" borderId="190" xfId="0" applyFont="1" applyFill="1" applyBorder="1" applyProtection="1"/>
    <xf numFmtId="0" fontId="19" fillId="20" borderId="193" xfId="0" applyFont="1" applyFill="1" applyBorder="1" applyProtection="1"/>
    <xf numFmtId="0" fontId="19" fillId="20" borderId="61" xfId="0" applyFont="1" applyFill="1" applyBorder="1" applyProtection="1"/>
    <xf numFmtId="3" fontId="19" fillId="14" borderId="133" xfId="0" applyNumberFormat="1" applyFont="1" applyFill="1" applyBorder="1" applyAlignment="1" applyProtection="1">
      <alignment horizontal="center"/>
      <protection hidden="1"/>
    </xf>
    <xf numFmtId="3" fontId="19" fillId="14" borderId="26" xfId="0" applyNumberFormat="1" applyFont="1" applyFill="1" applyBorder="1" applyAlignment="1" applyProtection="1">
      <alignment horizontal="center"/>
      <protection hidden="1"/>
    </xf>
    <xf numFmtId="3" fontId="24" fillId="14" borderId="26" xfId="0" applyNumberFormat="1" applyFont="1" applyFill="1" applyBorder="1" applyAlignment="1" applyProtection="1">
      <alignment horizontal="center"/>
      <protection hidden="1"/>
    </xf>
    <xf numFmtId="167" fontId="19" fillId="14" borderId="29" xfId="0" applyNumberFormat="1" applyFont="1" applyFill="1" applyBorder="1" applyAlignment="1" applyProtection="1">
      <alignment horizontal="center"/>
      <protection hidden="1"/>
    </xf>
    <xf numFmtId="3" fontId="19" fillId="14" borderId="29" xfId="0" applyNumberFormat="1" applyFont="1" applyFill="1" applyBorder="1" applyAlignment="1" applyProtection="1">
      <alignment horizontal="center"/>
      <protection hidden="1"/>
    </xf>
    <xf numFmtId="3" fontId="19" fillId="14" borderId="140" xfId="0" applyNumberFormat="1" applyFont="1" applyFill="1" applyBorder="1" applyAlignment="1" applyProtection="1">
      <alignment horizontal="center"/>
      <protection hidden="1"/>
    </xf>
    <xf numFmtId="167" fontId="19" fillId="14" borderId="140" xfId="0" applyNumberFormat="1" applyFont="1" applyFill="1" applyBorder="1" applyAlignment="1" applyProtection="1">
      <alignment horizontal="center"/>
      <protection hidden="1"/>
    </xf>
    <xf numFmtId="174" fontId="19" fillId="14" borderId="29" xfId="0" applyNumberFormat="1" applyFont="1" applyFill="1" applyBorder="1" applyProtection="1">
      <protection hidden="1"/>
    </xf>
    <xf numFmtId="174" fontId="19" fillId="14" borderId="34" xfId="0" applyNumberFormat="1" applyFont="1" applyFill="1" applyBorder="1" applyProtection="1">
      <protection hidden="1"/>
    </xf>
    <xf numFmtId="167" fontId="19" fillId="14" borderId="45" xfId="0" applyNumberFormat="1" applyFont="1" applyFill="1" applyBorder="1" applyProtection="1">
      <protection hidden="1"/>
    </xf>
    <xf numFmtId="167" fontId="19" fillId="14" borderId="33" xfId="0" applyNumberFormat="1" applyFont="1" applyFill="1" applyBorder="1" applyProtection="1">
      <protection hidden="1"/>
    </xf>
    <xf numFmtId="167" fontId="19" fillId="14" borderId="33" xfId="0" applyNumberFormat="1" applyFont="1" applyFill="1" applyBorder="1" applyAlignment="1" applyProtection="1">
      <alignment horizontal="center"/>
      <protection hidden="1"/>
    </xf>
    <xf numFmtId="0" fontId="19" fillId="14" borderId="29" xfId="0" applyFont="1" applyFill="1" applyBorder="1" applyAlignment="1" applyProtection="1">
      <alignment horizontal="center"/>
      <protection hidden="1"/>
    </xf>
    <xf numFmtId="167" fontId="19" fillId="14" borderId="29" xfId="0" applyNumberFormat="1" applyFont="1" applyFill="1" applyBorder="1" applyProtection="1">
      <protection hidden="1"/>
    </xf>
    <xf numFmtId="167" fontId="19" fillId="14" borderId="34" xfId="0" applyNumberFormat="1" applyFont="1" applyFill="1" applyBorder="1" applyProtection="1">
      <protection hidden="1"/>
    </xf>
    <xf numFmtId="0" fontId="19" fillId="12" borderId="60" xfId="0" applyFont="1" applyFill="1" applyBorder="1" applyProtection="1">
      <protection hidden="1"/>
    </xf>
    <xf numFmtId="0" fontId="19" fillId="12" borderId="60" xfId="0" applyFont="1" applyFill="1" applyBorder="1" applyAlignment="1" applyProtection="1">
      <alignment wrapText="1"/>
      <protection hidden="1"/>
    </xf>
    <xf numFmtId="0" fontId="19" fillId="12" borderId="60" xfId="0" applyFont="1" applyFill="1" applyBorder="1" applyAlignment="1" applyProtection="1">
      <alignment wrapText="1"/>
    </xf>
    <xf numFmtId="0" fontId="6" fillId="12" borderId="110" xfId="16" applyFont="1" applyFill="1" applyBorder="1" applyAlignment="1" applyProtection="1">
      <alignment horizontal="left"/>
    </xf>
    <xf numFmtId="164" fontId="25" fillId="0" borderId="0" xfId="0" applyNumberFormat="1" applyFont="1" applyAlignment="1" applyProtection="1">
      <alignment horizontal="left"/>
    </xf>
    <xf numFmtId="164" fontId="22" fillId="12" borderId="63" xfId="0" applyNumberFormat="1" applyFont="1" applyFill="1" applyBorder="1" applyAlignment="1" applyProtection="1">
      <alignment horizontal="left"/>
    </xf>
    <xf numFmtId="0" fontId="9" fillId="12" borderId="110" xfId="16" applyFont="1" applyFill="1" applyBorder="1" applyAlignment="1">
      <alignment horizontal="left"/>
    </xf>
    <xf numFmtId="0" fontId="9" fillId="12" borderId="110" xfId="0" applyFont="1" applyFill="1" applyBorder="1" applyAlignment="1">
      <alignment horizontal="left"/>
    </xf>
    <xf numFmtId="0" fontId="0" fillId="12" borderId="0" xfId="0" applyFill="1" applyAlignment="1">
      <alignment horizontal="left"/>
    </xf>
    <xf numFmtId="164" fontId="22" fillId="0" borderId="0" xfId="0" applyNumberFormat="1" applyFont="1" applyAlignment="1">
      <alignment horizontal="left"/>
    </xf>
    <xf numFmtId="167" fontId="13" fillId="14" borderId="123" xfId="16" applyNumberFormat="1" applyFont="1" applyFill="1" applyBorder="1" applyAlignment="1" applyProtection="1">
      <alignment horizontal="center"/>
      <protection hidden="1"/>
    </xf>
    <xf numFmtId="167" fontId="9" fillId="14" borderId="124" xfId="0" applyNumberFormat="1" applyFont="1" applyFill="1" applyBorder="1" applyAlignment="1" applyProtection="1">
      <alignment horizontal="center"/>
      <protection hidden="1"/>
    </xf>
    <xf numFmtId="167" fontId="8" fillId="14" borderId="125" xfId="0" applyNumberFormat="1" applyFont="1" applyFill="1" applyBorder="1" applyAlignment="1" applyProtection="1">
      <alignment horizontal="left"/>
      <protection hidden="1"/>
    </xf>
    <xf numFmtId="167" fontId="9" fillId="14" borderId="93" xfId="0" applyNumberFormat="1" applyFont="1" applyFill="1" applyBorder="1" applyAlignment="1" applyProtection="1">
      <alignment horizontal="left"/>
      <protection hidden="1"/>
    </xf>
    <xf numFmtId="0" fontId="86" fillId="12" borderId="194" xfId="0" applyFont="1" applyFill="1" applyBorder="1"/>
    <xf numFmtId="0" fontId="0" fillId="12" borderId="194" xfId="0" applyFill="1" applyBorder="1"/>
    <xf numFmtId="0" fontId="50" fillId="12" borderId="194" xfId="0" applyFont="1" applyFill="1" applyBorder="1"/>
    <xf numFmtId="0" fontId="43" fillId="12" borderId="194" xfId="0" applyFont="1" applyFill="1" applyBorder="1"/>
    <xf numFmtId="0" fontId="43" fillId="21" borderId="194" xfId="0" applyFont="1" applyFill="1" applyBorder="1" applyProtection="1">
      <protection locked="0"/>
    </xf>
    <xf numFmtId="0" fontId="43" fillId="21" borderId="198" xfId="0" applyFont="1" applyFill="1" applyBorder="1" applyProtection="1">
      <protection locked="0"/>
    </xf>
    <xf numFmtId="0" fontId="0" fillId="12" borderId="197" xfId="0" applyFill="1" applyBorder="1"/>
    <xf numFmtId="0" fontId="43" fillId="0" borderId="0" xfId="0" applyFont="1" applyProtection="1">
      <protection hidden="1"/>
    </xf>
    <xf numFmtId="0" fontId="0" fillId="0" borderId="0" xfId="0" applyProtection="1">
      <protection hidden="1"/>
    </xf>
    <xf numFmtId="0" fontId="0" fillId="12" borderId="196" xfId="0" applyFill="1" applyBorder="1"/>
    <xf numFmtId="0" fontId="43" fillId="12" borderId="194" xfId="0" applyFont="1" applyFill="1" applyBorder="1" applyProtection="1"/>
    <xf numFmtId="0" fontId="0" fillId="21" borderId="196" xfId="0" applyFill="1" applyBorder="1" applyProtection="1">
      <protection locked="0"/>
    </xf>
    <xf numFmtId="0" fontId="0" fillId="21" borderId="194" xfId="0" applyFill="1" applyBorder="1" applyProtection="1">
      <protection locked="0"/>
    </xf>
    <xf numFmtId="0" fontId="89" fillId="0" borderId="0" xfId="0" applyFont="1"/>
    <xf numFmtId="0" fontId="89" fillId="19" borderId="129" xfId="0" applyFont="1" applyFill="1" applyBorder="1" applyAlignment="1">
      <alignment horizontal="center" vertical="center" wrapText="1"/>
    </xf>
    <xf numFmtId="0" fontId="89" fillId="19" borderId="194" xfId="0" applyFont="1" applyFill="1" applyBorder="1" applyAlignment="1">
      <alignment horizontal="center" vertical="center" wrapText="1"/>
    </xf>
    <xf numFmtId="0" fontId="89" fillId="19" borderId="194" xfId="0" applyFont="1" applyFill="1" applyBorder="1" applyAlignment="1">
      <alignment horizontal="center" vertical="center"/>
    </xf>
    <xf numFmtId="0" fontId="89" fillId="19" borderId="149" xfId="0" applyFont="1" applyFill="1" applyBorder="1" applyAlignment="1">
      <alignment horizontal="center" vertical="center" wrapText="1"/>
    </xf>
    <xf numFmtId="0" fontId="89" fillId="23" borderId="129" xfId="0" applyFont="1" applyFill="1" applyBorder="1" applyAlignment="1" applyProtection="1">
      <alignment wrapText="1"/>
      <protection locked="0"/>
    </xf>
    <xf numFmtId="0" fontId="89" fillId="23" borderId="194" xfId="0" applyFont="1" applyFill="1" applyBorder="1" applyAlignment="1" applyProtection="1">
      <alignment wrapText="1"/>
      <protection locked="0"/>
    </xf>
    <xf numFmtId="0" fontId="89" fillId="23" borderId="194" xfId="0" applyFont="1" applyFill="1" applyBorder="1" applyProtection="1">
      <protection locked="0"/>
    </xf>
    <xf numFmtId="0" fontId="89" fillId="23" borderId="149" xfId="0" applyFont="1" applyFill="1" applyBorder="1" applyAlignment="1" applyProtection="1">
      <alignment wrapText="1"/>
      <protection locked="0"/>
    </xf>
    <xf numFmtId="0" fontId="89" fillId="23" borderId="130" xfId="0" applyFont="1" applyFill="1" applyBorder="1" applyAlignment="1" applyProtection="1">
      <alignment wrapText="1"/>
      <protection locked="0"/>
    </xf>
    <xf numFmtId="0" fontId="89" fillId="23" borderId="57" xfId="0" applyFont="1" applyFill="1" applyBorder="1" applyAlignment="1" applyProtection="1">
      <alignment wrapText="1"/>
      <protection locked="0"/>
    </xf>
    <xf numFmtId="0" fontId="89" fillId="23" borderId="57" xfId="0" applyFont="1" applyFill="1" applyBorder="1" applyProtection="1">
      <protection locked="0"/>
    </xf>
    <xf numFmtId="0" fontId="89" fillId="23" borderId="201" xfId="0" applyFont="1" applyFill="1" applyBorder="1" applyAlignment="1" applyProtection="1">
      <alignment wrapText="1"/>
      <protection locked="0"/>
    </xf>
    <xf numFmtId="0" fontId="89" fillId="0" borderId="0" xfId="0" applyFont="1" applyAlignment="1">
      <alignment wrapText="1"/>
    </xf>
    <xf numFmtId="167" fontId="73" fillId="0" borderId="0" xfId="0" applyNumberFormat="1" applyFont="1"/>
    <xf numFmtId="168" fontId="90" fillId="0" borderId="0" xfId="0" applyNumberFormat="1" applyFont="1"/>
    <xf numFmtId="0" fontId="0" fillId="0" borderId="194" xfId="0" applyBorder="1"/>
    <xf numFmtId="0" fontId="84" fillId="17" borderId="194" xfId="9" applyFont="1" applyFill="1" applyBorder="1" applyAlignment="1" applyProtection="1">
      <alignment horizontal="center" vertical="center" wrapText="1"/>
    </xf>
    <xf numFmtId="168" fontId="0" fillId="0" borderId="194" xfId="0" applyNumberFormat="1" applyBorder="1"/>
    <xf numFmtId="0" fontId="0" fillId="0" borderId="194" xfId="0" applyBorder="1" applyAlignment="1">
      <alignment horizontal="center"/>
    </xf>
    <xf numFmtId="0" fontId="85" fillId="0" borderId="194" xfId="0" applyFont="1" applyBorder="1"/>
    <xf numFmtId="0" fontId="85" fillId="0" borderId="194" xfId="0" applyFont="1" applyFill="1" applyBorder="1"/>
    <xf numFmtId="0" fontId="0" fillId="0" borderId="194" xfId="0" applyFill="1" applyBorder="1"/>
    <xf numFmtId="0" fontId="9" fillId="0" borderId="0" xfId="0" applyFont="1" applyAlignment="1">
      <alignment wrapText="1"/>
    </xf>
    <xf numFmtId="0" fontId="9" fillId="0" borderId="0" xfId="0" applyFont="1" applyAlignment="1" applyProtection="1">
      <alignment wrapText="1"/>
    </xf>
    <xf numFmtId="175" fontId="37" fillId="12" borderId="63" xfId="0" applyNumberFormat="1" applyFont="1" applyFill="1" applyBorder="1" applyAlignment="1" applyProtection="1"/>
    <xf numFmtId="175" fontId="37" fillId="12" borderId="0" xfId="0" applyNumberFormat="1" applyFont="1" applyFill="1" applyBorder="1" applyAlignment="1" applyProtection="1"/>
    <xf numFmtId="6" fontId="9" fillId="0" borderId="0" xfId="0" applyNumberFormat="1" applyFont="1" applyProtection="1"/>
    <xf numFmtId="5" fontId="19" fillId="14" borderId="53" xfId="16" applyNumberFormat="1" applyFont="1" applyFill="1" applyBorder="1" applyAlignment="1" applyProtection="1">
      <alignment horizontal="right"/>
      <protection locked="0"/>
    </xf>
    <xf numFmtId="0" fontId="1" fillId="0" borderId="0" xfId="0" applyFont="1"/>
    <xf numFmtId="0" fontId="5" fillId="0" borderId="194" xfId="0" applyFont="1" applyBorder="1"/>
    <xf numFmtId="0" fontId="19" fillId="0" borderId="194" xfId="0" applyFont="1" applyBorder="1" applyProtection="1"/>
    <xf numFmtId="0" fontId="5" fillId="0" borderId="194" xfId="0" applyFont="1" applyBorder="1" applyAlignment="1">
      <alignment wrapText="1"/>
    </xf>
    <xf numFmtId="0" fontId="19" fillId="0" borderId="194" xfId="0" applyFont="1" applyBorder="1" applyAlignment="1" applyProtection="1">
      <alignment wrapText="1"/>
    </xf>
    <xf numFmtId="0" fontId="1" fillId="0" borderId="194" xfId="0" applyFont="1" applyBorder="1"/>
    <xf numFmtId="0" fontId="19" fillId="0" borderId="194" xfId="0" applyFont="1" applyBorder="1" applyAlignment="1" applyProtection="1">
      <alignment horizontal="center" wrapText="1"/>
    </xf>
    <xf numFmtId="0" fontId="5" fillId="0" borderId="194" xfId="0" applyFont="1" applyBorder="1" applyAlignment="1">
      <alignment horizontal="center" wrapText="1"/>
    </xf>
    <xf numFmtId="0" fontId="0" fillId="0" borderId="0" xfId="0" applyAlignment="1">
      <alignment vertical="center"/>
    </xf>
    <xf numFmtId="0" fontId="73" fillId="0" borderId="0" xfId="0" applyFont="1" applyAlignment="1">
      <alignment horizontal="right"/>
    </xf>
    <xf numFmtId="168" fontId="0" fillId="24" borderId="0" xfId="0" applyNumberFormat="1" applyFill="1" applyProtection="1">
      <protection locked="0"/>
    </xf>
    <xf numFmtId="0" fontId="1" fillId="0" borderId="0" xfId="0" applyFont="1" applyAlignment="1">
      <alignment vertical="center"/>
    </xf>
    <xf numFmtId="0" fontId="1" fillId="0" borderId="0" xfId="0" applyFont="1" applyBorder="1"/>
    <xf numFmtId="0" fontId="24" fillId="3" borderId="24" xfId="0" applyFont="1" applyFill="1" applyBorder="1" applyProtection="1"/>
    <xf numFmtId="0" fontId="24" fillId="3" borderId="113" xfId="0" applyFont="1" applyFill="1" applyBorder="1" applyProtection="1"/>
    <xf numFmtId="0" fontId="19" fillId="3" borderId="165" xfId="0" applyFont="1" applyFill="1" applyBorder="1" applyAlignment="1" applyProtection="1">
      <alignment horizontal="left"/>
    </xf>
    <xf numFmtId="0" fontId="19" fillId="3" borderId="113" xfId="0" applyFont="1" applyFill="1" applyBorder="1" applyAlignment="1" applyProtection="1">
      <alignment horizontal="left"/>
    </xf>
    <xf numFmtId="0" fontId="19" fillId="3" borderId="25" xfId="0" applyFont="1" applyFill="1" applyBorder="1" applyAlignment="1" applyProtection="1">
      <alignment horizontal="left"/>
    </xf>
    <xf numFmtId="0" fontId="32" fillId="21" borderId="27" xfId="16" applyFont="1" applyFill="1" applyBorder="1" applyProtection="1">
      <protection locked="0"/>
    </xf>
    <xf numFmtId="0" fontId="32" fillId="21" borderId="28" xfId="0" applyFont="1" applyFill="1" applyBorder="1" applyProtection="1">
      <protection locked="0"/>
    </xf>
    <xf numFmtId="0" fontId="6" fillId="21" borderId="47" xfId="16" applyFont="1" applyFill="1" applyBorder="1" applyProtection="1">
      <protection locked="0"/>
    </xf>
    <xf numFmtId="168" fontId="22" fillId="6" borderId="41" xfId="0" applyNumberFormat="1" applyFont="1" applyFill="1" applyBorder="1" applyAlignment="1" applyProtection="1">
      <alignment horizontal="center"/>
      <protection locked="0"/>
    </xf>
    <xf numFmtId="0" fontId="6" fillId="21" borderId="47" xfId="0" applyFont="1" applyFill="1" applyBorder="1" applyProtection="1">
      <protection locked="0"/>
    </xf>
    <xf numFmtId="0" fontId="9" fillId="21" borderId="41" xfId="0" applyFont="1" applyFill="1" applyBorder="1" applyProtection="1">
      <protection locked="0"/>
    </xf>
    <xf numFmtId="168" fontId="22" fillId="21" borderId="41" xfId="0" applyNumberFormat="1" applyFont="1" applyFill="1" applyBorder="1" applyAlignment="1" applyProtection="1">
      <alignment horizontal="center"/>
      <protection locked="0"/>
    </xf>
    <xf numFmtId="168" fontId="30" fillId="6" borderId="41" xfId="0" applyNumberFormat="1" applyFont="1" applyFill="1" applyBorder="1" applyAlignment="1" applyProtection="1">
      <alignment horizontal="center"/>
      <protection locked="0"/>
    </xf>
    <xf numFmtId="0" fontId="9" fillId="21" borderId="43" xfId="0" applyFont="1" applyFill="1" applyBorder="1" applyAlignment="1" applyProtection="1">
      <alignment horizontal="center"/>
    </xf>
    <xf numFmtId="0" fontId="92" fillId="25" borderId="208" xfId="0" applyFont="1" applyFill="1" applyBorder="1"/>
    <xf numFmtId="0" fontId="92" fillId="25" borderId="60" xfId="0" applyFont="1" applyFill="1" applyBorder="1" applyAlignment="1">
      <alignment wrapText="1"/>
    </xf>
    <xf numFmtId="0" fontId="92" fillId="25" borderId="59" xfId="0" applyFont="1" applyFill="1" applyBorder="1"/>
    <xf numFmtId="0" fontId="92" fillId="25" borderId="60" xfId="0" applyFont="1" applyFill="1" applyBorder="1" applyAlignment="1">
      <alignment horizontal="center" wrapText="1"/>
    </xf>
    <xf numFmtId="0" fontId="92" fillId="25" borderId="210" xfId="0" applyFont="1" applyFill="1" applyBorder="1" applyAlignment="1">
      <alignment vertical="center"/>
    </xf>
    <xf numFmtId="0" fontId="92" fillId="25" borderId="210" xfId="0" applyFont="1" applyFill="1" applyBorder="1"/>
    <xf numFmtId="0" fontId="92" fillId="26" borderId="212" xfId="0" applyFont="1" applyFill="1" applyBorder="1"/>
    <xf numFmtId="0" fontId="92" fillId="27" borderId="212" xfId="0" applyFont="1" applyFill="1" applyBorder="1" applyProtection="1">
      <protection locked="0"/>
    </xf>
    <xf numFmtId="0" fontId="92" fillId="28" borderId="213" xfId="0" applyFont="1" applyFill="1" applyBorder="1" applyAlignment="1">
      <alignment wrapText="1"/>
    </xf>
    <xf numFmtId="0" fontId="92" fillId="26" borderId="205" xfId="0" applyFont="1" applyFill="1" applyBorder="1" applyAlignment="1">
      <alignment horizontal="center" vertical="center" wrapText="1"/>
    </xf>
    <xf numFmtId="10" fontId="92" fillId="26" borderId="194" xfId="0" applyNumberFormat="1" applyFont="1" applyFill="1" applyBorder="1" applyAlignment="1">
      <alignment horizontal="center" vertical="center"/>
    </xf>
    <xf numFmtId="0" fontId="92" fillId="26" borderId="205" xfId="0" applyFont="1" applyFill="1" applyBorder="1" applyAlignment="1">
      <alignment wrapText="1"/>
    </xf>
    <xf numFmtId="10" fontId="92" fillId="26" borderId="194" xfId="0" applyNumberFormat="1" applyFont="1" applyFill="1" applyBorder="1" applyProtection="1">
      <protection locked="0"/>
    </xf>
    <xf numFmtId="0" fontId="92" fillId="27" borderId="194" xfId="0" applyFont="1" applyFill="1" applyBorder="1" applyProtection="1">
      <protection locked="0"/>
    </xf>
    <xf numFmtId="0" fontId="92" fillId="28" borderId="149" xfId="0" applyFont="1" applyFill="1" applyBorder="1" applyAlignment="1">
      <alignment wrapText="1"/>
    </xf>
    <xf numFmtId="0" fontId="92" fillId="26" borderId="214" xfId="0" applyFont="1" applyFill="1" applyBorder="1" applyAlignment="1">
      <alignment vertical="center"/>
    </xf>
    <xf numFmtId="0" fontId="92" fillId="26" borderId="205" xfId="0" applyFont="1" applyFill="1" applyBorder="1"/>
    <xf numFmtId="0" fontId="92" fillId="26" borderId="194" xfId="0" applyFont="1" applyFill="1" applyBorder="1" applyAlignment="1">
      <alignment horizontal="center" vertical="center"/>
    </xf>
    <xf numFmtId="0" fontId="92" fillId="26" borderId="194" xfId="0" applyFont="1" applyFill="1" applyBorder="1" applyAlignment="1">
      <alignment horizontal="center"/>
    </xf>
    <xf numFmtId="0" fontId="93" fillId="26" borderId="194" xfId="0" applyFont="1" applyFill="1" applyBorder="1" applyProtection="1">
      <protection locked="0"/>
    </xf>
    <xf numFmtId="0" fontId="92" fillId="26" borderId="194" xfId="0" applyFont="1" applyFill="1" applyBorder="1" applyAlignment="1" applyProtection="1">
      <alignment horizontal="center"/>
      <protection locked="0"/>
    </xf>
    <xf numFmtId="0" fontId="92" fillId="26" borderId="129" xfId="0" applyFont="1" applyFill="1" applyBorder="1" applyAlignment="1">
      <alignment vertical="center"/>
    </xf>
    <xf numFmtId="0" fontId="92" fillId="25" borderId="149" xfId="0" applyFont="1" applyFill="1" applyBorder="1" applyAlignment="1">
      <alignment vertical="center" wrapText="1"/>
    </xf>
    <xf numFmtId="168" fontId="92" fillId="27" borderId="194" xfId="0" applyNumberFormat="1" applyFont="1" applyFill="1" applyBorder="1" applyAlignment="1" applyProtection="1">
      <alignment horizontal="right" vertical="center"/>
      <protection locked="0"/>
    </xf>
    <xf numFmtId="168" fontId="92" fillId="29" borderId="194" xfId="0" applyNumberFormat="1" applyFont="1" applyFill="1" applyBorder="1" applyAlignment="1" applyProtection="1">
      <alignment horizontal="right" vertical="center"/>
    </xf>
    <xf numFmtId="168" fontId="92" fillId="29" borderId="194" xfId="0" applyNumberFormat="1" applyFont="1" applyFill="1" applyBorder="1" applyAlignment="1" applyProtection="1">
      <alignment horizontal="right" vertical="center"/>
      <protection hidden="1"/>
    </xf>
    <xf numFmtId="0" fontId="92" fillId="28" borderId="149" xfId="0" applyFont="1" applyFill="1" applyBorder="1" applyAlignment="1">
      <alignment vertical="center" wrapText="1"/>
    </xf>
    <xf numFmtId="168" fontId="92" fillId="27" borderId="194" xfId="0" applyNumberFormat="1" applyFont="1" applyFill="1" applyBorder="1" applyAlignment="1" applyProtection="1">
      <alignment horizontal="right" vertical="center"/>
      <protection hidden="1"/>
    </xf>
    <xf numFmtId="0" fontId="95" fillId="25" borderId="59" xfId="0" applyFont="1" applyFill="1" applyBorder="1"/>
    <xf numFmtId="0" fontId="92" fillId="29" borderId="194" xfId="0" applyNumberFormat="1" applyFont="1" applyFill="1" applyBorder="1" applyAlignment="1" applyProtection="1">
      <alignment vertical="center"/>
      <protection hidden="1"/>
    </xf>
    <xf numFmtId="0" fontId="92" fillId="27" borderId="194" xfId="0" applyFont="1" applyFill="1" applyBorder="1" applyAlignment="1" applyProtection="1">
      <alignment horizontal="right" vertical="center"/>
      <protection locked="0"/>
    </xf>
    <xf numFmtId="168" fontId="92" fillId="27" borderId="194" xfId="0" applyNumberFormat="1" applyFont="1" applyFill="1" applyBorder="1" applyAlignment="1" applyProtection="1">
      <alignment vertical="center"/>
      <protection locked="0"/>
    </xf>
    <xf numFmtId="0" fontId="92" fillId="27" borderId="194" xfId="0" applyFont="1" applyFill="1" applyBorder="1" applyAlignment="1" applyProtection="1">
      <alignment vertical="center"/>
      <protection locked="0"/>
    </xf>
    <xf numFmtId="0" fontId="92" fillId="26" borderId="198" xfId="0" applyFont="1" applyFill="1" applyBorder="1" applyAlignment="1">
      <alignment vertical="center"/>
    </xf>
    <xf numFmtId="0" fontId="92" fillId="26" borderId="204" xfId="0" applyFont="1" applyFill="1" applyBorder="1" applyAlignment="1">
      <alignment vertical="center"/>
    </xf>
    <xf numFmtId="0" fontId="92" fillId="26" borderId="205" xfId="0" applyFont="1" applyFill="1" applyBorder="1" applyAlignment="1">
      <alignment vertical="center"/>
    </xf>
    <xf numFmtId="178" fontId="92" fillId="29" borderId="194" xfId="0" applyNumberFormat="1" applyFont="1" applyFill="1" applyBorder="1" applyAlignment="1" applyProtection="1">
      <alignment horizontal="right" vertical="center"/>
      <protection hidden="1"/>
    </xf>
    <xf numFmtId="0" fontId="92" fillId="29" borderId="194" xfId="0" applyFont="1" applyFill="1" applyBorder="1" applyAlignment="1" applyProtection="1">
      <alignment vertical="center"/>
      <protection hidden="1"/>
    </xf>
    <xf numFmtId="0" fontId="92" fillId="29" borderId="194" xfId="0" applyFont="1" applyFill="1" applyBorder="1" applyAlignment="1" applyProtection="1">
      <alignment horizontal="right" vertical="center"/>
      <protection hidden="1"/>
    </xf>
    <xf numFmtId="10" fontId="92" fillId="29" borderId="194" xfId="0" applyNumberFormat="1" applyFont="1" applyFill="1" applyBorder="1" applyAlignment="1" applyProtection="1">
      <alignment horizontal="right" vertical="center"/>
      <protection hidden="1"/>
    </xf>
    <xf numFmtId="3" fontId="92" fillId="29" borderId="194" xfId="0" applyNumberFormat="1" applyFont="1" applyFill="1" applyBorder="1" applyAlignment="1" applyProtection="1">
      <alignment vertical="center"/>
      <protection hidden="1"/>
    </xf>
    <xf numFmtId="168" fontId="92" fillId="29" borderId="194" xfId="0" applyNumberFormat="1" applyFont="1" applyFill="1" applyBorder="1" applyAlignment="1" applyProtection="1">
      <alignment vertical="center"/>
      <protection hidden="1"/>
    </xf>
    <xf numFmtId="0" fontId="92" fillId="29" borderId="194" xfId="0" applyNumberFormat="1" applyFont="1" applyFill="1" applyBorder="1" applyAlignment="1" applyProtection="1">
      <alignment horizontal="right" vertical="center"/>
      <protection hidden="1"/>
    </xf>
    <xf numFmtId="0" fontId="92" fillId="28" borderId="149" xfId="0" applyFont="1" applyFill="1" applyBorder="1" applyAlignment="1">
      <alignment horizontal="left" vertical="center" wrapText="1"/>
    </xf>
    <xf numFmtId="0" fontId="92" fillId="25" borderId="59" xfId="0" applyFont="1" applyFill="1" applyBorder="1" applyAlignment="1">
      <alignment vertical="center"/>
    </xf>
    <xf numFmtId="168" fontId="92" fillId="29" borderId="194" xfId="0" applyNumberFormat="1" applyFont="1" applyFill="1" applyBorder="1" applyAlignment="1" applyProtection="1">
      <alignment horizontal="center" vertical="center"/>
      <protection hidden="1"/>
    </xf>
    <xf numFmtId="0" fontId="92" fillId="25" borderId="149" xfId="0" applyFont="1" applyFill="1" applyBorder="1" applyAlignment="1" applyProtection="1">
      <alignment vertical="center" wrapText="1"/>
      <protection hidden="1"/>
    </xf>
    <xf numFmtId="168" fontId="92" fillId="29" borderId="194" xfId="0" applyNumberFormat="1" applyFont="1" applyFill="1" applyBorder="1" applyAlignment="1" applyProtection="1">
      <alignment horizontal="right"/>
      <protection hidden="1"/>
    </xf>
    <xf numFmtId="0" fontId="92" fillId="25" borderId="149" xfId="0" applyFont="1" applyFill="1" applyBorder="1" applyAlignment="1" applyProtection="1">
      <alignment wrapText="1"/>
      <protection hidden="1"/>
    </xf>
    <xf numFmtId="0" fontId="92" fillId="27" borderId="194" xfId="0" applyFont="1" applyFill="1" applyBorder="1" applyAlignment="1">
      <alignment horizontal="right" vertical="center"/>
    </xf>
    <xf numFmtId="0" fontId="92" fillId="27" borderId="194" xfId="0" applyFont="1" applyFill="1" applyBorder="1" applyAlignment="1" applyProtection="1">
      <alignment horizontal="right" vertical="center"/>
    </xf>
    <xf numFmtId="168" fontId="92" fillId="27" borderId="194" xfId="0" applyNumberFormat="1" applyFont="1" applyFill="1" applyBorder="1" applyAlignment="1" applyProtection="1">
      <alignment horizontal="right" vertical="center"/>
    </xf>
    <xf numFmtId="0" fontId="92" fillId="29" borderId="194" xfId="0" applyFont="1" applyFill="1" applyBorder="1" applyAlignment="1" applyProtection="1">
      <alignment horizontal="right" vertical="center"/>
    </xf>
    <xf numFmtId="0" fontId="96" fillId="26" borderId="194" xfId="0" applyFont="1" applyFill="1" applyBorder="1"/>
    <xf numFmtId="0" fontId="92" fillId="30" borderId="129" xfId="0" applyFont="1" applyFill="1" applyBorder="1" applyAlignment="1">
      <alignment vertical="center"/>
    </xf>
    <xf numFmtId="168" fontId="92" fillId="31" borderId="194" xfId="0" applyNumberFormat="1" applyFont="1" applyFill="1" applyBorder="1" applyAlignment="1" applyProtection="1">
      <alignment horizontal="left" vertical="center" wrapText="1"/>
      <protection locked="0"/>
    </xf>
    <xf numFmtId="0" fontId="92" fillId="32" borderId="149" xfId="0" applyFont="1" applyFill="1" applyBorder="1" applyAlignment="1" applyProtection="1">
      <alignment vertical="center" wrapText="1"/>
      <protection hidden="1"/>
    </xf>
    <xf numFmtId="0" fontId="92" fillId="31" borderId="194" xfId="0" applyFont="1" applyFill="1" applyBorder="1" applyAlignment="1" applyProtection="1">
      <alignment horizontal="right" vertical="center"/>
      <protection locked="0"/>
    </xf>
    <xf numFmtId="0" fontId="92" fillId="33" borderId="149" xfId="0" applyFont="1" applyFill="1" applyBorder="1" applyAlignment="1">
      <alignment vertical="center" wrapText="1"/>
    </xf>
    <xf numFmtId="0" fontId="92" fillId="33" borderId="149" xfId="0" applyFont="1" applyFill="1" applyBorder="1" applyAlignment="1">
      <alignment wrapText="1"/>
    </xf>
    <xf numFmtId="168" fontId="92" fillId="31" borderId="194" xfId="0" applyNumberFormat="1" applyFont="1" applyFill="1" applyBorder="1" applyAlignment="1" applyProtection="1">
      <alignment horizontal="right" vertical="center"/>
      <protection locked="0"/>
    </xf>
    <xf numFmtId="0" fontId="92" fillId="32" borderId="149" xfId="0" applyFont="1" applyFill="1" applyBorder="1" applyAlignment="1">
      <alignment vertical="center" wrapText="1"/>
    </xf>
    <xf numFmtId="0" fontId="92" fillId="31" borderId="194" xfId="0" applyFont="1" applyFill="1" applyBorder="1" applyAlignment="1" applyProtection="1">
      <alignment horizontal="right" vertical="center"/>
    </xf>
    <xf numFmtId="4" fontId="92" fillId="31" borderId="194" xfId="0" applyNumberFormat="1" applyFont="1" applyFill="1" applyBorder="1" applyAlignment="1" applyProtection="1">
      <alignment horizontal="right" vertical="center"/>
      <protection locked="0"/>
    </xf>
    <xf numFmtId="168" fontId="92" fillId="34" borderId="194" xfId="0" applyNumberFormat="1" applyFont="1" applyFill="1" applyBorder="1" applyAlignment="1" applyProtection="1">
      <alignment horizontal="right" vertical="center"/>
      <protection locked="0"/>
    </xf>
    <xf numFmtId="168" fontId="92" fillId="34" borderId="194" xfId="0" applyNumberFormat="1" applyFont="1" applyFill="1" applyBorder="1" applyAlignment="1" applyProtection="1">
      <alignment horizontal="right" vertical="center"/>
    </xf>
    <xf numFmtId="10" fontId="92" fillId="31" borderId="194" xfId="0" applyNumberFormat="1" applyFont="1" applyFill="1" applyBorder="1" applyAlignment="1" applyProtection="1">
      <alignment horizontal="right" vertical="center"/>
      <protection locked="0"/>
    </xf>
    <xf numFmtId="0" fontId="92" fillId="30" borderId="198" xfId="0" applyFont="1" applyFill="1" applyBorder="1" applyAlignment="1">
      <alignment vertical="center"/>
    </xf>
    <xf numFmtId="0" fontId="92" fillId="30" borderId="204" xfId="0" applyFont="1" applyFill="1" applyBorder="1" applyAlignment="1">
      <alignment vertical="center"/>
    </xf>
    <xf numFmtId="0" fontId="92" fillId="30" borderId="205" xfId="0" applyFont="1" applyFill="1" applyBorder="1" applyAlignment="1">
      <alignment vertical="center"/>
    </xf>
    <xf numFmtId="0" fontId="92" fillId="31" borderId="194" xfId="0" applyNumberFormat="1" applyFont="1" applyFill="1" applyBorder="1" applyAlignment="1" applyProtection="1">
      <alignment horizontal="right" vertical="center"/>
      <protection locked="0"/>
    </xf>
    <xf numFmtId="0" fontId="92" fillId="34" borderId="194" xfId="0" applyNumberFormat="1" applyFont="1" applyFill="1" applyBorder="1" applyAlignment="1" applyProtection="1">
      <alignment horizontal="right" vertical="center"/>
    </xf>
    <xf numFmtId="10" fontId="92" fillId="27" borderId="194" xfId="0" applyNumberFormat="1" applyFont="1" applyFill="1" applyBorder="1" applyAlignment="1" applyProtection="1">
      <alignment horizontal="right" vertical="center"/>
      <protection locked="0"/>
    </xf>
    <xf numFmtId="168" fontId="92" fillId="25" borderId="149" xfId="0" applyNumberFormat="1" applyFont="1" applyFill="1" applyBorder="1" applyAlignment="1">
      <alignment vertical="center" wrapText="1"/>
    </xf>
    <xf numFmtId="0" fontId="92" fillId="26" borderId="198" xfId="0" applyFont="1" applyFill="1" applyBorder="1" applyAlignment="1">
      <alignment vertical="center" wrapText="1"/>
    </xf>
    <xf numFmtId="0" fontId="92" fillId="26" borderId="204" xfId="0" applyFont="1" applyFill="1" applyBorder="1" applyAlignment="1">
      <alignment vertical="center" wrapText="1"/>
    </xf>
    <xf numFmtId="0" fontId="92" fillId="26" borderId="205" xfId="0" applyFont="1" applyFill="1" applyBorder="1" applyAlignment="1">
      <alignment vertical="center" wrapText="1"/>
    </xf>
    <xf numFmtId="0" fontId="92" fillId="28" borderId="129" xfId="0" applyFont="1" applyFill="1" applyBorder="1" applyAlignment="1" applyProtection="1">
      <alignment vertical="center" wrapText="1"/>
      <protection locked="0"/>
    </xf>
    <xf numFmtId="0" fontId="92" fillId="28" borderId="194" xfId="0" applyFont="1" applyFill="1" applyBorder="1" applyAlignment="1" applyProtection="1">
      <alignment vertical="center" wrapText="1"/>
      <protection locked="0"/>
    </xf>
    <xf numFmtId="0" fontId="92" fillId="25" borderId="149" xfId="0" applyFont="1" applyFill="1" applyBorder="1" applyAlignment="1">
      <alignment wrapText="1"/>
    </xf>
    <xf numFmtId="0" fontId="92" fillId="25" borderId="215" xfId="0" applyFont="1" applyFill="1" applyBorder="1"/>
    <xf numFmtId="0" fontId="92" fillId="25" borderId="194" xfId="0" applyFont="1" applyFill="1" applyBorder="1"/>
    <xf numFmtId="0" fontId="92" fillId="25" borderId="194" xfId="0" applyFont="1" applyFill="1" applyBorder="1" applyAlignment="1">
      <alignment wrapText="1"/>
    </xf>
    <xf numFmtId="0" fontId="92" fillId="25" borderId="216" xfId="0" applyFont="1" applyFill="1" applyBorder="1"/>
    <xf numFmtId="0" fontId="92" fillId="25" borderId="57" xfId="0" applyFont="1" applyFill="1" applyBorder="1" applyAlignment="1">
      <alignment wrapText="1"/>
    </xf>
    <xf numFmtId="0" fontId="92" fillId="25" borderId="57" xfId="0" applyFont="1" applyFill="1" applyBorder="1"/>
    <xf numFmtId="0" fontId="92" fillId="25" borderId="201" xfId="0" applyFont="1" applyFill="1" applyBorder="1" applyAlignment="1">
      <alignment wrapText="1"/>
    </xf>
    <xf numFmtId="0" fontId="92" fillId="25" borderId="213" xfId="0" applyFont="1" applyFill="1" applyBorder="1" applyAlignment="1">
      <alignment wrapText="1"/>
    </xf>
    <xf numFmtId="0" fontId="92" fillId="25" borderId="217" xfId="0" applyFont="1" applyFill="1" applyBorder="1" applyAlignment="1">
      <alignment horizontal="center" vertical="center"/>
    </xf>
    <xf numFmtId="0" fontId="92" fillId="25" borderId="57" xfId="0" applyFont="1" applyFill="1" applyBorder="1" applyAlignment="1">
      <alignment horizontal="center" vertical="center"/>
    </xf>
    <xf numFmtId="0" fontId="92" fillId="29" borderId="194" xfId="0" applyFont="1" applyFill="1" applyBorder="1" applyAlignment="1" applyProtection="1">
      <alignment horizontal="center" vertical="center"/>
      <protection hidden="1"/>
    </xf>
    <xf numFmtId="168" fontId="92" fillId="35" borderId="194" xfId="0" applyNumberFormat="1" applyFont="1" applyFill="1" applyBorder="1" applyAlignment="1" applyProtection="1">
      <alignment horizontal="right" vertical="center"/>
      <protection locked="0"/>
    </xf>
    <xf numFmtId="168" fontId="92" fillId="35" borderId="194" xfId="0" applyNumberFormat="1" applyFont="1" applyFill="1" applyBorder="1" applyAlignment="1" applyProtection="1">
      <alignment horizontal="right" vertical="center"/>
      <protection hidden="1"/>
    </xf>
    <xf numFmtId="3" fontId="92" fillId="29" borderId="194" xfId="0" applyNumberFormat="1" applyFont="1" applyFill="1" applyBorder="1" applyAlignment="1" applyProtection="1">
      <alignment horizontal="right" vertical="center"/>
      <protection hidden="1"/>
    </xf>
    <xf numFmtId="0" fontId="8" fillId="12" borderId="110" xfId="0" applyFont="1" applyFill="1" applyBorder="1" applyProtection="1"/>
    <xf numFmtId="0" fontId="9" fillId="12" borderId="110" xfId="0" applyFont="1" applyFill="1" applyBorder="1" applyProtection="1"/>
    <xf numFmtId="0" fontId="9" fillId="12" borderId="13" xfId="0" applyFont="1" applyFill="1" applyBorder="1" applyProtection="1"/>
    <xf numFmtId="0" fontId="7" fillId="12" borderId="221" xfId="0" applyFont="1" applyFill="1" applyBorder="1" applyProtection="1"/>
    <xf numFmtId="0" fontId="9" fillId="12" borderId="221" xfId="0" applyFont="1" applyFill="1" applyBorder="1" applyProtection="1"/>
    <xf numFmtId="0" fontId="9" fillId="12" borderId="224" xfId="0" applyFont="1" applyFill="1" applyBorder="1" applyProtection="1"/>
    <xf numFmtId="0" fontId="19" fillId="21" borderId="134" xfId="0" applyFont="1" applyFill="1" applyBorder="1" applyProtection="1">
      <protection locked="0"/>
    </xf>
    <xf numFmtId="0" fontId="0" fillId="0" borderId="196" xfId="0" applyBorder="1"/>
    <xf numFmtId="0" fontId="0" fillId="0" borderId="194" xfId="0" applyBorder="1" applyAlignment="1">
      <alignment wrapText="1"/>
    </xf>
    <xf numFmtId="2" fontId="0" fillId="36" borderId="194" xfId="0" applyNumberFormat="1" applyFill="1" applyBorder="1"/>
    <xf numFmtId="0" fontId="0" fillId="36" borderId="194" xfId="0" applyFill="1" applyBorder="1"/>
    <xf numFmtId="179" fontId="0" fillId="36" borderId="194" xfId="0" applyNumberFormat="1" applyFill="1" applyBorder="1"/>
    <xf numFmtId="168" fontId="0" fillId="36" borderId="194" xfId="0" applyNumberFormat="1" applyFill="1" applyBorder="1"/>
    <xf numFmtId="0" fontId="100" fillId="0" borderId="194" xfId="0" applyFont="1" applyBorder="1" applyAlignment="1">
      <alignment vertical="center" wrapText="1"/>
    </xf>
    <xf numFmtId="168" fontId="101" fillId="36" borderId="194" xfId="0" applyNumberFormat="1" applyFont="1" applyFill="1" applyBorder="1" applyAlignment="1">
      <alignment horizontal="right" vertical="center"/>
    </xf>
    <xf numFmtId="0" fontId="0" fillId="0" borderId="194" xfId="0" applyBorder="1" applyAlignment="1">
      <alignment vertical="center"/>
    </xf>
    <xf numFmtId="178" fontId="102" fillId="0" borderId="226" xfId="0" applyNumberFormat="1" applyFont="1" applyBorder="1" applyAlignment="1">
      <alignment horizontal="left" vertical="top" wrapText="1" indent="1"/>
    </xf>
    <xf numFmtId="0" fontId="102" fillId="0" borderId="227" xfId="0" applyFont="1" applyBorder="1" applyAlignment="1">
      <alignment horizontal="center" vertical="top" wrapText="1"/>
    </xf>
    <xf numFmtId="1" fontId="102" fillId="0" borderId="226" xfId="0" applyNumberFormat="1" applyFont="1" applyFill="1" applyBorder="1" applyAlignment="1">
      <alignment horizontal="center" vertical="top" wrapText="1"/>
    </xf>
    <xf numFmtId="0" fontId="102" fillId="0" borderId="228" xfId="0" applyFont="1" applyBorder="1" applyAlignment="1">
      <alignment horizontal="center" wrapText="1"/>
    </xf>
    <xf numFmtId="0" fontId="102" fillId="0" borderId="229" xfId="0" applyFont="1" applyFill="1" applyBorder="1" applyAlignment="1">
      <alignment horizontal="center" vertical="top" wrapText="1"/>
    </xf>
    <xf numFmtId="178" fontId="103" fillId="0" borderId="230" xfId="0" applyNumberFormat="1" applyFont="1" applyBorder="1" applyAlignment="1">
      <alignment horizontal="left" vertical="top" wrapText="1" indent="2"/>
    </xf>
    <xf numFmtId="179" fontId="0" fillId="0" borderId="231" xfId="0" applyNumberFormat="1" applyBorder="1" applyAlignment="1">
      <alignment vertical="top" wrapText="1"/>
    </xf>
    <xf numFmtId="179" fontId="104" fillId="0" borderId="230" xfId="0" applyNumberFormat="1" applyFont="1" applyFill="1" applyBorder="1" applyAlignment="1">
      <alignment horizontal="right" vertical="top" wrapText="1"/>
    </xf>
    <xf numFmtId="0" fontId="0" fillId="0" borderId="232" xfId="0" applyBorder="1" applyAlignment="1">
      <alignment wrapText="1"/>
    </xf>
    <xf numFmtId="0" fontId="0" fillId="0" borderId="233" xfId="0" applyBorder="1"/>
    <xf numFmtId="178" fontId="103" fillId="37" borderId="230" xfId="0" applyNumberFormat="1" applyFont="1" applyFill="1" applyBorder="1" applyAlignment="1">
      <alignment horizontal="left" vertical="top" wrapText="1" indent="1"/>
    </xf>
    <xf numFmtId="179" fontId="105" fillId="37" borderId="231" xfId="0" applyNumberFormat="1" applyFont="1" applyFill="1" applyBorder="1" applyAlignment="1">
      <alignment horizontal="center" vertical="top" wrapText="1"/>
    </xf>
    <xf numFmtId="180" fontId="0" fillId="37" borderId="0" xfId="0" applyNumberFormat="1" applyFont="1" applyFill="1" applyAlignment="1">
      <alignment horizontal="center"/>
    </xf>
    <xf numFmtId="180" fontId="105" fillId="37" borderId="230" xfId="0" applyNumberFormat="1" applyFont="1" applyFill="1" applyBorder="1" applyAlignment="1">
      <alignment horizontal="center" vertical="top" wrapText="1"/>
    </xf>
    <xf numFmtId="180" fontId="105" fillId="37" borderId="231" xfId="0" applyNumberFormat="1" applyFont="1" applyFill="1" applyBorder="1" applyAlignment="1">
      <alignment horizontal="center" vertical="top" wrapText="1"/>
    </xf>
    <xf numFmtId="178" fontId="103" fillId="0" borderId="230" xfId="0" applyNumberFormat="1" applyFont="1" applyBorder="1" applyAlignment="1">
      <alignment horizontal="left" vertical="top" wrapText="1" indent="1"/>
    </xf>
    <xf numFmtId="179" fontId="105" fillId="0" borderId="231" xfId="0" applyNumberFormat="1" applyFont="1" applyBorder="1" applyAlignment="1">
      <alignment horizontal="center" vertical="top" wrapText="1"/>
    </xf>
    <xf numFmtId="180" fontId="0" fillId="0" borderId="0" xfId="0" applyNumberFormat="1" applyFont="1" applyAlignment="1">
      <alignment horizontal="center"/>
    </xf>
    <xf numFmtId="180" fontId="105" fillId="0" borderId="230" xfId="0" applyNumberFormat="1" applyFont="1" applyBorder="1" applyAlignment="1">
      <alignment horizontal="center" vertical="top" wrapText="1"/>
    </xf>
    <xf numFmtId="180" fontId="105" fillId="0" borderId="231" xfId="0" applyNumberFormat="1" applyFont="1" applyBorder="1" applyAlignment="1">
      <alignment horizontal="center" vertical="top" wrapText="1"/>
    </xf>
    <xf numFmtId="179" fontId="105" fillId="0" borderId="230" xfId="0" applyNumberFormat="1" applyFont="1" applyBorder="1" applyAlignment="1">
      <alignment horizontal="center" vertical="top" wrapText="1"/>
    </xf>
    <xf numFmtId="180" fontId="105" fillId="0" borderId="234" xfId="0" applyNumberFormat="1" applyFont="1" applyBorder="1" applyAlignment="1">
      <alignment horizontal="center" vertical="top" wrapText="1"/>
    </xf>
    <xf numFmtId="180" fontId="105" fillId="0" borderId="235" xfId="0" applyNumberFormat="1" applyFont="1" applyBorder="1" applyAlignment="1">
      <alignment horizontal="center" vertical="top" wrapText="1"/>
    </xf>
    <xf numFmtId="180" fontId="0" fillId="37" borderId="0" xfId="0" applyNumberFormat="1" applyFill="1" applyAlignment="1">
      <alignment horizontal="center"/>
    </xf>
    <xf numFmtId="180" fontId="0" fillId="0" borderId="0" xfId="0" applyNumberFormat="1" applyAlignment="1">
      <alignment horizontal="center"/>
    </xf>
    <xf numFmtId="178" fontId="103" fillId="0" borderId="234" xfId="0" applyNumberFormat="1" applyFont="1" applyBorder="1" applyAlignment="1">
      <alignment horizontal="left" vertical="top" wrapText="1" indent="2"/>
    </xf>
    <xf numFmtId="180" fontId="0" fillId="0" borderId="234" xfId="0" applyNumberFormat="1" applyBorder="1" applyAlignment="1">
      <alignment horizontal="center"/>
    </xf>
    <xf numFmtId="178" fontId="0" fillId="0" borderId="0" xfId="0" applyNumberFormat="1"/>
    <xf numFmtId="179" fontId="0" fillId="0" borderId="0" xfId="0" applyNumberFormat="1" applyAlignment="1">
      <alignment horizontal="right"/>
    </xf>
    <xf numFmtId="178" fontId="0" fillId="0" borderId="194" xfId="0" applyNumberFormat="1" applyBorder="1"/>
    <xf numFmtId="167" fontId="0" fillId="38" borderId="194" xfId="0" applyNumberFormat="1" applyFill="1" applyBorder="1" applyAlignment="1">
      <alignment horizontal="center"/>
    </xf>
    <xf numFmtId="0" fontId="0" fillId="0" borderId="194" xfId="0" applyFill="1" applyBorder="1" applyAlignment="1">
      <alignment horizontal="center"/>
    </xf>
    <xf numFmtId="167" fontId="0" fillId="0" borderId="194" xfId="0" applyNumberFormat="1" applyBorder="1"/>
    <xf numFmtId="178" fontId="0" fillId="0" borderId="194" xfId="0" applyNumberFormat="1" applyBorder="1" applyAlignment="1">
      <alignment wrapText="1"/>
    </xf>
    <xf numFmtId="181" fontId="0" fillId="0" borderId="194" xfId="0" applyNumberFormat="1" applyBorder="1"/>
    <xf numFmtId="0" fontId="0" fillId="36" borderId="0" xfId="0" applyFill="1"/>
    <xf numFmtId="181" fontId="0" fillId="0" borderId="0" xfId="0" applyNumberFormat="1"/>
    <xf numFmtId="8" fontId="92" fillId="29" borderId="194" xfId="0" applyNumberFormat="1" applyFont="1" applyFill="1" applyBorder="1" applyAlignment="1" applyProtection="1">
      <alignment horizontal="right" vertical="center"/>
    </xf>
    <xf numFmtId="10" fontId="92" fillId="29" borderId="194" xfId="0" applyNumberFormat="1" applyFont="1" applyFill="1" applyBorder="1" applyAlignment="1" applyProtection="1">
      <alignment horizontal="right" vertical="center"/>
    </xf>
    <xf numFmtId="3" fontId="6" fillId="21" borderId="29" xfId="16" applyNumberFormat="1" applyFont="1" applyFill="1" applyBorder="1" applyAlignment="1" applyProtection="1">
      <alignment horizontal="left"/>
      <protection locked="0"/>
    </xf>
    <xf numFmtId="0" fontId="6" fillId="21" borderId="28" xfId="0" applyFont="1" applyFill="1" applyBorder="1" applyAlignment="1" applyProtection="1">
      <alignment horizontal="center"/>
    </xf>
    <xf numFmtId="10" fontId="0" fillId="36" borderId="194" xfId="0" applyNumberFormat="1" applyFill="1" applyBorder="1" applyProtection="1"/>
    <xf numFmtId="3" fontId="0" fillId="36" borderId="194" xfId="0" applyNumberFormat="1" applyFill="1" applyBorder="1" applyProtection="1"/>
    <xf numFmtId="0" fontId="0" fillId="36" borderId="194" xfId="0" applyFill="1" applyBorder="1" applyProtection="1"/>
    <xf numFmtId="8" fontId="0" fillId="36" borderId="194" xfId="0" applyNumberFormat="1" applyFill="1" applyBorder="1" applyProtection="1"/>
    <xf numFmtId="4" fontId="92" fillId="29" borderId="194" xfId="0" applyNumberFormat="1" applyFont="1" applyFill="1" applyBorder="1" applyAlignment="1" applyProtection="1">
      <alignment horizontal="right" vertical="center"/>
      <protection locked="0"/>
    </xf>
    <xf numFmtId="0" fontId="1" fillId="0" borderId="194" xfId="0" applyFont="1" applyBorder="1" applyAlignment="1">
      <alignment wrapText="1"/>
    </xf>
    <xf numFmtId="168" fontId="0" fillId="36" borderId="194" xfId="0" applyNumberFormat="1" applyFill="1" applyBorder="1" applyProtection="1"/>
    <xf numFmtId="0" fontId="19" fillId="3" borderId="131" xfId="0" applyFont="1" applyFill="1" applyBorder="1" applyAlignment="1" applyProtection="1">
      <alignment horizontal="center" wrapText="1"/>
    </xf>
    <xf numFmtId="0" fontId="19" fillId="0" borderId="236" xfId="0" applyFont="1" applyFill="1" applyBorder="1" applyProtection="1"/>
    <xf numFmtId="0" fontId="1" fillId="0" borderId="236" xfId="0" applyFont="1" applyBorder="1"/>
    <xf numFmtId="0" fontId="0" fillId="0" borderId="215" xfId="0" applyBorder="1"/>
    <xf numFmtId="0" fontId="19" fillId="0" borderId="215" xfId="0" applyFont="1" applyFill="1" applyBorder="1" applyProtection="1"/>
    <xf numFmtId="168" fontId="0" fillId="0" borderId="215" xfId="0" applyNumberFormat="1" applyBorder="1"/>
    <xf numFmtId="0" fontId="1" fillId="0" borderId="215" xfId="0" applyFont="1" applyBorder="1"/>
    <xf numFmtId="168" fontId="0" fillId="0" borderId="215" xfId="0" applyNumberFormat="1" applyBorder="1" applyAlignment="1">
      <alignment wrapText="1"/>
    </xf>
    <xf numFmtId="0" fontId="19" fillId="0" borderId="237" xfId="0" applyFont="1" applyFill="1" applyBorder="1" applyProtection="1"/>
    <xf numFmtId="0" fontId="0" fillId="0" borderId="237" xfId="0" applyBorder="1"/>
    <xf numFmtId="0" fontId="0" fillId="0" borderId="237" xfId="0" applyBorder="1" applyAlignment="1">
      <alignment wrapText="1"/>
    </xf>
    <xf numFmtId="0" fontId="9" fillId="12" borderId="0" xfId="0" applyFont="1" applyFill="1" applyProtection="1">
      <protection hidden="1"/>
    </xf>
    <xf numFmtId="0" fontId="89" fillId="22" borderId="0" xfId="0" applyFont="1" applyFill="1" applyAlignment="1">
      <alignment wrapText="1"/>
    </xf>
    <xf numFmtId="0" fontId="89" fillId="22" borderId="0" xfId="0" applyFont="1" applyFill="1"/>
    <xf numFmtId="0" fontId="92" fillId="29" borderId="194" xfId="0" applyNumberFormat="1" applyFont="1" applyFill="1" applyBorder="1" applyAlignment="1" applyProtection="1">
      <alignment horizontal="right" vertical="center"/>
    </xf>
    <xf numFmtId="6" fontId="0" fillId="0" borderId="0" xfId="0" applyNumberFormat="1"/>
    <xf numFmtId="40" fontId="0" fillId="0" borderId="0" xfId="0" applyNumberFormat="1"/>
    <xf numFmtId="4" fontId="92" fillId="29" borderId="194" xfId="0" applyNumberFormat="1" applyFont="1" applyFill="1" applyBorder="1" applyAlignment="1" applyProtection="1">
      <alignment horizontal="right" vertical="center"/>
    </xf>
    <xf numFmtId="49" fontId="0" fillId="0" borderId="0" xfId="0" applyNumberFormat="1"/>
    <xf numFmtId="49" fontId="92" fillId="29" borderId="194" xfId="0" applyNumberFormat="1" applyFont="1" applyFill="1" applyBorder="1" applyAlignment="1" applyProtection="1">
      <alignment horizontal="right" vertical="center"/>
      <protection hidden="1"/>
    </xf>
    <xf numFmtId="49" fontId="1" fillId="0" borderId="0" xfId="0" applyNumberFormat="1" applyFont="1"/>
    <xf numFmtId="168" fontId="73" fillId="14" borderId="204" xfId="0" applyNumberFormat="1" applyFont="1" applyFill="1" applyBorder="1" applyProtection="1">
      <protection hidden="1"/>
    </xf>
    <xf numFmtId="0" fontId="78" fillId="0" borderId="0" xfId="0" applyFont="1" applyBorder="1" applyAlignment="1" applyProtection="1">
      <alignment horizontal="center"/>
    </xf>
    <xf numFmtId="0" fontId="19" fillId="3" borderId="0" xfId="0" applyFont="1" applyFill="1" applyBorder="1" applyAlignment="1" applyProtection="1">
      <alignment horizontal="center" wrapText="1"/>
    </xf>
    <xf numFmtId="0" fontId="19" fillId="6" borderId="0" xfId="0" applyFont="1" applyFill="1" applyBorder="1" applyAlignment="1" applyProtection="1">
      <alignment horizontal="center"/>
      <protection locked="0"/>
    </xf>
    <xf numFmtId="3" fontId="19" fillId="14" borderId="0" xfId="0" applyNumberFormat="1" applyFont="1" applyFill="1" applyBorder="1" applyAlignment="1" applyProtection="1">
      <alignment horizontal="center"/>
    </xf>
    <xf numFmtId="3" fontId="19" fillId="6" borderId="0" xfId="0" applyNumberFormat="1" applyFont="1" applyFill="1" applyBorder="1" applyAlignment="1" applyProtection="1">
      <alignment horizontal="center"/>
      <protection locked="0"/>
    </xf>
    <xf numFmtId="3" fontId="19" fillId="3" borderId="122" xfId="0" applyNumberFormat="1" applyFont="1" applyFill="1" applyBorder="1" applyAlignment="1" applyProtection="1">
      <alignment horizontal="center" wrapText="1"/>
    </xf>
    <xf numFmtId="3" fontId="19" fillId="0" borderId="220" xfId="0" applyNumberFormat="1" applyFont="1" applyBorder="1" applyAlignment="1" applyProtection="1">
      <alignment horizontal="right"/>
    </xf>
    <xf numFmtId="3" fontId="19" fillId="0" borderId="198" xfId="0" applyNumberFormat="1" applyFont="1" applyBorder="1" applyAlignment="1" applyProtection="1">
      <alignment horizontal="right"/>
    </xf>
    <xf numFmtId="167" fontId="19" fillId="6" borderId="198" xfId="0" applyNumberFormat="1" applyFont="1" applyFill="1" applyBorder="1" applyAlignment="1" applyProtection="1">
      <alignment horizontal="center"/>
      <protection locked="0"/>
    </xf>
    <xf numFmtId="167" fontId="24" fillId="14" borderId="198" xfId="0" applyNumberFormat="1" applyFont="1" applyFill="1" applyBorder="1" applyAlignment="1" applyProtection="1">
      <alignment horizontal="center"/>
    </xf>
    <xf numFmtId="167" fontId="19" fillId="14" borderId="205" xfId="0" applyNumberFormat="1" applyFont="1" applyFill="1" applyBorder="1" applyAlignment="1" applyProtection="1">
      <alignment horizontal="center"/>
      <protection hidden="1"/>
    </xf>
    <xf numFmtId="167" fontId="24" fillId="14" borderId="205" xfId="0" applyNumberFormat="1" applyFont="1" applyFill="1" applyBorder="1" applyAlignment="1" applyProtection="1">
      <alignment horizontal="center"/>
      <protection hidden="1"/>
    </xf>
    <xf numFmtId="168" fontId="73" fillId="14" borderId="29" xfId="0" applyNumberFormat="1" applyFont="1" applyFill="1" applyBorder="1" applyProtection="1">
      <protection hidden="1"/>
    </xf>
    <xf numFmtId="167" fontId="19" fillId="14" borderId="196" xfId="0" applyNumberFormat="1" applyFont="1" applyFill="1" applyBorder="1" applyProtection="1">
      <protection hidden="1"/>
    </xf>
    <xf numFmtId="0" fontId="19" fillId="39" borderId="45" xfId="0" applyFont="1" applyFill="1" applyBorder="1" applyAlignment="1" applyProtection="1">
      <alignment horizontal="center" wrapText="1"/>
    </xf>
    <xf numFmtId="0" fontId="19" fillId="39" borderId="241" xfId="0" applyFont="1" applyFill="1" applyBorder="1" applyAlignment="1" applyProtection="1">
      <alignment horizontal="center" vertical="center" wrapText="1"/>
    </xf>
    <xf numFmtId="0" fontId="19" fillId="3" borderId="131" xfId="0" applyFont="1" applyFill="1" applyBorder="1" applyAlignment="1" applyProtection="1">
      <alignment horizontal="center" vertical="center" wrapText="1"/>
    </xf>
    <xf numFmtId="0" fontId="19" fillId="14" borderId="41" xfId="0" applyFont="1" applyFill="1" applyBorder="1" applyProtection="1">
      <protection hidden="1"/>
    </xf>
    <xf numFmtId="168" fontId="22" fillId="14" borderId="41" xfId="16" applyNumberFormat="1" applyFont="1" applyFill="1" applyBorder="1" applyAlignment="1" applyProtection="1">
      <alignment horizontal="center"/>
      <protection hidden="1"/>
    </xf>
    <xf numFmtId="168" fontId="30" fillId="14" borderId="126" xfId="16" applyNumberFormat="1" applyFont="1" applyFill="1" applyBorder="1" applyAlignment="1" applyProtection="1">
      <alignment horizontal="center"/>
      <protection hidden="1"/>
    </xf>
    <xf numFmtId="168" fontId="22" fillId="14" borderId="121" xfId="16" applyNumberFormat="1" applyFont="1" applyFill="1" applyBorder="1" applyAlignment="1" applyProtection="1">
      <alignment horizontal="center"/>
      <protection hidden="1"/>
    </xf>
    <xf numFmtId="168" fontId="30" fillId="14" borderId="121" xfId="16" applyNumberFormat="1" applyFont="1" applyFill="1" applyBorder="1" applyAlignment="1" applyProtection="1">
      <alignment horizontal="center"/>
      <protection hidden="1"/>
    </xf>
    <xf numFmtId="168" fontId="30" fillId="14" borderId="104" xfId="16" applyNumberFormat="1" applyFont="1" applyFill="1" applyBorder="1" applyAlignment="1" applyProtection="1">
      <alignment horizontal="center"/>
      <protection hidden="1"/>
    </xf>
    <xf numFmtId="0" fontId="22" fillId="12" borderId="219" xfId="0" applyFont="1" applyFill="1" applyBorder="1" applyProtection="1"/>
    <xf numFmtId="0" fontId="0" fillId="12" borderId="218" xfId="0" applyFill="1" applyBorder="1"/>
    <xf numFmtId="10" fontId="0" fillId="6" borderId="196" xfId="0" applyNumberFormat="1" applyFill="1" applyBorder="1" applyProtection="1">
      <protection locked="0"/>
    </xf>
    <xf numFmtId="0" fontId="0" fillId="6" borderId="196" xfId="0" applyFill="1" applyBorder="1" applyProtection="1">
      <protection locked="0"/>
    </xf>
    <xf numFmtId="0" fontId="22" fillId="12" borderId="204" xfId="0" applyFont="1" applyFill="1" applyBorder="1" applyProtection="1"/>
    <xf numFmtId="0" fontId="0" fillId="12" borderId="205" xfId="0" applyFill="1" applyBorder="1"/>
    <xf numFmtId="166" fontId="22" fillId="6" borderId="204" xfId="0" applyNumberFormat="1" applyFont="1" applyFill="1" applyBorder="1" applyAlignment="1" applyProtection="1">
      <alignment shrinkToFit="1"/>
      <protection locked="0"/>
    </xf>
    <xf numFmtId="49" fontId="22" fillId="12" borderId="204" xfId="0" applyNumberFormat="1" applyFont="1" applyFill="1" applyBorder="1" applyProtection="1"/>
    <xf numFmtId="166" fontId="22" fillId="12" borderId="204" xfId="0" applyNumberFormat="1" applyFont="1" applyFill="1" applyBorder="1" applyAlignment="1" applyProtection="1">
      <alignment shrinkToFit="1"/>
    </xf>
    <xf numFmtId="0" fontId="0" fillId="12" borderId="219" xfId="0" applyFill="1" applyBorder="1"/>
    <xf numFmtId="10" fontId="0" fillId="12" borderId="196" xfId="0" applyNumberFormat="1" applyFill="1" applyBorder="1"/>
    <xf numFmtId="0" fontId="0" fillId="12" borderId="204" xfId="0" applyFill="1" applyBorder="1"/>
    <xf numFmtId="0" fontId="22" fillId="12" borderId="242" xfId="0" applyFont="1" applyFill="1" applyBorder="1" applyProtection="1"/>
    <xf numFmtId="0" fontId="0" fillId="12" borderId="242" xfId="0" applyFill="1" applyBorder="1"/>
    <xf numFmtId="10" fontId="0" fillId="12" borderId="212" xfId="0" applyNumberFormat="1" applyFill="1" applyBorder="1"/>
    <xf numFmtId="0" fontId="0" fillId="12" borderId="212" xfId="0" applyFill="1" applyBorder="1"/>
    <xf numFmtId="49" fontId="22" fillId="12" borderId="219" xfId="0" applyNumberFormat="1" applyFont="1" applyFill="1" applyBorder="1" applyAlignment="1" applyProtection="1">
      <alignment horizontal="center" vertical="top" wrapText="1"/>
    </xf>
    <xf numFmtId="166" fontId="22" fillId="12" borderId="219" xfId="0" applyNumberFormat="1" applyFont="1" applyFill="1" applyBorder="1" applyAlignment="1" applyProtection="1">
      <alignment shrinkToFit="1"/>
    </xf>
    <xf numFmtId="0" fontId="1" fillId="21" borderId="29" xfId="0" applyFont="1" applyFill="1" applyBorder="1" applyProtection="1">
      <protection locked="0"/>
    </xf>
    <xf numFmtId="167" fontId="6" fillId="6" borderId="53" xfId="0" applyNumberFormat="1" applyFont="1" applyFill="1" applyBorder="1" applyAlignment="1" applyProtection="1">
      <alignment horizontal="center"/>
      <protection locked="0"/>
    </xf>
    <xf numFmtId="167" fontId="6" fillId="6" borderId="55" xfId="0" applyNumberFormat="1" applyFont="1" applyFill="1" applyBorder="1" applyAlignment="1" applyProtection="1">
      <alignment horizontal="center"/>
      <protection locked="0"/>
    </xf>
    <xf numFmtId="15" fontId="6" fillId="9" borderId="196" xfId="0" applyNumberFormat="1" applyFont="1" applyFill="1" applyBorder="1" applyAlignment="1" applyProtection="1">
      <alignment horizontal="center"/>
      <protection locked="0"/>
    </xf>
    <xf numFmtId="0" fontId="89" fillId="23" borderId="29" xfId="0" applyFont="1" applyFill="1" applyBorder="1" applyAlignment="1" applyProtection="1">
      <alignment wrapText="1"/>
      <protection locked="0"/>
    </xf>
    <xf numFmtId="0" fontId="89" fillId="23" borderId="29" xfId="0" applyFont="1" applyFill="1" applyBorder="1" applyProtection="1">
      <protection locked="0"/>
    </xf>
    <xf numFmtId="3" fontId="19" fillId="6" borderId="196" xfId="0" applyNumberFormat="1" applyFont="1" applyFill="1" applyBorder="1" applyAlignment="1" applyProtection="1">
      <alignment horizontal="center"/>
      <protection locked="0"/>
    </xf>
    <xf numFmtId="0" fontId="92" fillId="29" borderId="194" xfId="0" applyNumberFormat="1" applyFont="1" applyFill="1" applyBorder="1" applyAlignment="1" applyProtection="1">
      <alignment horizontal="center" vertical="center"/>
      <protection hidden="1"/>
    </xf>
    <xf numFmtId="0" fontId="1" fillId="0" borderId="0" xfId="0" applyNumberFormat="1" applyFont="1"/>
    <xf numFmtId="49" fontId="92" fillId="25" borderId="149" xfId="0" applyNumberFormat="1" applyFont="1" applyFill="1" applyBorder="1" applyAlignment="1">
      <alignment vertical="center" wrapText="1"/>
    </xf>
    <xf numFmtId="0" fontId="92" fillId="29" borderId="194" xfId="0" applyFont="1" applyFill="1" applyBorder="1" applyAlignment="1" applyProtection="1">
      <alignment horizontal="center" vertical="center" wrapText="1"/>
      <protection hidden="1"/>
    </xf>
    <xf numFmtId="168" fontId="92" fillId="29" borderId="194" xfId="0" applyNumberFormat="1" applyFont="1" applyFill="1" applyBorder="1" applyAlignment="1" applyProtection="1">
      <alignment horizontal="right" vertical="center"/>
      <protection locked="0"/>
    </xf>
    <xf numFmtId="168" fontId="92" fillId="29" borderId="194" xfId="0" applyNumberFormat="1" applyFont="1" applyFill="1" applyBorder="1" applyAlignment="1" applyProtection="1">
      <alignment horizontal="right" vertical="center" wrapText="1"/>
      <protection hidden="1"/>
    </xf>
    <xf numFmtId="168" fontId="95" fillId="29" borderId="194" xfId="0" applyNumberFormat="1" applyFont="1" applyFill="1" applyBorder="1" applyAlignment="1" applyProtection="1">
      <alignment horizontal="right" vertical="center"/>
    </xf>
    <xf numFmtId="0" fontId="6" fillId="21" borderId="28" xfId="0" applyFont="1" applyFill="1" applyBorder="1" applyAlignment="1" applyProtection="1">
      <alignment horizontal="center"/>
      <protection locked="0"/>
    </xf>
    <xf numFmtId="168" fontId="97" fillId="29" borderId="194" xfId="0" applyNumberFormat="1" applyFont="1" applyFill="1" applyBorder="1" applyAlignment="1" applyProtection="1">
      <alignment horizontal="right" vertical="center"/>
    </xf>
    <xf numFmtId="0" fontId="1" fillId="0" borderId="0" xfId="0" applyFont="1" applyAlignment="1">
      <alignment wrapText="1"/>
    </xf>
    <xf numFmtId="0" fontId="0" fillId="0" borderId="244" xfId="0" applyBorder="1"/>
    <xf numFmtId="0" fontId="109" fillId="19" borderId="245" xfId="20" applyFont="1" applyFill="1" applyBorder="1" applyAlignment="1" applyProtection="1">
      <alignment horizontal="center" vertical="center" wrapText="1"/>
      <protection hidden="1"/>
    </xf>
    <xf numFmtId="0" fontId="109" fillId="19" borderId="194" xfId="20" applyFont="1" applyFill="1" applyBorder="1" applyAlignment="1" applyProtection="1">
      <alignment horizontal="center" vertical="center" wrapText="1"/>
      <protection hidden="1"/>
    </xf>
    <xf numFmtId="0" fontId="0" fillId="0" borderId="57" xfId="0" applyBorder="1"/>
    <xf numFmtId="0" fontId="0" fillId="0" borderId="201" xfId="0" applyBorder="1"/>
    <xf numFmtId="0" fontId="0" fillId="19" borderId="194" xfId="0" applyFill="1" applyBorder="1" applyAlignment="1">
      <alignment horizontal="center" vertical="center" wrapText="1"/>
    </xf>
    <xf numFmtId="168" fontId="0" fillId="19" borderId="194" xfId="0" applyNumberFormat="1" applyFill="1" applyBorder="1"/>
    <xf numFmtId="0" fontId="110" fillId="19" borderId="194" xfId="20" applyFont="1" applyFill="1" applyBorder="1" applyAlignment="1" applyProtection="1">
      <alignment horizontal="center" vertical="center" wrapText="1"/>
      <protection hidden="1"/>
    </xf>
    <xf numFmtId="0" fontId="110" fillId="19" borderId="194" xfId="20" applyFont="1" applyFill="1" applyBorder="1" applyAlignment="1" applyProtection="1">
      <alignment horizontal="center"/>
      <protection hidden="1"/>
    </xf>
    <xf numFmtId="168" fontId="0" fillId="0" borderId="0" xfId="0" applyNumberFormat="1" applyAlignment="1">
      <alignment horizontal="right"/>
    </xf>
    <xf numFmtId="0" fontId="19" fillId="7" borderId="198" xfId="0" applyFont="1" applyFill="1" applyBorder="1" applyAlignment="1" applyProtection="1">
      <alignment horizontal="left"/>
    </xf>
    <xf numFmtId="0" fontId="19" fillId="7" borderId="204" xfId="0" applyFont="1" applyFill="1" applyBorder="1" applyAlignment="1" applyProtection="1">
      <alignment horizontal="left"/>
    </xf>
    <xf numFmtId="0" fontId="19" fillId="7" borderId="205" xfId="0" applyFont="1" applyFill="1" applyBorder="1" applyAlignment="1" applyProtection="1">
      <alignment horizontal="left"/>
    </xf>
    <xf numFmtId="0" fontId="19" fillId="6" borderId="220" xfId="0" applyFont="1" applyFill="1" applyBorder="1" applyAlignment="1" applyProtection="1">
      <alignment horizontal="left"/>
      <protection locked="0"/>
    </xf>
    <xf numFmtId="0" fontId="19" fillId="6" borderId="219" xfId="0" applyFont="1" applyFill="1" applyBorder="1" applyAlignment="1" applyProtection="1">
      <alignment horizontal="left"/>
      <protection locked="0"/>
    </xf>
    <xf numFmtId="0" fontId="19" fillId="6" borderId="218" xfId="0" applyFont="1" applyFill="1" applyBorder="1" applyAlignment="1" applyProtection="1">
      <alignment horizontal="left"/>
      <protection locked="0"/>
    </xf>
    <xf numFmtId="0" fontId="19" fillId="7" borderId="145" xfId="0" applyFont="1" applyFill="1" applyBorder="1" applyAlignment="1" applyProtection="1">
      <alignment horizontal="left"/>
    </xf>
    <xf numFmtId="0" fontId="19" fillId="7" borderId="112" xfId="0" applyFont="1" applyFill="1" applyBorder="1" applyAlignment="1" applyProtection="1">
      <alignment horizontal="left"/>
    </xf>
    <xf numFmtId="0" fontId="19" fillId="7" borderId="144" xfId="0" applyFont="1" applyFill="1" applyBorder="1" applyAlignment="1" applyProtection="1">
      <alignment horizontal="left"/>
    </xf>
    <xf numFmtId="0" fontId="92" fillId="26" borderId="245" xfId="0" applyFont="1" applyFill="1" applyBorder="1" applyAlignment="1">
      <alignment vertical="center"/>
    </xf>
    <xf numFmtId="0" fontId="92" fillId="28" borderId="244" xfId="0" applyFont="1" applyFill="1" applyBorder="1" applyAlignment="1">
      <alignment vertical="center" wrapText="1"/>
    </xf>
    <xf numFmtId="0" fontId="92" fillId="26" borderId="198" xfId="0" applyFont="1" applyFill="1" applyBorder="1"/>
    <xf numFmtId="0" fontId="92" fillId="26" borderId="204" xfId="0" applyFont="1" applyFill="1" applyBorder="1"/>
    <xf numFmtId="0" fontId="92" fillId="26" borderId="205" xfId="0" applyFont="1" applyFill="1" applyBorder="1"/>
    <xf numFmtId="0" fontId="92" fillId="28" borderId="198" xfId="0" applyFont="1" applyFill="1" applyBorder="1" applyAlignment="1">
      <alignment vertical="center" wrapText="1"/>
    </xf>
    <xf numFmtId="0" fontId="19" fillId="3" borderId="246" xfId="0" applyFont="1" applyFill="1" applyBorder="1" applyAlignment="1" applyProtection="1">
      <alignment horizontal="left"/>
    </xf>
    <xf numFmtId="0" fontId="19" fillId="3" borderId="110" xfId="0" applyFont="1" applyFill="1" applyBorder="1" applyAlignment="1" applyProtection="1">
      <alignment horizontal="left"/>
    </xf>
    <xf numFmtId="0" fontId="19" fillId="7" borderId="205" xfId="0" applyFont="1" applyFill="1" applyBorder="1" applyAlignment="1" applyProtection="1">
      <alignment horizontal="center"/>
    </xf>
    <xf numFmtId="2" fontId="92" fillId="29" borderId="194" xfId="0" applyNumberFormat="1" applyFont="1" applyFill="1" applyBorder="1" applyAlignment="1" applyProtection="1">
      <alignment horizontal="right" vertical="center"/>
      <protection hidden="1"/>
    </xf>
    <xf numFmtId="0" fontId="92" fillId="26" borderId="198" xfId="0" applyFont="1" applyFill="1" applyBorder="1"/>
    <xf numFmtId="0" fontId="92" fillId="26" borderId="204" xfId="0" applyFont="1" applyFill="1" applyBorder="1"/>
    <xf numFmtId="0" fontId="92" fillId="26" borderId="205" xfId="0" applyFont="1" applyFill="1" applyBorder="1"/>
    <xf numFmtId="0" fontId="92" fillId="26" borderId="206" xfId="0" applyFont="1" applyFill="1" applyBorder="1" applyAlignment="1">
      <alignment horizontal="left"/>
    </xf>
    <xf numFmtId="0" fontId="92" fillId="26" borderId="199" xfId="0" applyFont="1" applyFill="1" applyBorder="1" applyAlignment="1">
      <alignment horizontal="left"/>
    </xf>
    <xf numFmtId="0" fontId="92" fillId="26" borderId="207" xfId="0" applyFont="1" applyFill="1" applyBorder="1" applyAlignment="1">
      <alignment horizontal="left"/>
    </xf>
    <xf numFmtId="0" fontId="19" fillId="0" borderId="245" xfId="0" applyFont="1" applyBorder="1" applyProtection="1"/>
    <xf numFmtId="0" fontId="19" fillId="0" borderId="244" xfId="0" applyFont="1" applyBorder="1" applyProtection="1"/>
    <xf numFmtId="168" fontId="0" fillId="0" borderId="245" xfId="0" applyNumberFormat="1" applyBorder="1"/>
    <xf numFmtId="0" fontId="0" fillId="0" borderId="244" xfId="0" applyBorder="1" applyAlignment="1">
      <alignment horizontal="center"/>
    </xf>
    <xf numFmtId="0" fontId="0" fillId="0" borderId="245" xfId="0" applyBorder="1" applyAlignment="1">
      <alignment horizontal="center" wrapText="1"/>
    </xf>
    <xf numFmtId="168" fontId="0" fillId="0" borderId="194" xfId="0" applyNumberFormat="1" applyBorder="1" applyAlignment="1">
      <alignment vertical="center"/>
    </xf>
    <xf numFmtId="168" fontId="0" fillId="0" borderId="244" xfId="0" applyNumberFormat="1" applyBorder="1" applyAlignment="1">
      <alignment vertical="center"/>
    </xf>
    <xf numFmtId="0" fontId="0" fillId="0" borderId="245" xfId="0" applyBorder="1"/>
    <xf numFmtId="168" fontId="1" fillId="0" borderId="245" xfId="0" applyNumberFormat="1" applyFont="1" applyBorder="1"/>
    <xf numFmtId="168" fontId="0" fillId="0" borderId="194" xfId="0" applyNumberFormat="1" applyBorder="1" applyAlignment="1">
      <alignment horizontal="right"/>
    </xf>
    <xf numFmtId="168" fontId="0" fillId="0" borderId="244" xfId="0" applyNumberFormat="1" applyBorder="1" applyAlignment="1">
      <alignment horizontal="right"/>
    </xf>
    <xf numFmtId="0" fontId="1" fillId="0" borderId="245" xfId="0" applyFont="1" applyBorder="1" applyAlignment="1">
      <alignment wrapText="1"/>
    </xf>
    <xf numFmtId="0" fontId="1" fillId="0" borderId="245" xfId="0" applyFont="1" applyBorder="1"/>
    <xf numFmtId="168" fontId="0" fillId="0" borderId="244" xfId="0" applyNumberFormat="1" applyBorder="1"/>
    <xf numFmtId="0" fontId="1" fillId="0" borderId="130" xfId="0" applyFont="1" applyBorder="1" applyAlignment="1">
      <alignment wrapText="1"/>
    </xf>
    <xf numFmtId="168" fontId="0" fillId="0" borderId="57" xfId="0" applyNumberFormat="1" applyBorder="1"/>
    <xf numFmtId="4" fontId="92" fillId="29" borderId="194" xfId="0" applyNumberFormat="1" applyFont="1" applyFill="1" applyBorder="1" applyAlignment="1" applyProtection="1">
      <alignment horizontal="right" vertical="center"/>
      <protection hidden="1"/>
    </xf>
    <xf numFmtId="0" fontId="92" fillId="26" borderId="194" xfId="0" applyFont="1" applyFill="1" applyBorder="1"/>
    <xf numFmtId="168" fontId="9" fillId="0" borderId="0" xfId="0" applyNumberFormat="1" applyFont="1" applyProtection="1"/>
    <xf numFmtId="167" fontId="6" fillId="6" borderId="54" xfId="0" applyNumberFormat="1" applyFont="1" applyFill="1" applyBorder="1" applyAlignment="1" applyProtection="1">
      <alignment horizontal="center"/>
      <protection locked="0"/>
    </xf>
    <xf numFmtId="1" fontId="92" fillId="29" borderId="194" xfId="0" applyNumberFormat="1" applyFont="1" applyFill="1" applyBorder="1" applyAlignment="1" applyProtection="1">
      <alignment horizontal="center" vertical="center"/>
      <protection hidden="1"/>
    </xf>
    <xf numFmtId="4" fontId="92" fillId="29" borderId="194" xfId="0" applyNumberFormat="1" applyFont="1" applyFill="1" applyBorder="1" applyAlignment="1" applyProtection="1">
      <alignment horizontal="center" vertical="center"/>
      <protection hidden="1"/>
    </xf>
    <xf numFmtId="1" fontId="111" fillId="19" borderId="194" xfId="20" applyNumberFormat="1" applyFont="1" applyFill="1" applyBorder="1" applyAlignment="1" applyProtection="1">
      <alignment horizontal="center" vertical="center" wrapText="1"/>
      <protection hidden="1"/>
    </xf>
    <xf numFmtId="1" fontId="111" fillId="19" borderId="194" xfId="20" applyNumberFormat="1" applyFont="1" applyFill="1" applyBorder="1" applyAlignment="1" applyProtection="1">
      <alignment horizontal="center" vertical="center"/>
      <protection hidden="1"/>
    </xf>
    <xf numFmtId="0" fontId="92" fillId="26" borderId="206" xfId="0" applyFont="1" applyFill="1" applyBorder="1"/>
    <xf numFmtId="0" fontId="92" fillId="26" borderId="199" xfId="0" applyFont="1" applyFill="1" applyBorder="1"/>
    <xf numFmtId="0" fontId="92" fillId="26" borderId="207" xfId="0" applyFont="1" applyFill="1" applyBorder="1"/>
    <xf numFmtId="0" fontId="92" fillId="25" borderId="244" xfId="0" applyFont="1" applyFill="1" applyBorder="1" applyAlignment="1" applyProtection="1">
      <alignment vertical="center" wrapText="1"/>
      <protection hidden="1"/>
    </xf>
    <xf numFmtId="0" fontId="1" fillId="0" borderId="0" xfId="0" applyFont="1" applyAlignment="1">
      <alignment horizontal="center" vertical="center" wrapText="1"/>
    </xf>
    <xf numFmtId="1" fontId="0" fillId="0" borderId="0" xfId="0" applyNumberFormat="1"/>
    <xf numFmtId="168" fontId="111" fillId="19" borderId="194" xfId="20" applyNumberFormat="1" applyFont="1" applyFill="1" applyBorder="1" applyAlignment="1" applyProtection="1">
      <alignment horizontal="center" vertical="center" wrapText="1"/>
      <protection hidden="1"/>
    </xf>
    <xf numFmtId="0" fontId="92" fillId="26" borderId="198" xfId="0" applyFont="1" applyFill="1" applyBorder="1"/>
    <xf numFmtId="0" fontId="92" fillId="26" borderId="204" xfId="0" applyFont="1" applyFill="1" applyBorder="1"/>
    <xf numFmtId="0" fontId="92" fillId="26" borderId="205" xfId="0" applyFont="1" applyFill="1" applyBorder="1"/>
    <xf numFmtId="0" fontId="92" fillId="26" borderId="194" xfId="0" applyFont="1" applyFill="1" applyBorder="1"/>
    <xf numFmtId="168" fontId="110" fillId="19" borderId="194" xfId="20" applyNumberFormat="1" applyFont="1" applyFill="1" applyBorder="1" applyAlignment="1" applyProtection="1">
      <alignment horizontal="center"/>
      <protection hidden="1"/>
    </xf>
    <xf numFmtId="1" fontId="0" fillId="0" borderId="0" xfId="0" applyNumberFormat="1" applyAlignment="1">
      <alignment wrapText="1"/>
    </xf>
    <xf numFmtId="1" fontId="0" fillId="0" borderId="0" xfId="0" applyNumberFormat="1" applyAlignment="1">
      <alignment horizontal="center" vertical="center"/>
    </xf>
    <xf numFmtId="4" fontId="0" fillId="0" borderId="0" xfId="0" applyNumberFormat="1"/>
    <xf numFmtId="167" fontId="92" fillId="29" borderId="194" xfId="0" applyNumberFormat="1" applyFont="1" applyFill="1" applyBorder="1" applyAlignment="1" applyProtection="1">
      <alignment horizontal="center" vertical="center"/>
      <protection hidden="1"/>
    </xf>
    <xf numFmtId="167" fontId="92" fillId="29" borderId="194" xfId="0" applyNumberFormat="1" applyFont="1" applyFill="1" applyBorder="1" applyAlignment="1" applyProtection="1">
      <alignment horizontal="right" vertical="center"/>
      <protection hidden="1"/>
    </xf>
    <xf numFmtId="0" fontId="92" fillId="26" borderId="198" xfId="0" applyFont="1" applyFill="1" applyBorder="1"/>
    <xf numFmtId="0" fontId="92" fillId="26" borderId="204" xfId="0" applyFont="1" applyFill="1" applyBorder="1"/>
    <xf numFmtId="0" fontId="92" fillId="26" borderId="205" xfId="0" applyFont="1" applyFill="1" applyBorder="1"/>
    <xf numFmtId="168" fontId="111" fillId="19" borderId="194" xfId="20" applyNumberFormat="1" applyFont="1" applyFill="1" applyBorder="1" applyAlignment="1" applyProtection="1">
      <alignment horizontal="center" vertical="center"/>
      <protection hidden="1"/>
    </xf>
    <xf numFmtId="0" fontId="92" fillId="25" borderId="244" xfId="0" applyFont="1" applyFill="1" applyBorder="1" applyAlignment="1" applyProtection="1">
      <alignment horizontal="left" vertical="center" wrapText="1"/>
      <protection hidden="1"/>
    </xf>
    <xf numFmtId="168" fontId="114" fillId="18" borderId="194" xfId="0" applyNumberFormat="1" applyFont="1" applyFill="1" applyBorder="1" applyAlignment="1">
      <alignment vertical="center"/>
    </xf>
    <xf numFmtId="168" fontId="0" fillId="0" borderId="194" xfId="0" applyNumberFormat="1" applyBorder="1" applyAlignment="1">
      <alignment horizontal="center"/>
    </xf>
    <xf numFmtId="168" fontId="0" fillId="0" borderId="244" xfId="0" applyNumberFormat="1" applyBorder="1" applyAlignment="1">
      <alignment horizontal="center"/>
    </xf>
    <xf numFmtId="167" fontId="0" fillId="0" borderId="0" xfId="0" applyNumberFormat="1"/>
    <xf numFmtId="0" fontId="118" fillId="12" borderId="60" xfId="0" applyFont="1" applyFill="1" applyBorder="1" applyProtection="1">
      <protection hidden="1"/>
    </xf>
    <xf numFmtId="168" fontId="0" fillId="0" borderId="0" xfId="0" applyNumberFormat="1" applyAlignment="1">
      <alignment wrapText="1"/>
    </xf>
    <xf numFmtId="0" fontId="111" fillId="19" borderId="194" xfId="20" applyFont="1" applyFill="1" applyBorder="1" applyAlignment="1" applyProtection="1">
      <alignment horizontal="center" wrapText="1"/>
      <protection hidden="1"/>
    </xf>
    <xf numFmtId="168" fontId="110" fillId="19" borderId="194" xfId="20" applyNumberFormat="1" applyFont="1" applyFill="1" applyBorder="1" applyAlignment="1" applyProtection="1">
      <alignment horizontal="center" wrapText="1"/>
      <protection hidden="1"/>
    </xf>
    <xf numFmtId="0" fontId="116" fillId="19" borderId="194" xfId="20" applyFont="1" applyFill="1" applyBorder="1" applyAlignment="1" applyProtection="1">
      <alignment horizontal="center" wrapText="1"/>
      <protection hidden="1"/>
    </xf>
    <xf numFmtId="168" fontId="92" fillId="25" borderId="149" xfId="0" applyNumberFormat="1" applyFont="1" applyFill="1" applyBorder="1" applyAlignment="1" applyProtection="1">
      <alignment vertical="center" wrapText="1"/>
      <protection hidden="1"/>
    </xf>
    <xf numFmtId="168" fontId="92" fillId="28" borderId="244" xfId="0" applyNumberFormat="1" applyFont="1" applyFill="1" applyBorder="1" applyAlignment="1">
      <alignment vertical="center" wrapText="1"/>
    </xf>
    <xf numFmtId="0" fontId="87" fillId="19" borderId="194" xfId="20" applyFont="1" applyFill="1" applyBorder="1" applyAlignment="1" applyProtection="1">
      <alignment horizontal="center" vertical="center" wrapText="1"/>
      <protection hidden="1"/>
    </xf>
    <xf numFmtId="168" fontId="87" fillId="19" borderId="194" xfId="20" applyNumberFormat="1" applyFont="1" applyFill="1" applyBorder="1" applyAlignment="1" applyProtection="1">
      <alignment horizontal="center" vertical="center" wrapText="1"/>
      <protection hidden="1"/>
    </xf>
    <xf numFmtId="0" fontId="87" fillId="19" borderId="194" xfId="20" applyFont="1" applyFill="1" applyBorder="1" applyAlignment="1" applyProtection="1">
      <alignment horizontal="center" vertical="center"/>
      <protection hidden="1"/>
    </xf>
    <xf numFmtId="168" fontId="87" fillId="19" borderId="194" xfId="20" applyNumberFormat="1" applyFont="1" applyFill="1" applyBorder="1" applyAlignment="1" applyProtection="1">
      <alignment horizontal="center" vertical="center"/>
      <protection hidden="1"/>
    </xf>
    <xf numFmtId="168" fontId="87" fillId="19" borderId="194" xfId="20" applyNumberFormat="1" applyFont="1" applyFill="1" applyBorder="1" applyAlignment="1" applyProtection="1">
      <alignment horizontal="center"/>
      <protection hidden="1"/>
    </xf>
    <xf numFmtId="0" fontId="87" fillId="19" borderId="194" xfId="20" applyFont="1" applyFill="1" applyBorder="1" applyAlignment="1" applyProtection="1">
      <alignment horizontal="center"/>
      <protection hidden="1"/>
    </xf>
    <xf numFmtId="0" fontId="112" fillId="19" borderId="194" xfId="0" applyFont="1" applyFill="1" applyBorder="1" applyAlignment="1" applyProtection="1">
      <alignment horizontal="center" vertical="center" wrapText="1"/>
      <protection hidden="1"/>
    </xf>
    <xf numFmtId="0" fontId="87" fillId="19" borderId="194" xfId="0" applyFont="1" applyFill="1" applyBorder="1" applyAlignment="1" applyProtection="1">
      <alignment horizontal="center" vertical="center"/>
      <protection hidden="1"/>
    </xf>
    <xf numFmtId="168" fontId="5" fillId="19" borderId="194" xfId="0" applyNumberFormat="1" applyFont="1" applyFill="1" applyBorder="1" applyProtection="1">
      <protection hidden="1"/>
    </xf>
    <xf numFmtId="0" fontId="0" fillId="19" borderId="194" xfId="0" applyFill="1" applyBorder="1" applyAlignment="1" applyProtection="1">
      <alignment horizontal="center" vertical="center"/>
      <protection hidden="1"/>
    </xf>
    <xf numFmtId="168" fontId="5" fillId="19" borderId="194" xfId="0" applyNumberFormat="1" applyFont="1" applyFill="1" applyBorder="1" applyAlignment="1" applyProtection="1">
      <alignment wrapText="1"/>
      <protection hidden="1"/>
    </xf>
    <xf numFmtId="0" fontId="117" fillId="19" borderId="194" xfId="0" applyFont="1" applyFill="1" applyBorder="1" applyAlignment="1" applyProtection="1">
      <alignment horizontal="center" vertical="center" wrapText="1"/>
      <protection hidden="1"/>
    </xf>
    <xf numFmtId="0" fontId="5" fillId="19" borderId="194" xfId="0" applyFont="1" applyFill="1" applyBorder="1" applyAlignment="1" applyProtection="1">
      <alignment horizontal="center"/>
      <protection hidden="1"/>
    </xf>
    <xf numFmtId="168" fontId="119" fillId="19" borderId="247" xfId="0" applyNumberFormat="1" applyFont="1" applyFill="1" applyBorder="1" applyAlignment="1">
      <alignment horizontal="center"/>
    </xf>
    <xf numFmtId="168" fontId="119" fillId="19" borderId="0" xfId="0" applyNumberFormat="1" applyFont="1" applyFill="1" applyBorder="1" applyAlignment="1">
      <alignment horizontal="center"/>
    </xf>
    <xf numFmtId="168" fontId="92" fillId="28" borderId="149" xfId="0" applyNumberFormat="1" applyFont="1" applyFill="1" applyBorder="1" applyAlignment="1">
      <alignment vertical="center" wrapText="1"/>
    </xf>
    <xf numFmtId="182" fontId="0" fillId="0" borderId="0" xfId="0" applyNumberFormat="1"/>
    <xf numFmtId="168" fontId="1" fillId="0" borderId="0" xfId="0" applyNumberFormat="1" applyFont="1" applyAlignment="1">
      <alignment horizontal="right"/>
    </xf>
    <xf numFmtId="0" fontId="1" fillId="19" borderId="14" xfId="0" applyFont="1" applyFill="1" applyBorder="1" applyAlignment="1" applyProtection="1">
      <alignment horizontal="center" vertical="center" wrapText="1"/>
      <protection hidden="1"/>
    </xf>
    <xf numFmtId="0" fontId="0" fillId="0" borderId="0" xfId="0" applyAlignment="1">
      <alignment horizontal="center" vertical="center"/>
    </xf>
    <xf numFmtId="168" fontId="0" fillId="19" borderId="249" xfId="0" applyNumberFormat="1" applyFill="1" applyBorder="1" applyProtection="1">
      <protection hidden="1"/>
    </xf>
    <xf numFmtId="3" fontId="0" fillId="19" borderId="205" xfId="0" applyNumberFormat="1" applyFill="1" applyBorder="1" applyAlignment="1">
      <alignment horizontal="center" vertical="center"/>
    </xf>
    <xf numFmtId="0" fontId="1" fillId="0" borderId="0" xfId="0" applyFont="1" applyFill="1" applyBorder="1"/>
    <xf numFmtId="168" fontId="0" fillId="0" borderId="198" xfId="0" applyNumberFormat="1" applyBorder="1"/>
    <xf numFmtId="0" fontId="1" fillId="0" borderId="197" xfId="0" applyFont="1" applyFill="1" applyBorder="1"/>
    <xf numFmtId="0" fontId="92" fillId="26" borderId="198" xfId="0" applyFont="1" applyFill="1" applyBorder="1"/>
    <xf numFmtId="0" fontId="92" fillId="26" borderId="204" xfId="0" applyFont="1" applyFill="1" applyBorder="1"/>
    <xf numFmtId="0" fontId="92" fillId="26" borderId="205" xfId="0" applyFont="1" applyFill="1" applyBorder="1"/>
    <xf numFmtId="0" fontId="92" fillId="26" borderId="194" xfId="0" applyFont="1" applyFill="1" applyBorder="1"/>
    <xf numFmtId="0" fontId="109" fillId="21" borderId="194" xfId="20" applyFont="1" applyFill="1" applyBorder="1" applyAlignment="1" applyProtection="1">
      <alignment horizontal="center" vertical="center" wrapText="1"/>
      <protection locked="0"/>
    </xf>
    <xf numFmtId="0" fontId="109" fillId="21" borderId="194" xfId="20" applyFont="1" applyFill="1" applyBorder="1" applyAlignment="1" applyProtection="1">
      <alignment horizontal="center" vertical="center" wrapText="1"/>
      <protection locked="0" hidden="1"/>
    </xf>
    <xf numFmtId="0" fontId="109" fillId="21" borderId="194" xfId="20" applyFont="1" applyFill="1" applyBorder="1" applyAlignment="1" applyProtection="1">
      <alignment horizontal="center"/>
      <protection locked="0" hidden="1"/>
    </xf>
    <xf numFmtId="0" fontId="0" fillId="21" borderId="194" xfId="0" applyFill="1" applyBorder="1" applyAlignment="1" applyProtection="1">
      <alignment horizontal="center" vertical="center"/>
      <protection locked="0"/>
    </xf>
    <xf numFmtId="0" fontId="0" fillId="21" borderId="244" xfId="0" applyFill="1" applyBorder="1" applyAlignment="1" applyProtection="1">
      <alignment horizontal="center" vertical="center"/>
      <protection locked="0"/>
    </xf>
    <xf numFmtId="0" fontId="1" fillId="19" borderId="205" xfId="0" applyFont="1" applyFill="1" applyBorder="1" applyAlignment="1">
      <alignment horizontal="center" vertical="center" wrapText="1"/>
    </xf>
    <xf numFmtId="0" fontId="1" fillId="19" borderId="212" xfId="0" applyFont="1" applyFill="1" applyBorder="1"/>
    <xf numFmtId="0" fontId="1" fillId="19" borderId="200" xfId="0" applyFont="1" applyFill="1" applyBorder="1"/>
    <xf numFmtId="0" fontId="1" fillId="19" borderId="194" xfId="0" applyFont="1" applyFill="1" applyBorder="1" applyAlignment="1">
      <alignment horizontal="center" vertical="center" wrapText="1"/>
    </xf>
    <xf numFmtId="0" fontId="0" fillId="21" borderId="0" xfId="0" applyFill="1" applyBorder="1" applyAlignment="1" applyProtection="1">
      <alignment horizontal="center" vertical="center"/>
      <protection locked="0"/>
    </xf>
    <xf numFmtId="3" fontId="0" fillId="19" borderId="251" xfId="0" applyNumberFormat="1" applyFill="1" applyBorder="1" applyAlignment="1">
      <alignment horizontal="center" vertical="center"/>
    </xf>
    <xf numFmtId="0" fontId="1" fillId="19" borderId="244" xfId="0" applyFont="1" applyFill="1" applyBorder="1" applyAlignment="1">
      <alignment horizontal="center" vertical="center" wrapText="1"/>
    </xf>
    <xf numFmtId="0" fontId="0" fillId="21" borderId="34" xfId="0" applyFill="1" applyBorder="1" applyAlignment="1" applyProtection="1">
      <alignment horizontal="center" vertical="center"/>
      <protection locked="0"/>
    </xf>
    <xf numFmtId="0" fontId="0" fillId="21" borderId="152" xfId="0" applyFill="1" applyBorder="1" applyAlignment="1" applyProtection="1">
      <alignment horizontal="center" vertical="center"/>
      <protection locked="0"/>
    </xf>
    <xf numFmtId="0" fontId="0" fillId="19" borderId="212" xfId="0" applyFill="1" applyBorder="1" applyAlignment="1" applyProtection="1">
      <alignment horizontal="center" vertical="center" wrapText="1"/>
      <protection hidden="1"/>
    </xf>
    <xf numFmtId="0" fontId="0" fillId="19" borderId="194" xfId="0" applyFill="1" applyBorder="1" applyAlignment="1" applyProtection="1">
      <alignment horizontal="center" vertical="center" wrapText="1"/>
      <protection hidden="1"/>
    </xf>
    <xf numFmtId="168" fontId="0" fillId="21" borderId="194" xfId="0" applyNumberFormat="1" applyFill="1" applyBorder="1" applyProtection="1">
      <protection locked="0"/>
    </xf>
    <xf numFmtId="3" fontId="0" fillId="19" borderId="194" xfId="0" applyNumberFormat="1" applyFill="1" applyBorder="1" applyAlignment="1">
      <alignment horizontal="center" vertical="center"/>
    </xf>
    <xf numFmtId="0" fontId="0" fillId="21" borderId="196" xfId="0" applyFill="1" applyBorder="1" applyAlignment="1" applyProtection="1">
      <alignment horizontal="center" vertical="center"/>
      <protection locked="0"/>
    </xf>
    <xf numFmtId="0" fontId="0" fillId="19" borderId="249" xfId="0" applyFill="1" applyBorder="1"/>
    <xf numFmtId="0" fontId="0" fillId="19" borderId="249" xfId="0" applyFill="1" applyBorder="1" applyAlignment="1">
      <alignment horizontal="center" vertical="center"/>
    </xf>
    <xf numFmtId="168" fontId="0" fillId="19" borderId="249" xfId="0" applyNumberFormat="1" applyFill="1" applyBorder="1" applyAlignment="1">
      <alignment horizontal="center" vertical="center"/>
    </xf>
    <xf numFmtId="0" fontId="109" fillId="19" borderId="250" xfId="20" applyFont="1" applyFill="1" applyBorder="1" applyAlignment="1" applyProtection="1">
      <alignment horizontal="center" vertical="center" wrapText="1"/>
      <protection hidden="1"/>
    </xf>
    <xf numFmtId="0" fontId="109" fillId="21" borderId="249" xfId="20" applyFont="1" applyFill="1" applyBorder="1" applyAlignment="1" applyProtection="1">
      <alignment horizontal="center" vertical="center" wrapText="1"/>
      <protection locked="0" hidden="1"/>
    </xf>
    <xf numFmtId="0" fontId="109" fillId="21" borderId="249" xfId="20" applyFont="1" applyFill="1" applyBorder="1" applyAlignment="1" applyProtection="1">
      <alignment horizontal="center"/>
      <protection locked="0" hidden="1"/>
    </xf>
    <xf numFmtId="0" fontId="109" fillId="21" borderId="34" xfId="20" applyFont="1" applyFill="1" applyBorder="1" applyAlignment="1" applyProtection="1">
      <alignment horizontal="center" vertical="center" wrapText="1"/>
      <protection locked="0" hidden="1"/>
    </xf>
    <xf numFmtId="0" fontId="109" fillId="21" borderId="126" xfId="20" applyFont="1" applyFill="1" applyBorder="1" applyAlignment="1" applyProtection="1">
      <alignment horizontal="center" vertical="center" wrapText="1"/>
      <protection locked="0" hidden="1"/>
    </xf>
    <xf numFmtId="0" fontId="5" fillId="19" borderId="245" xfId="0" applyFont="1" applyFill="1" applyBorder="1" applyAlignment="1" applyProtection="1">
      <alignment horizontal="center" vertical="center"/>
      <protection hidden="1"/>
    </xf>
    <xf numFmtId="0" fontId="109" fillId="19" borderId="257" xfId="20" applyFont="1" applyFill="1" applyBorder="1" applyAlignment="1" applyProtection="1">
      <alignment horizontal="center" vertical="center" wrapText="1"/>
      <protection hidden="1"/>
    </xf>
    <xf numFmtId="0" fontId="0" fillId="19" borderId="258" xfId="0" applyFill="1" applyBorder="1" applyAlignment="1">
      <alignment horizontal="center" vertical="center"/>
    </xf>
    <xf numFmtId="0" fontId="0" fillId="19" borderId="45" xfId="0" applyFill="1" applyBorder="1" applyAlignment="1">
      <alignment horizontal="center" vertical="center" wrapText="1"/>
    </xf>
    <xf numFmtId="0" fontId="0" fillId="19" borderId="246" xfId="0" applyFill="1" applyBorder="1" applyAlignment="1">
      <alignment horizontal="center" vertical="center" wrapText="1"/>
    </xf>
    <xf numFmtId="0" fontId="0" fillId="19" borderId="110" xfId="0" applyFill="1" applyBorder="1"/>
    <xf numFmtId="0" fontId="0" fillId="19" borderId="13" xfId="0" applyFill="1" applyBorder="1"/>
    <xf numFmtId="0" fontId="0" fillId="19" borderId="257" xfId="0" applyFill="1" applyBorder="1" applyAlignment="1">
      <alignment horizontal="center" vertical="center"/>
    </xf>
    <xf numFmtId="0" fontId="1" fillId="19" borderId="257" xfId="0" applyFont="1" applyFill="1" applyBorder="1" applyAlignment="1">
      <alignment horizontal="center" vertical="center"/>
    </xf>
    <xf numFmtId="168" fontId="119" fillId="19" borderId="224" xfId="0" applyNumberFormat="1" applyFont="1" applyFill="1" applyBorder="1" applyAlignment="1">
      <alignment horizontal="center"/>
    </xf>
    <xf numFmtId="0" fontId="1" fillId="19" borderId="259" xfId="0" applyFont="1" applyFill="1" applyBorder="1" applyAlignment="1">
      <alignment horizontal="center" vertical="center" wrapText="1"/>
    </xf>
    <xf numFmtId="0" fontId="45" fillId="19" borderId="34" xfId="0" applyFont="1" applyFill="1" applyBorder="1" applyAlignment="1">
      <alignment horizontal="center" vertical="center"/>
    </xf>
    <xf numFmtId="0" fontId="109" fillId="19" borderId="258" xfId="20" applyFont="1" applyFill="1" applyBorder="1" applyAlignment="1" applyProtection="1">
      <alignment horizontal="center" vertical="center" wrapText="1"/>
      <protection hidden="1"/>
    </xf>
    <xf numFmtId="0" fontId="109" fillId="19" borderId="132" xfId="20" applyFont="1" applyFill="1" applyBorder="1" applyAlignment="1" applyProtection="1">
      <alignment horizontal="center" vertical="center" wrapText="1"/>
      <protection hidden="1"/>
    </xf>
    <xf numFmtId="0" fontId="109" fillId="19" borderId="45" xfId="20" applyFont="1" applyFill="1" applyBorder="1" applyAlignment="1" applyProtection="1">
      <alignment horizontal="center" vertical="center" wrapText="1"/>
      <protection hidden="1"/>
    </xf>
    <xf numFmtId="0" fontId="112" fillId="19" borderId="45" xfId="0" applyFont="1" applyFill="1" applyBorder="1" applyAlignment="1" applyProtection="1">
      <alignment horizontal="center" vertical="center" wrapText="1"/>
      <protection hidden="1"/>
    </xf>
    <xf numFmtId="0" fontId="110" fillId="19" borderId="45" xfId="20" applyFont="1" applyFill="1" applyBorder="1" applyAlignment="1" applyProtection="1">
      <alignment horizontal="center" vertical="center" wrapText="1"/>
      <protection hidden="1"/>
    </xf>
    <xf numFmtId="0" fontId="87" fillId="19" borderId="257" xfId="20" applyFont="1" applyFill="1" applyBorder="1" applyAlignment="1" applyProtection="1">
      <alignment horizontal="center" vertical="center"/>
      <protection hidden="1"/>
    </xf>
    <xf numFmtId="0" fontId="111" fillId="19" borderId="257" xfId="20" applyFont="1" applyFill="1" applyBorder="1" applyAlignment="1" applyProtection="1">
      <alignment horizontal="center" vertical="center"/>
      <protection hidden="1"/>
    </xf>
    <xf numFmtId="0" fontId="111" fillId="19" borderId="259" xfId="20" applyFont="1" applyFill="1" applyBorder="1" applyAlignment="1" applyProtection="1">
      <alignment horizontal="center" vertical="center"/>
      <protection hidden="1"/>
    </xf>
    <xf numFmtId="0" fontId="110" fillId="19" borderId="34" xfId="20" applyFont="1" applyFill="1" applyBorder="1" applyAlignment="1" applyProtection="1">
      <alignment horizontal="center"/>
      <protection hidden="1"/>
    </xf>
    <xf numFmtId="168" fontId="110" fillId="19" borderId="34" xfId="20" applyNumberFormat="1" applyFont="1" applyFill="1" applyBorder="1" applyAlignment="1" applyProtection="1">
      <alignment horizontal="center"/>
      <protection hidden="1"/>
    </xf>
    <xf numFmtId="0" fontId="0" fillId="41" borderId="57" xfId="0" applyFill="1" applyBorder="1"/>
    <xf numFmtId="0" fontId="0" fillId="41" borderId="0" xfId="0" applyFill="1"/>
    <xf numFmtId="0" fontId="0" fillId="41" borderId="199" xfId="0" applyFill="1" applyBorder="1"/>
    <xf numFmtId="168" fontId="0" fillId="41" borderId="0" xfId="0" applyNumberFormat="1" applyFill="1" applyAlignment="1">
      <alignment wrapText="1"/>
    </xf>
    <xf numFmtId="0" fontId="0" fillId="41" borderId="0" xfId="0" applyFill="1" applyAlignment="1">
      <alignment wrapText="1"/>
    </xf>
    <xf numFmtId="0" fontId="5" fillId="41" borderId="0" xfId="0" applyFont="1" applyFill="1"/>
    <xf numFmtId="0" fontId="0" fillId="41" borderId="0" xfId="0" applyFill="1" applyAlignment="1">
      <alignment horizontal="center" vertical="center"/>
    </xf>
    <xf numFmtId="0" fontId="120" fillId="41" borderId="210" xfId="0" applyFont="1" applyFill="1" applyBorder="1" applyAlignment="1">
      <alignment horizontal="center"/>
    </xf>
    <xf numFmtId="0" fontId="1" fillId="41" borderId="0" xfId="0" applyFont="1" applyFill="1" applyBorder="1"/>
    <xf numFmtId="0" fontId="1" fillId="41" borderId="0" xfId="0" applyFont="1" applyFill="1" applyBorder="1" applyAlignment="1">
      <alignment horizontal="center" vertical="center" wrapText="1"/>
    </xf>
    <xf numFmtId="0" fontId="0" fillId="41" borderId="130" xfId="0" applyFill="1" applyBorder="1" applyAlignment="1">
      <alignment horizontal="center" vertical="center"/>
    </xf>
    <xf numFmtId="0" fontId="45" fillId="41" borderId="219" xfId="0" applyFont="1" applyFill="1" applyBorder="1" applyAlignment="1">
      <alignment horizontal="center" vertical="center"/>
    </xf>
    <xf numFmtId="0" fontId="0" fillId="41" borderId="219" xfId="0" applyFill="1" applyBorder="1" applyAlignment="1">
      <alignment horizontal="center" vertical="center" wrapText="1"/>
    </xf>
    <xf numFmtId="0" fontId="1" fillId="41" borderId="263" xfId="0" applyFont="1" applyFill="1" applyBorder="1" applyAlignment="1">
      <alignment horizontal="center" vertical="center"/>
    </xf>
    <xf numFmtId="0" fontId="0" fillId="41" borderId="208" xfId="0" applyFill="1" applyBorder="1" applyAlignment="1">
      <alignment horizontal="center" vertical="center"/>
    </xf>
    <xf numFmtId="0" fontId="0" fillId="41" borderId="209" xfId="0" applyFill="1" applyBorder="1"/>
    <xf numFmtId="0" fontId="0" fillId="41" borderId="219" xfId="0" applyFill="1" applyBorder="1"/>
    <xf numFmtId="0" fontId="0" fillId="41" borderId="221" xfId="0" applyFill="1" applyBorder="1"/>
    <xf numFmtId="0" fontId="0" fillId="41" borderId="0" xfId="0" applyFill="1" applyBorder="1"/>
    <xf numFmtId="0" fontId="0" fillId="41" borderId="264" xfId="0" applyFill="1" applyBorder="1" applyAlignment="1">
      <alignment horizontal="center" vertical="center" wrapText="1"/>
    </xf>
    <xf numFmtId="0" fontId="0" fillId="41" borderId="199" xfId="0" applyFill="1" applyBorder="1" applyAlignment="1">
      <alignment horizontal="center" vertical="center" wrapText="1"/>
    </xf>
    <xf numFmtId="0" fontId="0" fillId="41" borderId="255" xfId="0" applyFill="1" applyBorder="1"/>
    <xf numFmtId="0" fontId="0" fillId="41" borderId="60" xfId="0" applyFill="1" applyBorder="1"/>
    <xf numFmtId="0" fontId="0" fillId="41" borderId="24" xfId="0" applyFill="1" applyBorder="1"/>
    <xf numFmtId="0" fontId="0" fillId="41" borderId="0" xfId="0" applyFill="1" applyBorder="1" applyProtection="1">
      <protection locked="0" hidden="1"/>
    </xf>
    <xf numFmtId="0" fontId="0" fillId="41" borderId="0" xfId="0" applyFill="1" applyBorder="1" applyAlignment="1">
      <alignment wrapText="1"/>
    </xf>
    <xf numFmtId="0" fontId="0" fillId="41" borderId="0" xfId="0" applyFill="1" applyBorder="1" applyAlignment="1" applyProtection="1">
      <alignment wrapText="1"/>
      <protection locked="0" hidden="1"/>
    </xf>
    <xf numFmtId="0" fontId="0" fillId="41" borderId="60" xfId="0" applyFill="1" applyBorder="1" applyAlignment="1">
      <alignment wrapText="1"/>
    </xf>
    <xf numFmtId="0" fontId="0" fillId="41" borderId="247" xfId="0" applyFill="1" applyBorder="1"/>
    <xf numFmtId="0" fontId="0" fillId="41" borderId="210" xfId="0" applyFill="1" applyBorder="1"/>
    <xf numFmtId="0" fontId="0" fillId="41" borderId="193" xfId="0" applyFill="1" applyBorder="1"/>
    <xf numFmtId="168" fontId="1" fillId="41" borderId="0" xfId="0" applyNumberFormat="1" applyFont="1" applyFill="1" applyBorder="1" applyAlignment="1">
      <alignment horizontal="center" vertical="center" wrapText="1"/>
    </xf>
    <xf numFmtId="0" fontId="1" fillId="41" borderId="247" xfId="0" applyFont="1" applyFill="1" applyBorder="1" applyAlignment="1">
      <alignment horizontal="center" vertical="center" wrapText="1"/>
    </xf>
    <xf numFmtId="0" fontId="1" fillId="41" borderId="0" xfId="0" applyNumberFormat="1" applyFont="1" applyFill="1" applyBorder="1" applyAlignment="1">
      <alignment horizontal="center" vertical="center" wrapText="1"/>
    </xf>
    <xf numFmtId="0" fontId="0" fillId="41" borderId="265" xfId="0" applyFill="1" applyBorder="1"/>
    <xf numFmtId="0" fontId="0" fillId="41" borderId="60" xfId="0" applyFill="1" applyBorder="1" applyAlignment="1">
      <alignment vertical="top"/>
    </xf>
    <xf numFmtId="0" fontId="0" fillId="41" borderId="267" xfId="0" applyFill="1" applyBorder="1"/>
    <xf numFmtId="0" fontId="0" fillId="19" borderId="133" xfId="0" applyFill="1" applyBorder="1"/>
    <xf numFmtId="0" fontId="0" fillId="19" borderId="198" xfId="0" applyFill="1" applyBorder="1"/>
    <xf numFmtId="0" fontId="0" fillId="19" borderId="198" xfId="0" applyFill="1" applyBorder="1" applyAlignment="1">
      <alignment wrapText="1"/>
    </xf>
    <xf numFmtId="0" fontId="0" fillId="19" borderId="145" xfId="0" applyFill="1" applyBorder="1"/>
    <xf numFmtId="0" fontId="0" fillId="19" borderId="248" xfId="0" applyFill="1" applyBorder="1" applyAlignment="1" applyProtection="1">
      <alignment horizontal="center" vertical="center" wrapText="1"/>
      <protection hidden="1"/>
    </xf>
    <xf numFmtId="0" fontId="0" fillId="19" borderId="205" xfId="0" applyFill="1" applyBorder="1" applyAlignment="1" applyProtection="1">
      <alignment horizontal="center" vertical="center" wrapText="1"/>
      <protection hidden="1"/>
    </xf>
    <xf numFmtId="0" fontId="1" fillId="19" borderId="205" xfId="0" applyFont="1" applyFill="1" applyBorder="1"/>
    <xf numFmtId="0" fontId="1" fillId="19" borderId="205" xfId="0" applyFont="1" applyFill="1" applyBorder="1" applyAlignment="1" applyProtection="1">
      <alignment horizontal="center" vertical="center" wrapText="1"/>
      <protection hidden="1"/>
    </xf>
    <xf numFmtId="0" fontId="0" fillId="19" borderId="205" xfId="0" applyFill="1" applyBorder="1"/>
    <xf numFmtId="0" fontId="109" fillId="19" borderId="205" xfId="20" applyFont="1" applyFill="1" applyBorder="1" applyAlignment="1" applyProtection="1">
      <alignment horizontal="center" vertical="center" wrapText="1"/>
      <protection hidden="1"/>
    </xf>
    <xf numFmtId="0" fontId="109" fillId="19" borderId="144" xfId="20" applyFont="1" applyFill="1" applyBorder="1" applyAlignment="1" applyProtection="1">
      <alignment horizontal="center" vertical="center" wrapText="1"/>
      <protection hidden="1"/>
    </xf>
    <xf numFmtId="0" fontId="0" fillId="41" borderId="143" xfId="0" applyFill="1" applyBorder="1"/>
    <xf numFmtId="0" fontId="0" fillId="41" borderId="143" xfId="0" applyFill="1" applyBorder="1" applyAlignment="1">
      <alignment wrapText="1"/>
    </xf>
    <xf numFmtId="0" fontId="0" fillId="41" borderId="268" xfId="0" applyFill="1" applyBorder="1"/>
    <xf numFmtId="0" fontId="109" fillId="41" borderId="0" xfId="20" applyFont="1" applyFill="1" applyBorder="1" applyAlignment="1" applyProtection="1">
      <alignment horizontal="center" vertical="center" wrapText="1"/>
      <protection hidden="1"/>
    </xf>
    <xf numFmtId="0" fontId="0" fillId="41" borderId="59" xfId="0" applyFill="1" applyBorder="1" applyAlignment="1">
      <alignment horizontal="center" vertical="center"/>
    </xf>
    <xf numFmtId="0" fontId="9" fillId="12" borderId="219" xfId="0" applyFont="1" applyFill="1" applyBorder="1" applyProtection="1"/>
    <xf numFmtId="0" fontId="6" fillId="12" borderId="219" xfId="0" applyFont="1" applyFill="1" applyBorder="1" applyAlignment="1" applyProtection="1">
      <alignment horizontal="right" vertical="top"/>
    </xf>
    <xf numFmtId="0" fontId="21" fillId="14" borderId="194" xfId="0" applyFont="1" applyFill="1" applyBorder="1" applyAlignment="1" applyProtection="1">
      <alignment horizontal="center"/>
    </xf>
    <xf numFmtId="0" fontId="21" fillId="6" borderId="194" xfId="0" applyFont="1" applyFill="1" applyBorder="1" applyAlignment="1" applyProtection="1">
      <alignment horizontal="center"/>
      <protection locked="0"/>
    </xf>
    <xf numFmtId="10" fontId="0" fillId="12" borderId="196" xfId="0" applyNumberFormat="1" applyFill="1" applyBorder="1" applyProtection="1">
      <protection locked="0"/>
    </xf>
    <xf numFmtId="0" fontId="19" fillId="20" borderId="190" xfId="0" applyFont="1" applyFill="1" applyBorder="1" applyAlignment="1" applyProtection="1">
      <alignment wrapText="1"/>
    </xf>
    <xf numFmtId="0" fontId="9" fillId="20" borderId="0" xfId="0" applyFont="1" applyFill="1" applyProtection="1"/>
    <xf numFmtId="0" fontId="124" fillId="12" borderId="261" xfId="16" applyFont="1" applyFill="1" applyBorder="1" applyAlignment="1">
      <alignment vertical="center"/>
    </xf>
    <xf numFmtId="0" fontId="5" fillId="20" borderId="27" xfId="0" applyFont="1" applyFill="1" applyBorder="1" applyAlignment="1">
      <alignment horizontal="right"/>
    </xf>
    <xf numFmtId="0" fontId="92" fillId="26" borderId="257" xfId="0" applyFont="1" applyFill="1" applyBorder="1" applyAlignment="1">
      <alignment vertical="center"/>
    </xf>
    <xf numFmtId="0" fontId="0" fillId="0" borderId="0" xfId="0" applyBorder="1"/>
    <xf numFmtId="0" fontId="108" fillId="0" borderId="0" xfId="0" applyFont="1" applyBorder="1" applyAlignment="1"/>
    <xf numFmtId="0" fontId="0" fillId="0" borderId="0" xfId="0" applyBorder="1" applyAlignment="1">
      <alignment horizontal="left" vertical="top"/>
    </xf>
    <xf numFmtId="0" fontId="45" fillId="0" borderId="0" xfId="0" applyFont="1" applyBorder="1" applyAlignment="1"/>
    <xf numFmtId="0" fontId="0" fillId="0" borderId="0" xfId="0" applyBorder="1" applyAlignment="1">
      <alignment horizontal="left"/>
    </xf>
    <xf numFmtId="0" fontId="0" fillId="20" borderId="0" xfId="0" applyFill="1" applyBorder="1"/>
    <xf numFmtId="0" fontId="46" fillId="20" borderId="0" xfId="0" applyFont="1" applyFill="1" applyBorder="1" applyAlignment="1">
      <alignment horizontal="left" vertical="top"/>
    </xf>
    <xf numFmtId="0" fontId="1" fillId="20" borderId="0" xfId="0" applyFont="1" applyFill="1" applyBorder="1" applyAlignment="1">
      <alignment horizontal="left" vertical="top"/>
    </xf>
    <xf numFmtId="0" fontId="0" fillId="20" borderId="0" xfId="0" applyFill="1" applyBorder="1" applyAlignment="1">
      <alignment horizontal="left" vertical="top"/>
    </xf>
    <xf numFmtId="0" fontId="1" fillId="20" borderId="0" xfId="0" applyFont="1" applyFill="1" applyBorder="1" applyAlignment="1">
      <alignment horizontal="left" vertical="top" wrapText="1"/>
    </xf>
    <xf numFmtId="0" fontId="0" fillId="20" borderId="0" xfId="0" applyFill="1" applyBorder="1" applyAlignment="1">
      <alignment horizontal="left"/>
    </xf>
    <xf numFmtId="0" fontId="0" fillId="20" borderId="14" xfId="0" applyFill="1" applyBorder="1" applyAlignment="1">
      <alignment horizontal="left"/>
    </xf>
    <xf numFmtId="0" fontId="1" fillId="20" borderId="191" xfId="0" applyFont="1" applyFill="1" applyBorder="1" applyAlignment="1">
      <alignment horizontal="center" vertical="center"/>
    </xf>
    <xf numFmtId="0" fontId="0" fillId="20" borderId="191" xfId="0" applyFill="1" applyBorder="1" applyAlignment="1">
      <alignment horizontal="center" vertical="center"/>
    </xf>
    <xf numFmtId="0" fontId="0" fillId="20" borderId="191" xfId="0" applyFill="1" applyBorder="1"/>
    <xf numFmtId="0" fontId="0" fillId="20" borderId="272" xfId="0" applyFill="1" applyBorder="1"/>
    <xf numFmtId="0" fontId="5" fillId="20" borderId="191" xfId="0" applyFont="1" applyFill="1" applyBorder="1" applyAlignment="1">
      <alignment horizontal="center" vertical="center"/>
    </xf>
    <xf numFmtId="0" fontId="0" fillId="20" borderId="191" xfId="0" applyFill="1" applyBorder="1" applyAlignment="1">
      <alignment horizontal="left"/>
    </xf>
    <xf numFmtId="0" fontId="0" fillId="20" borderId="247" xfId="0" applyFill="1" applyBorder="1" applyAlignment="1">
      <alignment horizontal="left" vertical="top"/>
    </xf>
    <xf numFmtId="0" fontId="1" fillId="20" borderId="0" xfId="0" applyFont="1" applyFill="1" applyBorder="1"/>
    <xf numFmtId="0" fontId="0" fillId="20" borderId="60" xfId="0" applyFill="1" applyBorder="1"/>
    <xf numFmtId="0" fontId="0" fillId="20" borderId="220" xfId="0" applyFill="1" applyBorder="1" applyAlignment="1">
      <alignment horizontal="left" vertical="top"/>
    </xf>
    <xf numFmtId="0" fontId="0" fillId="20" borderId="219" xfId="0" applyFill="1" applyBorder="1"/>
    <xf numFmtId="0" fontId="0" fillId="20" borderId="253" xfId="0" applyFill="1" applyBorder="1"/>
    <xf numFmtId="0" fontId="46" fillId="20" borderId="273" xfId="0" applyFont="1" applyFill="1" applyBorder="1" applyAlignment="1">
      <alignment horizontal="left" vertical="center"/>
    </xf>
    <xf numFmtId="0" fontId="1" fillId="20" borderId="273" xfId="0" applyFont="1" applyFill="1" applyBorder="1" applyAlignment="1">
      <alignment horizontal="left" wrapText="1"/>
    </xf>
    <xf numFmtId="0" fontId="0" fillId="20" borderId="190" xfId="0" applyFill="1" applyBorder="1"/>
    <xf numFmtId="0" fontId="1" fillId="20" borderId="197" xfId="0" applyFont="1" applyFill="1" applyBorder="1" applyAlignment="1">
      <alignment horizontal="center" vertical="center"/>
    </xf>
    <xf numFmtId="0" fontId="1" fillId="20" borderId="190" xfId="0" applyFont="1" applyFill="1" applyBorder="1" applyAlignment="1">
      <alignment horizontal="left" vertical="top"/>
    </xf>
    <xf numFmtId="0" fontId="0" fillId="20" borderId="197" xfId="0" applyFill="1" applyBorder="1" applyAlignment="1">
      <alignment horizontal="center" vertical="center"/>
    </xf>
    <xf numFmtId="0" fontId="0" fillId="20" borderId="196" xfId="0" applyFill="1" applyBorder="1"/>
    <xf numFmtId="0" fontId="0" fillId="20" borderId="213" xfId="0" applyFill="1" applyBorder="1"/>
    <xf numFmtId="0" fontId="5" fillId="20" borderId="197" xfId="0" applyFont="1" applyFill="1" applyBorder="1" applyAlignment="1">
      <alignment horizontal="center" vertical="center"/>
    </xf>
    <xf numFmtId="0" fontId="5" fillId="20" borderId="197" xfId="0" applyFont="1" applyFill="1" applyBorder="1"/>
    <xf numFmtId="0" fontId="0" fillId="20" borderId="0" xfId="0" applyFill="1" applyBorder="1" applyAlignment="1">
      <alignment horizontal="left" vertical="center"/>
    </xf>
    <xf numFmtId="0" fontId="0" fillId="20" borderId="247" xfId="0" applyFill="1" applyBorder="1"/>
    <xf numFmtId="0" fontId="0" fillId="20" borderId="275" xfId="0" applyFill="1" applyBorder="1" applyAlignment="1">
      <alignment horizontal="left" vertical="center" wrapText="1"/>
    </xf>
    <xf numFmtId="0" fontId="0" fillId="20" borderId="276" xfId="0" applyFill="1" applyBorder="1" applyAlignment="1">
      <alignment horizontal="left" vertical="center" wrapText="1"/>
    </xf>
    <xf numFmtId="0" fontId="0" fillId="20" borderId="190" xfId="0" applyFill="1" applyBorder="1" applyAlignment="1">
      <alignment horizontal="left" vertical="center"/>
    </xf>
    <xf numFmtId="0" fontId="1" fillId="20" borderId="190" xfId="0" applyFont="1" applyFill="1" applyBorder="1" applyAlignment="1">
      <alignment horizontal="left" vertical="center"/>
    </xf>
    <xf numFmtId="0" fontId="120" fillId="20" borderId="251" xfId="0" applyFont="1" applyFill="1" applyBorder="1" applyAlignment="1">
      <alignment horizontal="center" vertical="center"/>
    </xf>
    <xf numFmtId="0" fontId="0" fillId="20" borderId="198" xfId="0" applyFill="1" applyBorder="1"/>
    <xf numFmtId="0" fontId="6" fillId="14" borderId="45" xfId="16" applyFont="1" applyFill="1" applyBorder="1" applyAlignment="1" applyProtection="1">
      <alignment horizontal="left"/>
      <protection hidden="1"/>
    </xf>
    <xf numFmtId="167" fontId="6" fillId="14" borderId="29" xfId="16" applyNumberFormat="1" applyFont="1" applyFill="1" applyBorder="1" applyAlignment="1" applyProtection="1">
      <alignment horizontal="left"/>
      <protection hidden="1"/>
    </xf>
    <xf numFmtId="170" fontId="6" fillId="14" borderId="29" xfId="16" applyNumberFormat="1" applyFont="1" applyFill="1" applyBorder="1" applyAlignment="1" applyProtection="1">
      <alignment horizontal="left"/>
      <protection hidden="1"/>
    </xf>
    <xf numFmtId="167" fontId="6" fillId="14" borderId="29" xfId="0" applyNumberFormat="1" applyFont="1" applyFill="1" applyBorder="1" applyAlignment="1" applyProtection="1">
      <alignment horizontal="left"/>
      <protection hidden="1"/>
    </xf>
    <xf numFmtId="5" fontId="6" fillId="14" borderId="29" xfId="16" applyNumberFormat="1" applyFont="1" applyFill="1" applyBorder="1" applyAlignment="1" applyProtection="1">
      <alignment horizontal="left"/>
      <protection hidden="1"/>
    </xf>
    <xf numFmtId="0" fontId="45" fillId="21" borderId="194" xfId="0" applyFont="1" applyFill="1" applyBorder="1" applyAlignment="1" applyProtection="1">
      <alignment horizontal="center" vertical="center"/>
      <protection locked="0"/>
    </xf>
    <xf numFmtId="0" fontId="96" fillId="29" borderId="194" xfId="0" applyFont="1" applyFill="1" applyBorder="1" applyAlignment="1" applyProtection="1">
      <alignment horizontal="center" vertical="center"/>
      <protection hidden="1"/>
    </xf>
    <xf numFmtId="0" fontId="41" fillId="12" borderId="206" xfId="0" applyFont="1" applyFill="1" applyBorder="1" applyAlignment="1" applyProtection="1">
      <alignment horizontal="center" vertical="center" wrapText="1"/>
    </xf>
    <xf numFmtId="0" fontId="41" fillId="12" borderId="199" xfId="0" applyFont="1" applyFill="1" applyBorder="1" applyAlignment="1" applyProtection="1">
      <alignment horizontal="center" vertical="center" wrapText="1"/>
    </xf>
    <xf numFmtId="0" fontId="41" fillId="12" borderId="222" xfId="0" applyFont="1" applyFill="1" applyBorder="1" applyAlignment="1" applyProtection="1">
      <alignment horizontal="center" vertical="center" wrapText="1"/>
    </xf>
    <xf numFmtId="0" fontId="13" fillId="14" borderId="29" xfId="0" applyFont="1" applyFill="1" applyBorder="1" applyAlignment="1" applyProtection="1">
      <alignment horizontal="left"/>
      <protection hidden="1"/>
    </xf>
    <xf numFmtId="0" fontId="41" fillId="12" borderId="146" xfId="0" applyFont="1" applyFill="1" applyBorder="1" applyAlignment="1" applyProtection="1">
      <alignment horizontal="center" vertical="center" wrapText="1"/>
    </xf>
    <xf numFmtId="0" fontId="41" fillId="12" borderId="147" xfId="0" applyFont="1" applyFill="1" applyBorder="1" applyAlignment="1" applyProtection="1">
      <alignment horizontal="center" vertical="center" wrapText="1"/>
    </xf>
    <xf numFmtId="0" fontId="41" fillId="12" borderId="225" xfId="0" applyFont="1" applyFill="1" applyBorder="1" applyAlignment="1" applyProtection="1">
      <alignment horizontal="center" vertical="center" wrapText="1"/>
    </xf>
    <xf numFmtId="0" fontId="41" fillId="12" borderId="220" xfId="0" applyFont="1" applyFill="1" applyBorder="1" applyAlignment="1" applyProtection="1">
      <alignment horizontal="center" vertical="center" wrapText="1"/>
    </xf>
    <xf numFmtId="0" fontId="41" fillId="12" borderId="219" xfId="0" applyFont="1" applyFill="1" applyBorder="1" applyAlignment="1" applyProtection="1">
      <alignment horizontal="center" vertical="center" wrapText="1"/>
    </xf>
    <xf numFmtId="0" fontId="41" fillId="12" borderId="223" xfId="0" applyFont="1" applyFill="1" applyBorder="1" applyAlignment="1" applyProtection="1">
      <alignment horizontal="center" vertical="center" wrapText="1"/>
    </xf>
    <xf numFmtId="0" fontId="19" fillId="7" borderId="0" xfId="0" applyFont="1" applyFill="1" applyAlignment="1" applyProtection="1">
      <alignment horizontal="center"/>
    </xf>
    <xf numFmtId="0" fontId="77" fillId="6" borderId="206" xfId="0" applyFont="1" applyFill="1" applyBorder="1" applyAlignment="1" applyProtection="1">
      <alignment horizontal="center"/>
      <protection locked="0"/>
    </xf>
    <xf numFmtId="0" fontId="77" fillId="6" borderId="199" xfId="0" applyFont="1" applyFill="1" applyBorder="1" applyAlignment="1" applyProtection="1">
      <alignment horizontal="center"/>
      <protection locked="0"/>
    </xf>
    <xf numFmtId="0" fontId="77" fillId="6" borderId="207" xfId="0" applyFont="1" applyFill="1" applyBorder="1" applyAlignment="1" applyProtection="1">
      <alignment horizontal="center"/>
      <protection locked="0"/>
    </xf>
    <xf numFmtId="0" fontId="19" fillId="19" borderId="131" xfId="0" applyFont="1" applyFill="1" applyBorder="1" applyProtection="1"/>
    <xf numFmtId="0" fontId="19" fillId="19" borderId="122" xfId="0" applyFont="1" applyFill="1" applyBorder="1" applyProtection="1"/>
    <xf numFmtId="0" fontId="19" fillId="19" borderId="21" xfId="0" applyFont="1" applyFill="1" applyBorder="1" applyProtection="1"/>
    <xf numFmtId="0" fontId="19" fillId="6" borderId="26" xfId="0" applyFont="1" applyFill="1" applyBorder="1" applyAlignment="1" applyProtection="1">
      <alignment horizontal="left"/>
      <protection locked="0"/>
    </xf>
    <xf numFmtId="0" fontId="19" fillId="6" borderId="27" xfId="0" applyFont="1" applyFill="1" applyBorder="1" applyAlignment="1" applyProtection="1">
      <alignment horizontal="left"/>
      <protection locked="0"/>
    </xf>
    <xf numFmtId="0" fontId="19" fillId="6" borderId="28" xfId="0" applyFont="1" applyFill="1" applyBorder="1" applyAlignment="1" applyProtection="1">
      <alignment horizontal="left"/>
      <protection locked="0"/>
    </xf>
    <xf numFmtId="0" fontId="77" fillId="6" borderId="26" xfId="0" applyFont="1" applyFill="1" applyBorder="1" applyAlignment="1" applyProtection="1">
      <alignment horizontal="center"/>
      <protection locked="0"/>
    </xf>
    <xf numFmtId="0" fontId="77" fillId="6" borderId="27" xfId="0" applyFont="1" applyFill="1" applyBorder="1" applyAlignment="1" applyProtection="1">
      <alignment horizontal="center"/>
      <protection locked="0"/>
    </xf>
    <xf numFmtId="0" fontId="77" fillId="6" borderId="28" xfId="0" applyFont="1" applyFill="1" applyBorder="1" applyAlignment="1" applyProtection="1">
      <alignment horizontal="center"/>
      <protection locked="0"/>
    </xf>
    <xf numFmtId="0" fontId="19" fillId="7" borderId="26" xfId="0" applyFont="1" applyFill="1" applyBorder="1" applyAlignment="1" applyProtection="1">
      <alignment horizontal="left"/>
    </xf>
    <xf numFmtId="0" fontId="73" fillId="7" borderId="27" xfId="0" applyFont="1" applyFill="1" applyBorder="1" applyAlignment="1">
      <alignment horizontal="left"/>
    </xf>
    <xf numFmtId="0" fontId="73" fillId="7" borderId="28" xfId="0" applyFont="1" applyFill="1" applyBorder="1" applyAlignment="1">
      <alignment horizontal="left"/>
    </xf>
    <xf numFmtId="0" fontId="19" fillId="7" borderId="27" xfId="0" applyFont="1" applyFill="1" applyBorder="1" applyAlignment="1" applyProtection="1">
      <alignment horizontal="left"/>
    </xf>
    <xf numFmtId="0" fontId="19" fillId="7" borderId="28" xfId="0" applyFont="1" applyFill="1" applyBorder="1" applyAlignment="1" applyProtection="1">
      <alignment horizontal="left"/>
    </xf>
    <xf numFmtId="14" fontId="19" fillId="6" borderId="26" xfId="0" applyNumberFormat="1" applyFont="1" applyFill="1" applyBorder="1" applyAlignment="1" applyProtection="1">
      <alignment horizontal="left"/>
      <protection locked="0"/>
    </xf>
    <xf numFmtId="14" fontId="19" fillId="6" borderId="27" xfId="0" applyNumberFormat="1" applyFont="1" applyFill="1" applyBorder="1" applyAlignment="1" applyProtection="1">
      <alignment horizontal="left"/>
      <protection locked="0"/>
    </xf>
    <xf numFmtId="14" fontId="19" fillId="6" borderId="28" xfId="0" applyNumberFormat="1" applyFont="1" applyFill="1" applyBorder="1" applyAlignment="1" applyProtection="1">
      <alignment horizontal="left"/>
      <protection locked="0"/>
    </xf>
    <xf numFmtId="0" fontId="19" fillId="7" borderId="198" xfId="0" applyFont="1" applyFill="1" applyBorder="1" applyAlignment="1" applyProtection="1">
      <alignment horizontal="left"/>
    </xf>
    <xf numFmtId="0" fontId="19" fillId="7" borderId="204" xfId="0" applyFont="1" applyFill="1" applyBorder="1" applyAlignment="1" applyProtection="1">
      <alignment horizontal="left"/>
    </xf>
    <xf numFmtId="0" fontId="19" fillId="7" borderId="205" xfId="0" applyFont="1" applyFill="1" applyBorder="1" applyAlignment="1" applyProtection="1">
      <alignment horizontal="left"/>
    </xf>
    <xf numFmtId="0" fontId="19" fillId="19" borderId="45" xfId="0" applyFont="1" applyFill="1" applyBorder="1" applyProtection="1"/>
    <xf numFmtId="0" fontId="19" fillId="19" borderId="49" xfId="0" applyFont="1" applyFill="1" applyBorder="1" applyAlignment="1" applyProtection="1">
      <alignment horizontal="left"/>
    </xf>
    <xf numFmtId="0" fontId="19" fillId="19" borderId="1" xfId="0" applyFont="1" applyFill="1" applyBorder="1" applyAlignment="1" applyProtection="1">
      <alignment horizontal="left"/>
    </xf>
    <xf numFmtId="0" fontId="19" fillId="19" borderId="74" xfId="0" applyFont="1" applyFill="1" applyBorder="1" applyAlignment="1" applyProtection="1">
      <alignment horizontal="left"/>
    </xf>
    <xf numFmtId="0" fontId="19" fillId="6" borderId="220" xfId="0" applyFont="1" applyFill="1" applyBorder="1" applyAlignment="1" applyProtection="1">
      <alignment horizontal="left"/>
      <protection locked="0"/>
    </xf>
    <xf numFmtId="0" fontId="19" fillId="6" borderId="219" xfId="0" applyFont="1" applyFill="1" applyBorder="1" applyAlignment="1" applyProtection="1">
      <alignment horizontal="left"/>
      <protection locked="0"/>
    </xf>
    <xf numFmtId="0" fontId="19" fillId="6" borderId="218" xfId="0" applyFont="1" applyFill="1" applyBorder="1" applyAlignment="1" applyProtection="1">
      <alignment horizontal="left"/>
      <protection locked="0"/>
    </xf>
    <xf numFmtId="0" fontId="19" fillId="6" borderId="198" xfId="0" applyFont="1" applyFill="1" applyBorder="1" applyAlignment="1" applyProtection="1">
      <alignment horizontal="left"/>
      <protection locked="0"/>
    </xf>
    <xf numFmtId="0" fontId="19" fillId="6" borderId="204" xfId="0" applyFont="1" applyFill="1" applyBorder="1" applyAlignment="1" applyProtection="1">
      <alignment horizontal="left"/>
      <protection locked="0"/>
    </xf>
    <xf numFmtId="0" fontId="19" fillId="6" borderId="205" xfId="0" applyFont="1" applyFill="1" applyBorder="1" applyAlignment="1" applyProtection="1">
      <alignment horizontal="left"/>
      <protection locked="0"/>
    </xf>
    <xf numFmtId="0" fontId="24" fillId="6" borderId="26" xfId="0" applyFont="1" applyFill="1" applyBorder="1" applyAlignment="1" applyProtection="1">
      <alignment horizontal="left"/>
      <protection locked="0"/>
    </xf>
    <xf numFmtId="0" fontId="24" fillId="6" borderId="27" xfId="0" applyFont="1" applyFill="1" applyBorder="1" applyAlignment="1" applyProtection="1">
      <alignment horizontal="left"/>
      <protection locked="0"/>
    </xf>
    <xf numFmtId="0" fontId="24" fillId="6" borderId="28" xfId="0" applyFont="1" applyFill="1" applyBorder="1" applyAlignment="1" applyProtection="1">
      <alignment horizontal="left"/>
      <protection locked="0"/>
    </xf>
    <xf numFmtId="166" fontId="19" fillId="6" borderId="198" xfId="0" applyNumberFormat="1" applyFont="1" applyFill="1" applyBorder="1" applyAlignment="1" applyProtection="1">
      <alignment horizontal="left" shrinkToFit="1"/>
      <protection locked="0"/>
    </xf>
    <xf numFmtId="166" fontId="19" fillId="6" borderId="204" xfId="0" applyNumberFormat="1" applyFont="1" applyFill="1" applyBorder="1" applyAlignment="1" applyProtection="1">
      <alignment horizontal="left" shrinkToFit="1"/>
      <protection locked="0"/>
    </xf>
    <xf numFmtId="166" fontId="19" fillId="6" borderId="205" xfId="0" applyNumberFormat="1" applyFont="1" applyFill="1" applyBorder="1" applyAlignment="1" applyProtection="1">
      <alignment horizontal="left" shrinkToFit="1"/>
      <protection locked="0"/>
    </xf>
    <xf numFmtId="0" fontId="76" fillId="6" borderId="198" xfId="9" applyFont="1" applyFill="1" applyBorder="1" applyAlignment="1" applyProtection="1">
      <alignment horizontal="left"/>
      <protection locked="0"/>
    </xf>
    <xf numFmtId="0" fontId="24" fillId="7" borderId="26" xfId="0" applyFont="1" applyFill="1" applyBorder="1" applyAlignment="1" applyProtection="1">
      <alignment horizontal="left"/>
    </xf>
    <xf numFmtId="0" fontId="24" fillId="7" borderId="204" xfId="0" applyFont="1" applyFill="1" applyBorder="1" applyAlignment="1" applyProtection="1">
      <alignment horizontal="left"/>
    </xf>
    <xf numFmtId="0" fontId="24" fillId="7" borderId="205" xfId="0" applyFont="1" applyFill="1" applyBorder="1" applyAlignment="1" applyProtection="1">
      <alignment horizontal="left"/>
    </xf>
    <xf numFmtId="0" fontId="19" fillId="6" borderId="133" xfId="0" applyFont="1" applyFill="1" applyBorder="1" applyAlignment="1" applyProtection="1">
      <alignment horizontal="left"/>
      <protection locked="0"/>
    </xf>
    <xf numFmtId="0" fontId="19" fillId="6" borderId="119" xfId="0" applyFont="1" applyFill="1" applyBorder="1" applyAlignment="1" applyProtection="1">
      <alignment horizontal="left"/>
      <protection locked="0"/>
    </xf>
    <xf numFmtId="0" fontId="19" fillId="6" borderId="132" xfId="0" applyFont="1" applyFill="1" applyBorder="1" applyAlignment="1" applyProtection="1">
      <alignment horizontal="left"/>
      <protection locked="0"/>
    </xf>
    <xf numFmtId="0" fontId="19" fillId="7" borderId="206" xfId="0" applyFont="1" applyFill="1" applyBorder="1" applyAlignment="1" applyProtection="1">
      <alignment horizontal="left"/>
    </xf>
    <xf numFmtId="0" fontId="73" fillId="7" borderId="199" xfId="0" applyFont="1" applyFill="1" applyBorder="1" applyAlignment="1">
      <alignment horizontal="left"/>
    </xf>
    <xf numFmtId="0" fontId="73" fillId="7" borderId="207" xfId="0" applyFont="1" applyFill="1" applyBorder="1" applyAlignment="1">
      <alignment horizontal="left"/>
    </xf>
    <xf numFmtId="0" fontId="19" fillId="7" borderId="145" xfId="0" applyFont="1" applyFill="1" applyBorder="1" applyAlignment="1" applyProtection="1">
      <alignment horizontal="left"/>
    </xf>
    <xf numFmtId="0" fontId="19" fillId="7" borderId="112" xfId="0" applyFont="1" applyFill="1" applyBorder="1" applyAlignment="1" applyProtection="1">
      <alignment horizontal="left"/>
    </xf>
    <xf numFmtId="0" fontId="19" fillId="7" borderId="144" xfId="0" applyFont="1" applyFill="1" applyBorder="1" applyAlignment="1" applyProtection="1">
      <alignment horizontal="left"/>
    </xf>
    <xf numFmtId="167" fontId="24" fillId="6" borderId="133" xfId="0" applyNumberFormat="1" applyFont="1" applyFill="1" applyBorder="1" applyAlignment="1" applyProtection="1">
      <alignment horizontal="right"/>
      <protection locked="0"/>
    </xf>
    <xf numFmtId="167" fontId="24" fillId="6" borderId="119" xfId="0" applyNumberFormat="1" applyFont="1" applyFill="1" applyBorder="1" applyAlignment="1" applyProtection="1">
      <alignment horizontal="right"/>
      <protection locked="0"/>
    </xf>
    <xf numFmtId="167" fontId="24" fillId="6" borderId="132" xfId="0" applyNumberFormat="1" applyFont="1" applyFill="1" applyBorder="1" applyAlignment="1" applyProtection="1">
      <alignment horizontal="right"/>
      <protection locked="0"/>
    </xf>
    <xf numFmtId="0" fontId="77" fillId="6" borderId="204" xfId="0" applyFont="1" applyFill="1" applyBorder="1" applyAlignment="1" applyProtection="1">
      <alignment horizontal="center"/>
      <protection locked="0"/>
    </xf>
    <xf numFmtId="0" fontId="77" fillId="6" borderId="205" xfId="0" applyFont="1" applyFill="1" applyBorder="1" applyAlignment="1" applyProtection="1">
      <alignment horizontal="center"/>
      <protection locked="0"/>
    </xf>
    <xf numFmtId="0" fontId="73" fillId="7" borderId="0" xfId="0" applyNumberFormat="1" applyFont="1" applyFill="1" applyAlignment="1">
      <alignment horizontal="center"/>
    </xf>
    <xf numFmtId="0" fontId="19" fillId="21" borderId="133" xfId="0" applyFont="1" applyFill="1" applyBorder="1" applyProtection="1">
      <protection locked="0"/>
    </xf>
    <xf numFmtId="0" fontId="19" fillId="21" borderId="119" xfId="0" applyFont="1" applyFill="1" applyBorder="1" applyProtection="1">
      <protection locked="0"/>
    </xf>
    <xf numFmtId="0" fontId="19" fillId="21" borderId="132" xfId="0" applyFont="1" applyFill="1" applyBorder="1" applyProtection="1">
      <protection locked="0"/>
    </xf>
    <xf numFmtId="0" fontId="19" fillId="0" borderId="0" xfId="0" applyFont="1" applyAlignment="1" applyProtection="1">
      <alignment horizontal="center"/>
    </xf>
    <xf numFmtId="167" fontId="24" fillId="6" borderId="26" xfId="0" applyNumberFormat="1" applyFont="1" applyFill="1" applyBorder="1" applyAlignment="1" applyProtection="1">
      <alignment horizontal="right"/>
      <protection locked="0"/>
    </xf>
    <xf numFmtId="167" fontId="24" fillId="6" borderId="204" xfId="0" applyNumberFormat="1" applyFont="1" applyFill="1" applyBorder="1" applyAlignment="1" applyProtection="1">
      <alignment horizontal="right"/>
      <protection locked="0"/>
    </xf>
    <xf numFmtId="167" fontId="24" fillId="6" borderId="205" xfId="0" applyNumberFormat="1" applyFont="1" applyFill="1" applyBorder="1" applyAlignment="1" applyProtection="1">
      <alignment horizontal="right"/>
      <protection locked="0"/>
    </xf>
    <xf numFmtId="167" fontId="91" fillId="14" borderId="26" xfId="0" applyNumberFormat="1" applyFont="1" applyFill="1" applyBorder="1" applyAlignment="1" applyProtection="1">
      <alignment horizontal="right"/>
      <protection hidden="1"/>
    </xf>
    <xf numFmtId="0" fontId="91" fillId="14" borderId="204" xfId="0" applyFont="1" applyFill="1" applyBorder="1" applyAlignment="1" applyProtection="1">
      <alignment horizontal="right"/>
      <protection hidden="1"/>
    </xf>
    <xf numFmtId="0" fontId="91" fillId="14" borderId="205" xfId="0" applyFont="1" applyFill="1" applyBorder="1" applyAlignment="1" applyProtection="1">
      <alignment horizontal="right"/>
      <protection hidden="1"/>
    </xf>
    <xf numFmtId="0" fontId="24" fillId="14" borderId="26" xfId="0" applyFont="1" applyFill="1" applyBorder="1" applyAlignment="1" applyProtection="1">
      <alignment horizontal="left"/>
    </xf>
    <xf numFmtId="0" fontId="24" fillId="14" borderId="27" xfId="0" applyFont="1" applyFill="1" applyBorder="1" applyAlignment="1" applyProtection="1">
      <alignment horizontal="left"/>
    </xf>
    <xf numFmtId="0" fontId="24" fillId="14" borderId="28" xfId="0" applyFont="1" applyFill="1" applyBorder="1" applyAlignment="1" applyProtection="1">
      <alignment horizontal="left"/>
    </xf>
    <xf numFmtId="0" fontId="24" fillId="14" borderId="198" xfId="0" applyFont="1" applyFill="1" applyBorder="1" applyAlignment="1" applyProtection="1">
      <alignment horizontal="left"/>
      <protection hidden="1"/>
    </xf>
    <xf numFmtId="0" fontId="24" fillId="14" borderId="204" xfId="0" applyFont="1" applyFill="1" applyBorder="1" applyAlignment="1" applyProtection="1">
      <alignment horizontal="left"/>
      <protection hidden="1"/>
    </xf>
    <xf numFmtId="0" fontId="24" fillId="14" borderId="205" xfId="0" applyFont="1" applyFill="1" applyBorder="1" applyAlignment="1" applyProtection="1">
      <alignment horizontal="left"/>
      <protection hidden="1"/>
    </xf>
    <xf numFmtId="0" fontId="24" fillId="14" borderId="198" xfId="0" applyFont="1" applyFill="1" applyBorder="1" applyAlignment="1" applyProtection="1">
      <alignment horizontal="left"/>
    </xf>
    <xf numFmtId="0" fontId="24" fillId="14" borderId="204" xfId="0" applyFont="1" applyFill="1" applyBorder="1" applyAlignment="1" applyProtection="1">
      <alignment horizontal="left"/>
    </xf>
    <xf numFmtId="0" fontId="24" fillId="14" borderId="205" xfId="0" applyFont="1" applyFill="1" applyBorder="1" applyAlignment="1" applyProtection="1">
      <alignment horizontal="left"/>
    </xf>
    <xf numFmtId="0" fontId="19" fillId="14" borderId="198" xfId="0" applyFont="1" applyFill="1" applyBorder="1" applyAlignment="1" applyProtection="1">
      <alignment horizontal="left"/>
    </xf>
    <xf numFmtId="0" fontId="19" fillId="14" borderId="204" xfId="0" applyFont="1" applyFill="1" applyBorder="1" applyAlignment="1" applyProtection="1">
      <alignment horizontal="left"/>
    </xf>
    <xf numFmtId="0" fontId="19" fillId="14" borderId="205" xfId="0" applyFont="1" applyFill="1" applyBorder="1" applyAlignment="1" applyProtection="1">
      <alignment horizontal="left"/>
    </xf>
    <xf numFmtId="0" fontId="0" fillId="0" borderId="27" xfId="0" applyBorder="1" applyAlignment="1">
      <alignment horizontal="center"/>
    </xf>
    <xf numFmtId="0" fontId="0" fillId="0" borderId="28" xfId="0" applyBorder="1" applyAlignment="1">
      <alignment horizontal="center"/>
    </xf>
    <xf numFmtId="168" fontId="19" fillId="14" borderId="49" xfId="0" applyNumberFormat="1" applyFont="1" applyFill="1" applyBorder="1" applyAlignment="1" applyProtection="1">
      <alignment horizontal="center"/>
      <protection hidden="1"/>
    </xf>
    <xf numFmtId="0" fontId="19" fillId="14" borderId="1" xfId="0" applyFont="1" applyFill="1" applyBorder="1" applyAlignment="1" applyProtection="1">
      <alignment horizontal="center"/>
      <protection hidden="1"/>
    </xf>
    <xf numFmtId="168" fontId="19" fillId="14" borderId="26" xfId="0" applyNumberFormat="1" applyFont="1" applyFill="1" applyBorder="1" applyAlignment="1" applyProtection="1">
      <alignment horizontal="center"/>
      <protection hidden="1"/>
    </xf>
    <xf numFmtId="0" fontId="19" fillId="14" borderId="27" xfId="0" applyFont="1" applyFill="1" applyBorder="1" applyAlignment="1" applyProtection="1">
      <alignment horizontal="center"/>
      <protection hidden="1"/>
    </xf>
    <xf numFmtId="0" fontId="24" fillId="3" borderId="19" xfId="0" applyFont="1" applyFill="1" applyBorder="1" applyProtection="1"/>
    <xf numFmtId="0" fontId="24" fillId="3" borderId="122" xfId="0" applyFont="1" applyFill="1" applyBorder="1" applyProtection="1"/>
    <xf numFmtId="0" fontId="24" fillId="3" borderId="20" xfId="0" applyFont="1" applyFill="1" applyBorder="1" applyProtection="1"/>
    <xf numFmtId="0" fontId="19" fillId="7" borderId="176" xfId="0" applyFont="1" applyFill="1" applyBorder="1" applyAlignment="1" applyProtection="1">
      <alignment horizontal="left"/>
    </xf>
    <xf numFmtId="0" fontId="19" fillId="7" borderId="51" xfId="0" applyFont="1" applyFill="1" applyBorder="1" applyAlignment="1" applyProtection="1">
      <alignment horizontal="left"/>
    </xf>
    <xf numFmtId="0" fontId="24" fillId="7" borderId="165" xfId="0" applyFont="1" applyFill="1" applyBorder="1" applyAlignment="1" applyProtection="1">
      <alignment horizontal="left"/>
    </xf>
    <xf numFmtId="0" fontId="24" fillId="7" borderId="113" xfId="0" applyFont="1" applyFill="1" applyBorder="1" applyAlignment="1" applyProtection="1">
      <alignment horizontal="left"/>
    </xf>
    <xf numFmtId="14" fontId="19" fillId="6" borderId="133" xfId="0" applyNumberFormat="1" applyFont="1" applyFill="1" applyBorder="1" applyAlignment="1" applyProtection="1">
      <alignment horizontal="left"/>
      <protection locked="0"/>
    </xf>
    <xf numFmtId="14" fontId="19" fillId="6" borderId="119" xfId="0" applyNumberFormat="1" applyFont="1" applyFill="1" applyBorder="1" applyAlignment="1" applyProtection="1">
      <alignment horizontal="left"/>
      <protection locked="0"/>
    </xf>
    <xf numFmtId="14" fontId="19" fillId="6" borderId="132" xfId="0" applyNumberFormat="1" applyFont="1" applyFill="1" applyBorder="1" applyAlignment="1" applyProtection="1">
      <alignment horizontal="left"/>
      <protection locked="0"/>
    </xf>
    <xf numFmtId="168" fontId="19" fillId="6" borderId="198" xfId="0" applyNumberFormat="1" applyFont="1" applyFill="1" applyBorder="1" applyAlignment="1" applyProtection="1">
      <alignment horizontal="left"/>
      <protection locked="0"/>
    </xf>
    <xf numFmtId="168" fontId="19" fillId="6" borderId="204" xfId="0" applyNumberFormat="1" applyFont="1" applyFill="1" applyBorder="1" applyAlignment="1" applyProtection="1">
      <alignment horizontal="left"/>
      <protection locked="0"/>
    </xf>
    <xf numFmtId="168" fontId="19" fillId="6" borderId="205" xfId="0" applyNumberFormat="1" applyFont="1" applyFill="1" applyBorder="1" applyAlignment="1" applyProtection="1">
      <alignment horizontal="left"/>
      <protection locked="0"/>
    </xf>
    <xf numFmtId="167" fontId="19" fillId="6" borderId="198" xfId="0" applyNumberFormat="1" applyFont="1" applyFill="1" applyBorder="1" applyAlignment="1" applyProtection="1">
      <alignment horizontal="left"/>
      <protection locked="0"/>
    </xf>
    <xf numFmtId="167" fontId="19" fillId="6" borderId="204" xfId="0" applyNumberFormat="1" applyFont="1" applyFill="1" applyBorder="1" applyAlignment="1" applyProtection="1">
      <alignment horizontal="left"/>
      <protection locked="0"/>
    </xf>
    <xf numFmtId="167" fontId="19" fillId="6" borderId="205" xfId="0" applyNumberFormat="1" applyFont="1" applyFill="1" applyBorder="1" applyAlignment="1" applyProtection="1">
      <alignment horizontal="left"/>
      <protection locked="0"/>
    </xf>
    <xf numFmtId="0" fontId="19" fillId="12" borderId="59" xfId="0" applyFont="1" applyFill="1" applyBorder="1" applyAlignment="1" applyProtection="1">
      <alignment horizontal="left"/>
    </xf>
    <xf numFmtId="0" fontId="19" fillId="12" borderId="0" xfId="0" applyFont="1" applyFill="1" applyBorder="1" applyAlignment="1" applyProtection="1">
      <alignment horizontal="left"/>
    </xf>
    <xf numFmtId="0" fontId="19" fillId="7" borderId="26" xfId="0" applyFont="1" applyFill="1" applyBorder="1" applyAlignment="1" applyProtection="1">
      <alignment horizontal="left" wrapText="1"/>
    </xf>
    <xf numFmtId="0" fontId="19" fillId="7" borderId="27" xfId="0" applyFont="1" applyFill="1" applyBorder="1" applyAlignment="1" applyProtection="1">
      <alignment horizontal="left" wrapText="1"/>
    </xf>
    <xf numFmtId="0" fontId="19" fillId="7" borderId="28" xfId="0" applyFont="1" applyFill="1" applyBorder="1" applyAlignment="1" applyProtection="1">
      <alignment horizontal="left" wrapText="1"/>
    </xf>
    <xf numFmtId="0" fontId="24" fillId="7" borderId="27" xfId="0" applyFont="1" applyFill="1" applyBorder="1" applyAlignment="1" applyProtection="1">
      <alignment horizontal="left"/>
    </xf>
    <xf numFmtId="0" fontId="24" fillId="7" borderId="28" xfId="0" applyFont="1" applyFill="1" applyBorder="1" applyAlignment="1" applyProtection="1">
      <alignment horizontal="left"/>
    </xf>
    <xf numFmtId="0" fontId="19" fillId="6" borderId="198" xfId="0" applyFont="1" applyFill="1" applyBorder="1" applyAlignment="1" applyProtection="1">
      <alignment horizontal="right"/>
      <protection locked="0"/>
    </xf>
    <xf numFmtId="0" fontId="19" fillId="6" borderId="204" xfId="0" applyFont="1" applyFill="1" applyBorder="1" applyAlignment="1" applyProtection="1">
      <alignment horizontal="right"/>
      <protection locked="0"/>
    </xf>
    <xf numFmtId="0" fontId="19" fillId="6" borderId="205" xfId="0" applyFont="1" applyFill="1" applyBorder="1" applyAlignment="1" applyProtection="1">
      <alignment horizontal="right"/>
      <protection locked="0"/>
    </xf>
    <xf numFmtId="0" fontId="19" fillId="6" borderId="198" xfId="0" applyFont="1" applyFill="1" applyBorder="1" applyAlignment="1" applyProtection="1">
      <alignment horizontal="center"/>
      <protection locked="0"/>
    </xf>
    <xf numFmtId="0" fontId="19" fillId="6" borderId="204" xfId="0" applyFont="1" applyFill="1" applyBorder="1" applyAlignment="1" applyProtection="1">
      <alignment horizontal="center"/>
      <protection locked="0"/>
    </xf>
    <xf numFmtId="0" fontId="19" fillId="6" borderId="205" xfId="0" applyFont="1" applyFill="1" applyBorder="1" applyAlignment="1" applyProtection="1">
      <alignment horizontal="center"/>
      <protection locked="0"/>
    </xf>
    <xf numFmtId="0" fontId="24" fillId="7" borderId="29" xfId="0" applyFont="1" applyFill="1" applyBorder="1" applyAlignment="1" applyProtection="1">
      <alignment horizontal="left"/>
    </xf>
    <xf numFmtId="0" fontId="91" fillId="7" borderId="206" xfId="0" applyFont="1" applyFill="1" applyBorder="1" applyAlignment="1" applyProtection="1">
      <alignment horizontal="left"/>
    </xf>
    <xf numFmtId="0" fontId="91" fillId="7" borderId="199" xfId="0" applyFont="1" applyFill="1" applyBorder="1" applyAlignment="1" applyProtection="1">
      <alignment horizontal="left"/>
    </xf>
    <xf numFmtId="0" fontId="91" fillId="7" borderId="207" xfId="0" applyFont="1" applyFill="1" applyBorder="1" applyAlignment="1" applyProtection="1">
      <alignment horizontal="left"/>
    </xf>
    <xf numFmtId="0" fontId="91" fillId="7" borderId="131" xfId="0" applyFont="1" applyFill="1" applyBorder="1" applyAlignment="1" applyProtection="1">
      <alignment horizontal="left"/>
    </xf>
    <xf numFmtId="0" fontId="91" fillId="7" borderId="122" xfId="0" applyFont="1" applyFill="1" applyBorder="1" applyAlignment="1" applyProtection="1">
      <alignment horizontal="left"/>
    </xf>
    <xf numFmtId="0" fontId="91" fillId="7" borderId="21" xfId="0" applyFont="1" applyFill="1" applyBorder="1" applyAlignment="1" applyProtection="1">
      <alignment horizontal="left"/>
    </xf>
    <xf numFmtId="0" fontId="19" fillId="19" borderId="205" xfId="0" applyFont="1" applyFill="1" applyBorder="1" applyAlignment="1" applyProtection="1">
      <alignment horizontal="left"/>
    </xf>
    <xf numFmtId="0" fontId="19" fillId="19" borderId="194" xfId="0" applyFont="1" applyFill="1" applyBorder="1" applyAlignment="1" applyProtection="1">
      <alignment horizontal="left"/>
    </xf>
    <xf numFmtId="0" fontId="91" fillId="7" borderId="195" xfId="0" applyFont="1" applyFill="1" applyBorder="1" applyAlignment="1" applyProtection="1">
      <alignment horizontal="left"/>
    </xf>
    <xf numFmtId="0" fontId="24" fillId="3" borderId="21" xfId="0" applyFont="1" applyFill="1" applyBorder="1" applyProtection="1"/>
    <xf numFmtId="0" fontId="1" fillId="0" borderId="198" xfId="0" applyFont="1" applyBorder="1" applyAlignment="1">
      <alignment horizontal="center"/>
    </xf>
    <xf numFmtId="0" fontId="0" fillId="0" borderId="204" xfId="0" applyBorder="1" applyAlignment="1">
      <alignment horizontal="center"/>
    </xf>
    <xf numFmtId="0" fontId="0" fillId="0" borderId="205" xfId="0" applyBorder="1" applyAlignment="1">
      <alignment horizontal="center"/>
    </xf>
    <xf numFmtId="0" fontId="1" fillId="0" borderId="204" xfId="0" applyFont="1" applyBorder="1" applyAlignment="1">
      <alignment horizontal="center"/>
    </xf>
    <xf numFmtId="0" fontId="1" fillId="0" borderId="205" xfId="0" applyFont="1" applyBorder="1" applyAlignment="1">
      <alignment horizontal="center"/>
    </xf>
    <xf numFmtId="0" fontId="1" fillId="0" borderId="194" xfId="0" applyFont="1" applyBorder="1" applyAlignment="1">
      <alignment horizontal="center"/>
    </xf>
    <xf numFmtId="0" fontId="0" fillId="0" borderId="194" xfId="0" applyBorder="1" applyAlignment="1">
      <alignment horizontal="center"/>
    </xf>
    <xf numFmtId="0" fontId="0" fillId="0" borderId="244" xfId="0" applyBorder="1" applyAlignment="1">
      <alignment horizontal="center"/>
    </xf>
    <xf numFmtId="0" fontId="0" fillId="0" borderId="198" xfId="0" applyBorder="1" applyAlignment="1">
      <alignment horizontal="center" wrapText="1"/>
    </xf>
    <xf numFmtId="0" fontId="0" fillId="0" borderId="205" xfId="0" applyBorder="1" applyAlignment="1">
      <alignment horizontal="center" wrapText="1"/>
    </xf>
    <xf numFmtId="167" fontId="101" fillId="0" borderId="198" xfId="0" applyNumberFormat="1" applyFont="1" applyBorder="1" applyAlignment="1">
      <alignment horizontal="center"/>
    </xf>
    <xf numFmtId="167" fontId="101" fillId="0" borderId="204" xfId="0" applyNumberFormat="1" applyFont="1" applyBorder="1" applyAlignment="1">
      <alignment horizontal="center"/>
    </xf>
    <xf numFmtId="167" fontId="101" fillId="0" borderId="205" xfId="0" applyNumberFormat="1" applyFont="1" applyBorder="1" applyAlignment="1">
      <alignment horizontal="center"/>
    </xf>
    <xf numFmtId="0" fontId="1" fillId="0" borderId="194" xfId="0" applyFont="1" applyBorder="1" applyAlignment="1">
      <alignment horizontal="center" wrapText="1"/>
    </xf>
    <xf numFmtId="0" fontId="0" fillId="0" borderId="194" xfId="0" applyBorder="1" applyAlignment="1">
      <alignment horizontal="center" wrapText="1"/>
    </xf>
    <xf numFmtId="0" fontId="113" fillId="0" borderId="211" xfId="0" applyFont="1" applyBorder="1" applyAlignment="1" applyProtection="1">
      <alignment horizontal="center"/>
    </xf>
    <xf numFmtId="0" fontId="113" fillId="0" borderId="212" xfId="0" applyFont="1" applyBorder="1" applyAlignment="1" applyProtection="1">
      <alignment horizontal="center"/>
    </xf>
    <xf numFmtId="0" fontId="113" fillId="0" borderId="200" xfId="0" applyFont="1" applyBorder="1" applyAlignment="1" applyProtection="1">
      <alignment horizontal="center"/>
    </xf>
    <xf numFmtId="0" fontId="92" fillId="26" borderId="198" xfId="0" applyFont="1" applyFill="1" applyBorder="1"/>
    <xf numFmtId="0" fontId="92" fillId="26" borderId="204" xfId="0" applyFont="1" applyFill="1" applyBorder="1"/>
    <xf numFmtId="0" fontId="92" fillId="26" borderId="205" xfId="0" applyFont="1" applyFill="1" applyBorder="1"/>
    <xf numFmtId="0" fontId="92" fillId="26" borderId="194" xfId="0" applyFont="1" applyFill="1" applyBorder="1"/>
    <xf numFmtId="0" fontId="115" fillId="26" borderId="194" xfId="0" applyFont="1" applyFill="1" applyBorder="1" applyAlignment="1">
      <alignment vertical="center"/>
    </xf>
    <xf numFmtId="0" fontId="92" fillId="26" borderId="194" xfId="0" applyFont="1" applyFill="1" applyBorder="1" applyAlignment="1">
      <alignment vertical="center"/>
    </xf>
    <xf numFmtId="0" fontId="92" fillId="25" borderId="75" xfId="0" applyFont="1" applyFill="1" applyBorder="1" applyAlignment="1">
      <alignment horizontal="center" vertical="center"/>
    </xf>
    <xf numFmtId="0" fontId="92" fillId="25" borderId="57" xfId="0" applyFont="1" applyFill="1" applyBorder="1" applyAlignment="1">
      <alignment horizontal="center" vertical="center"/>
    </xf>
    <xf numFmtId="0" fontId="92" fillId="25" borderId="205" xfId="0" applyFont="1" applyFill="1" applyBorder="1" applyAlignment="1">
      <alignment vertical="center" wrapText="1"/>
    </xf>
    <xf numFmtId="0" fontId="92" fillId="25" borderId="194" xfId="0" applyFont="1" applyFill="1" applyBorder="1" applyAlignment="1">
      <alignment vertical="center" wrapText="1"/>
    </xf>
    <xf numFmtId="0" fontId="92" fillId="25" borderId="217" xfId="0" applyFont="1" applyFill="1" applyBorder="1" applyAlignment="1">
      <alignment vertical="center" wrapText="1"/>
    </xf>
    <xf numFmtId="0" fontId="92" fillId="25" borderId="46" xfId="0" applyFont="1" applyFill="1" applyBorder="1" applyAlignment="1">
      <alignment vertical="center" wrapText="1"/>
    </xf>
    <xf numFmtId="0" fontId="92" fillId="25" borderId="75" xfId="0" applyFont="1" applyFill="1" applyBorder="1" applyAlignment="1">
      <alignment vertical="center" wrapText="1"/>
    </xf>
    <xf numFmtId="0" fontId="92" fillId="25" borderId="218" xfId="0" applyFont="1" applyFill="1" applyBorder="1" applyAlignment="1">
      <alignment vertical="center" wrapText="1"/>
    </xf>
    <xf numFmtId="0" fontId="92" fillId="25" borderId="196" xfId="0" applyFont="1" applyFill="1" applyBorder="1" applyAlignment="1">
      <alignment vertical="center" wrapText="1"/>
    </xf>
    <xf numFmtId="0" fontId="92" fillId="25" borderId="198" xfId="0" applyFont="1" applyFill="1" applyBorder="1" applyAlignment="1">
      <alignment wrapText="1"/>
    </xf>
    <xf numFmtId="0" fontId="92" fillId="25" borderId="205" xfId="0" applyFont="1" applyFill="1" applyBorder="1" applyAlignment="1">
      <alignment wrapText="1"/>
    </xf>
    <xf numFmtId="0" fontId="97" fillId="27" borderId="129" xfId="0" applyFont="1" applyFill="1" applyBorder="1" applyAlignment="1" applyProtection="1">
      <alignment vertical="top" wrapText="1"/>
      <protection locked="0"/>
    </xf>
    <xf numFmtId="0" fontId="97" fillId="27" borderId="194" xfId="0" applyFont="1" applyFill="1" applyBorder="1" applyAlignment="1" applyProtection="1">
      <alignment vertical="top" wrapText="1"/>
      <protection locked="0"/>
    </xf>
    <xf numFmtId="0" fontId="92" fillId="25" borderId="205" xfId="0" applyFont="1" applyFill="1" applyBorder="1" applyAlignment="1">
      <alignment vertical="center"/>
    </xf>
    <xf numFmtId="0" fontId="92" fillId="25" borderId="194" xfId="0" applyFont="1" applyFill="1" applyBorder="1" applyAlignment="1">
      <alignment vertical="center"/>
    </xf>
    <xf numFmtId="0" fontId="92" fillId="25" borderId="198" xfId="0" applyFont="1" applyFill="1" applyBorder="1"/>
    <xf numFmtId="0" fontId="92" fillId="25" borderId="205" xfId="0" applyFont="1" applyFill="1" applyBorder="1"/>
    <xf numFmtId="0" fontId="92" fillId="26" borderId="198" xfId="0" applyFont="1" applyFill="1" applyBorder="1" applyAlignment="1">
      <alignment vertical="center" wrapText="1"/>
    </xf>
    <xf numFmtId="0" fontId="92" fillId="26" borderId="204" xfId="0" applyFont="1" applyFill="1" applyBorder="1" applyAlignment="1">
      <alignment vertical="center" wrapText="1"/>
    </xf>
    <xf numFmtId="0" fontId="92" fillId="26" borderId="205" xfId="0" applyFont="1" applyFill="1" applyBorder="1" applyAlignment="1">
      <alignment vertical="center" wrapText="1"/>
    </xf>
    <xf numFmtId="0" fontId="92" fillId="26" borderId="194" xfId="0" applyFont="1" applyFill="1" applyBorder="1" applyAlignment="1">
      <alignment vertical="center" wrapText="1"/>
    </xf>
    <xf numFmtId="0" fontId="97" fillId="26" borderId="194" xfId="0" applyFont="1" applyFill="1" applyBorder="1" applyAlignment="1">
      <alignment vertical="center" wrapText="1"/>
    </xf>
    <xf numFmtId="0" fontId="95" fillId="26" borderId="198" xfId="0" applyFont="1" applyFill="1" applyBorder="1" applyAlignment="1">
      <alignment vertical="center" wrapText="1"/>
    </xf>
    <xf numFmtId="0" fontId="95" fillId="26" borderId="204" xfId="0" applyFont="1" applyFill="1" applyBorder="1" applyAlignment="1">
      <alignment vertical="center" wrapText="1"/>
    </xf>
    <xf numFmtId="0" fontId="95" fillId="26" borderId="205" xfId="0" applyFont="1" applyFill="1" applyBorder="1" applyAlignment="1">
      <alignment vertical="center" wrapText="1"/>
    </xf>
    <xf numFmtId="0" fontId="96" fillId="26" borderId="198" xfId="0" applyFont="1" applyFill="1" applyBorder="1" applyAlignment="1">
      <alignment vertical="center" wrapText="1"/>
    </xf>
    <xf numFmtId="0" fontId="97" fillId="26" borderId="198" xfId="0" applyFont="1" applyFill="1" applyBorder="1" applyAlignment="1">
      <alignment vertical="center" wrapText="1"/>
    </xf>
    <xf numFmtId="0" fontId="97" fillId="26" borderId="204" xfId="0" applyFont="1" applyFill="1" applyBorder="1" applyAlignment="1">
      <alignment vertical="center" wrapText="1"/>
    </xf>
    <xf numFmtId="0" fontId="97" fillId="26" borderId="205" xfId="0" applyFont="1" applyFill="1" applyBorder="1" applyAlignment="1">
      <alignment vertical="center" wrapText="1"/>
    </xf>
    <xf numFmtId="0" fontId="92" fillId="30" borderId="198" xfId="0" applyFont="1" applyFill="1" applyBorder="1" applyAlignment="1">
      <alignment vertical="center"/>
    </xf>
    <xf numFmtId="0" fontId="92" fillId="30" borderId="204" xfId="0" applyFont="1" applyFill="1" applyBorder="1" applyAlignment="1">
      <alignment vertical="center"/>
    </xf>
    <xf numFmtId="0" fontId="92" fillId="30" borderId="205" xfId="0" applyFont="1" applyFill="1" applyBorder="1" applyAlignment="1">
      <alignment vertical="center"/>
    </xf>
    <xf numFmtId="0" fontId="92" fillId="26" borderId="198" xfId="0" applyFont="1" applyFill="1" applyBorder="1" applyAlignment="1">
      <alignment vertical="center"/>
    </xf>
    <xf numFmtId="0" fontId="92" fillId="26" borderId="204" xfId="0" applyFont="1" applyFill="1" applyBorder="1" applyAlignment="1">
      <alignment vertical="center"/>
    </xf>
    <xf numFmtId="0" fontId="92" fillId="26" borderId="205" xfId="0" applyFont="1" applyFill="1" applyBorder="1" applyAlignment="1">
      <alignment vertical="center"/>
    </xf>
    <xf numFmtId="0" fontId="96" fillId="26" borderId="194" xfId="0" applyFont="1" applyFill="1" applyBorder="1" applyAlignment="1">
      <alignment vertical="center" wrapText="1"/>
    </xf>
    <xf numFmtId="0" fontId="92" fillId="30" borderId="194" xfId="0" applyFont="1" applyFill="1" applyBorder="1" applyAlignment="1">
      <alignment vertical="center" wrapText="1"/>
    </xf>
    <xf numFmtId="0" fontId="96" fillId="30" borderId="194" xfId="0" applyFont="1" applyFill="1" applyBorder="1" applyAlignment="1">
      <alignment vertical="center" wrapText="1"/>
    </xf>
    <xf numFmtId="0" fontId="92" fillId="30" borderId="198" xfId="0" applyFont="1" applyFill="1" applyBorder="1" applyAlignment="1">
      <alignment vertical="center" wrapText="1"/>
    </xf>
    <xf numFmtId="0" fontId="92" fillId="30" borderId="204" xfId="0" applyFont="1" applyFill="1" applyBorder="1" applyAlignment="1">
      <alignment vertical="center" wrapText="1"/>
    </xf>
    <xf numFmtId="0" fontId="92" fillId="30" borderId="205" xfId="0" applyFont="1" applyFill="1" applyBorder="1" applyAlignment="1">
      <alignment vertical="center" wrapText="1"/>
    </xf>
    <xf numFmtId="0" fontId="96" fillId="30" borderId="194" xfId="0" applyFont="1" applyFill="1" applyBorder="1"/>
    <xf numFmtId="0" fontId="92" fillId="30" borderId="194" xfId="0" applyFont="1" applyFill="1" applyBorder="1" applyAlignment="1">
      <alignment wrapText="1"/>
    </xf>
    <xf numFmtId="0" fontId="96" fillId="30" borderId="194" xfId="0" applyFont="1" applyFill="1" applyBorder="1" applyAlignment="1">
      <alignment wrapText="1"/>
    </xf>
    <xf numFmtId="0" fontId="96" fillId="30" borderId="198" xfId="0" applyFont="1" applyFill="1" applyBorder="1" applyAlignment="1">
      <alignment wrapText="1"/>
    </xf>
    <xf numFmtId="0" fontId="96" fillId="30" borderId="204" xfId="0" applyFont="1" applyFill="1" applyBorder="1" applyAlignment="1">
      <alignment wrapText="1"/>
    </xf>
    <xf numFmtId="0" fontId="96" fillId="30" borderId="205" xfId="0" applyFont="1" applyFill="1" applyBorder="1" applyAlignment="1">
      <alignment wrapText="1"/>
    </xf>
    <xf numFmtId="0" fontId="92" fillId="30" borderId="198" xfId="0" applyFont="1" applyFill="1" applyBorder="1" applyAlignment="1">
      <alignment wrapText="1"/>
    </xf>
    <xf numFmtId="0" fontId="92" fillId="30" borderId="204" xfId="0" applyFont="1" applyFill="1" applyBorder="1" applyAlignment="1">
      <alignment wrapText="1"/>
    </xf>
    <xf numFmtId="0" fontId="92" fillId="30" borderId="205" xfId="0" applyFont="1" applyFill="1" applyBorder="1" applyAlignment="1">
      <alignment wrapText="1"/>
    </xf>
    <xf numFmtId="0" fontId="92" fillId="30" borderId="198" xfId="0" applyFont="1" applyFill="1" applyBorder="1" applyAlignment="1"/>
    <xf numFmtId="0" fontId="96" fillId="30" borderId="204" xfId="0" applyFont="1" applyFill="1" applyBorder="1" applyAlignment="1"/>
    <xf numFmtId="0" fontId="96" fillId="30" borderId="205" xfId="0" applyFont="1" applyFill="1" applyBorder="1" applyAlignment="1"/>
    <xf numFmtId="0" fontId="96" fillId="30" borderId="194" xfId="0" applyFont="1" applyFill="1" applyBorder="1" applyAlignment="1"/>
    <xf numFmtId="0" fontId="92" fillId="30" borderId="194" xfId="0" applyFont="1" applyFill="1" applyBorder="1" applyAlignment="1"/>
    <xf numFmtId="0" fontId="92" fillId="30" borderId="204" xfId="0" applyFont="1" applyFill="1" applyBorder="1" applyAlignment="1"/>
    <xf numFmtId="0" fontId="92" fillId="30" borderId="205" xfId="0" applyFont="1" applyFill="1" applyBorder="1" applyAlignment="1"/>
    <xf numFmtId="0" fontId="92" fillId="30" borderId="194" xfId="0" applyFont="1" applyFill="1" applyBorder="1"/>
    <xf numFmtId="0" fontId="96" fillId="30" borderId="198" xfId="0" applyFont="1" applyFill="1" applyBorder="1" applyAlignment="1">
      <alignment vertical="center"/>
    </xf>
    <xf numFmtId="0" fontId="96" fillId="30" borderId="204" xfId="0" applyFont="1" applyFill="1" applyBorder="1" applyAlignment="1">
      <alignment vertical="center"/>
    </xf>
    <xf numFmtId="0" fontId="96" fillId="30" borderId="205" xfId="0" applyFont="1" applyFill="1" applyBorder="1" applyAlignment="1">
      <alignment vertical="center"/>
    </xf>
    <xf numFmtId="0" fontId="92" fillId="0" borderId="194" xfId="0" applyFont="1" applyFill="1" applyBorder="1" applyAlignment="1">
      <alignment vertical="center" wrapText="1"/>
    </xf>
    <xf numFmtId="0" fontId="96" fillId="26" borderId="194" xfId="0" applyFont="1" applyFill="1" applyBorder="1" applyAlignment="1">
      <alignment vertical="center"/>
    </xf>
    <xf numFmtId="0" fontId="96" fillId="26" borderId="194" xfId="0" applyFont="1" applyFill="1" applyBorder="1"/>
    <xf numFmtId="0" fontId="92" fillId="26" borderId="194" xfId="0" applyFont="1" applyFill="1" applyBorder="1" applyAlignment="1">
      <alignment wrapText="1"/>
    </xf>
    <xf numFmtId="0" fontId="92" fillId="26" borderId="194" xfId="0" applyFont="1" applyFill="1" applyBorder="1" applyAlignment="1">
      <alignment horizontal="left" vertical="center" wrapText="1"/>
    </xf>
    <xf numFmtId="0" fontId="92" fillId="0" borderId="194" xfId="0" applyFont="1" applyFill="1" applyBorder="1" applyAlignment="1">
      <alignment horizontal="left" vertical="center" wrapText="1"/>
    </xf>
    <xf numFmtId="0" fontId="94" fillId="26" borderId="129" xfId="0" applyFont="1" applyFill="1" applyBorder="1"/>
    <xf numFmtId="0" fontId="94" fillId="26" borderId="194" xfId="0" applyFont="1" applyFill="1" applyBorder="1"/>
    <xf numFmtId="0" fontId="92" fillId="26" borderId="194" xfId="0" applyFont="1" applyFill="1" applyBorder="1" applyAlignment="1">
      <alignment horizontal="left"/>
    </xf>
    <xf numFmtId="0" fontId="92" fillId="26" borderId="198" xfId="0" applyFont="1" applyFill="1" applyBorder="1" applyAlignment="1">
      <alignment horizontal="left" vertical="center"/>
    </xf>
    <xf numFmtId="0" fontId="92" fillId="26" borderId="204" xfId="0" applyFont="1" applyFill="1" applyBorder="1" applyAlignment="1">
      <alignment horizontal="left" vertical="center"/>
    </xf>
    <xf numFmtId="0" fontId="92" fillId="26" borderId="205" xfId="0" applyFont="1" applyFill="1" applyBorder="1" applyAlignment="1">
      <alignment horizontal="left" vertical="center"/>
    </xf>
    <xf numFmtId="0" fontId="92" fillId="26" borderId="206" xfId="0" applyFont="1" applyFill="1" applyBorder="1" applyAlignment="1">
      <alignment horizontal="left"/>
    </xf>
    <xf numFmtId="0" fontId="92" fillId="26" borderId="199" xfId="0" applyFont="1" applyFill="1" applyBorder="1" applyAlignment="1">
      <alignment horizontal="left"/>
    </xf>
    <xf numFmtId="0" fontId="92" fillId="26" borderId="207" xfId="0" applyFont="1" applyFill="1" applyBorder="1" applyAlignment="1">
      <alignment horizontal="left"/>
    </xf>
    <xf numFmtId="0" fontId="92" fillId="26" borderId="198" xfId="0" applyFont="1" applyFill="1" applyBorder="1" applyAlignment="1">
      <alignment horizontal="left"/>
    </xf>
    <xf numFmtId="0" fontId="92" fillId="26" borderId="204" xfId="0" applyFont="1" applyFill="1" applyBorder="1" applyAlignment="1">
      <alignment horizontal="left"/>
    </xf>
    <xf numFmtId="0" fontId="92" fillId="26" borderId="205" xfId="0" applyFont="1" applyFill="1" applyBorder="1" applyAlignment="1">
      <alignment horizontal="left"/>
    </xf>
    <xf numFmtId="0" fontId="92" fillId="25" borderId="149" xfId="0" applyFont="1" applyFill="1" applyBorder="1" applyAlignment="1" applyProtection="1">
      <alignment horizontal="left" vertical="center" wrapText="1"/>
      <protection hidden="1"/>
    </xf>
    <xf numFmtId="0" fontId="96" fillId="26" borderId="129" xfId="0" applyFont="1" applyFill="1" applyBorder="1" applyAlignment="1">
      <alignment horizontal="left"/>
    </xf>
    <xf numFmtId="0" fontId="96" fillId="26" borderId="194" xfId="0" applyFont="1" applyFill="1" applyBorder="1" applyAlignment="1">
      <alignment horizontal="left"/>
    </xf>
    <xf numFmtId="0" fontId="93" fillId="25" borderId="209" xfId="0" applyFont="1" applyFill="1" applyBorder="1" applyAlignment="1">
      <alignment horizontal="center" vertical="center"/>
    </xf>
    <xf numFmtId="0" fontId="93" fillId="25" borderId="0" xfId="0" applyFont="1" applyFill="1" applyBorder="1" applyAlignment="1">
      <alignment horizontal="center"/>
    </xf>
    <xf numFmtId="0" fontId="94" fillId="25" borderId="0" xfId="0" applyFont="1" applyFill="1" applyBorder="1" applyAlignment="1">
      <alignment horizontal="center"/>
    </xf>
    <xf numFmtId="0" fontId="93" fillId="25" borderId="0" xfId="0" applyFont="1" applyFill="1" applyBorder="1" applyAlignment="1" applyProtection="1">
      <alignment horizontal="center"/>
      <protection hidden="1"/>
    </xf>
    <xf numFmtId="0" fontId="94" fillId="26" borderId="211" xfId="0" applyFont="1" applyFill="1" applyBorder="1"/>
    <xf numFmtId="0" fontId="94" fillId="26" borderId="212" xfId="0" applyFont="1" applyFill="1" applyBorder="1"/>
    <xf numFmtId="0" fontId="92" fillId="26" borderId="214" xfId="0" applyFont="1" applyFill="1" applyBorder="1" applyAlignment="1">
      <alignment vertical="center"/>
    </xf>
    <xf numFmtId="0" fontId="93" fillId="26" borderId="129" xfId="0" applyFont="1" applyFill="1" applyBorder="1" applyAlignment="1">
      <alignment horizontal="right" vertical="center"/>
    </xf>
    <xf numFmtId="0" fontId="93" fillId="26" borderId="194" xfId="0" applyFont="1" applyFill="1" applyBorder="1" applyAlignment="1">
      <alignment horizontal="right" vertical="center"/>
    </xf>
    <xf numFmtId="0" fontId="96" fillId="26" borderId="198" xfId="0" applyFont="1" applyFill="1" applyBorder="1"/>
    <xf numFmtId="0" fontId="96" fillId="26" borderId="204" xfId="0" applyFont="1" applyFill="1" applyBorder="1"/>
    <xf numFmtId="0" fontId="96" fillId="26" borderId="205" xfId="0" applyFont="1" applyFill="1" applyBorder="1"/>
    <xf numFmtId="0" fontId="93" fillId="26" borderId="198" xfId="0" applyFont="1" applyFill="1" applyBorder="1" applyAlignment="1">
      <alignment horizontal="center" vertical="center"/>
    </xf>
    <xf numFmtId="0" fontId="93" fillId="26" borderId="204" xfId="0" applyFont="1" applyFill="1" applyBorder="1" applyAlignment="1">
      <alignment horizontal="center" vertical="center"/>
    </xf>
    <xf numFmtId="0" fontId="93" fillId="26" borderId="205" xfId="0" applyFont="1" applyFill="1" applyBorder="1" applyAlignment="1">
      <alignment horizontal="center" vertical="center"/>
    </xf>
    <xf numFmtId="0" fontId="94" fillId="26" borderId="198" xfId="0" applyFont="1" applyFill="1" applyBorder="1"/>
    <xf numFmtId="0" fontId="94" fillId="26" borderId="204" xfId="0" applyFont="1" applyFill="1" applyBorder="1"/>
    <xf numFmtId="0" fontId="94" fillId="26" borderId="205" xfId="0" applyFont="1" applyFill="1" applyBorder="1"/>
    <xf numFmtId="175" fontId="37" fillId="0" borderId="0" xfId="0" applyNumberFormat="1" applyFont="1" applyBorder="1" applyAlignment="1" applyProtection="1">
      <alignment horizontal="center"/>
    </xf>
    <xf numFmtId="0" fontId="9" fillId="0" borderId="24" xfId="0" applyFont="1" applyBorder="1" applyAlignment="1" applyProtection="1">
      <alignment horizontal="left" wrapText="1"/>
    </xf>
    <xf numFmtId="0" fontId="9" fillId="0" borderId="113" xfId="0" applyFont="1" applyBorder="1" applyAlignment="1" applyProtection="1">
      <alignment horizontal="left" wrapText="1"/>
    </xf>
    <xf numFmtId="0" fontId="9" fillId="0" borderId="164" xfId="0" applyFont="1" applyBorder="1" applyAlignment="1" applyProtection="1">
      <alignment horizontal="left" wrapText="1"/>
    </xf>
    <xf numFmtId="0" fontId="22" fillId="4" borderId="165" xfId="0" applyFont="1" applyFill="1" applyBorder="1" applyAlignment="1" applyProtection="1">
      <alignment horizontal="left"/>
      <protection locked="0"/>
    </xf>
    <xf numFmtId="0" fontId="22" fillId="4" borderId="113" xfId="0" applyFont="1" applyFill="1" applyBorder="1" applyAlignment="1" applyProtection="1">
      <alignment horizontal="left"/>
      <protection locked="0"/>
    </xf>
    <xf numFmtId="0" fontId="22" fillId="4" borderId="166" xfId="0" applyFont="1" applyFill="1" applyBorder="1" applyAlignment="1" applyProtection="1">
      <alignment horizontal="left"/>
      <protection locked="0"/>
    </xf>
    <xf numFmtId="0" fontId="27" fillId="10" borderId="103" xfId="0" applyFont="1" applyFill="1" applyBorder="1" applyAlignment="1" applyProtection="1">
      <alignment horizontal="center"/>
    </xf>
    <xf numFmtId="0" fontId="27" fillId="10" borderId="108" xfId="0" applyFont="1" applyFill="1" applyBorder="1" applyAlignment="1" applyProtection="1">
      <alignment horizontal="center"/>
    </xf>
    <xf numFmtId="0" fontId="27" fillId="10" borderId="93" xfId="0" applyFont="1" applyFill="1" applyBorder="1" applyAlignment="1" applyProtection="1">
      <alignment horizontal="center"/>
    </xf>
    <xf numFmtId="0" fontId="6" fillId="7" borderId="111" xfId="0" applyFont="1" applyFill="1" applyBorder="1" applyAlignment="1" applyProtection="1">
      <alignment horizontal="left" wrapText="1"/>
    </xf>
    <xf numFmtId="0" fontId="6" fillId="7" borderId="112" xfId="0" applyFont="1" applyFill="1" applyBorder="1" applyAlignment="1" applyProtection="1">
      <alignment horizontal="left" wrapText="1"/>
    </xf>
    <xf numFmtId="0" fontId="6" fillId="7" borderId="144" xfId="0" applyFont="1" applyFill="1" applyBorder="1" applyAlignment="1" applyProtection="1">
      <alignment horizontal="left" wrapText="1"/>
    </xf>
    <xf numFmtId="0" fontId="27" fillId="7" borderId="158" xfId="0" applyFont="1" applyFill="1" applyBorder="1" applyAlignment="1" applyProtection="1">
      <alignment horizontal="center"/>
      <protection hidden="1"/>
    </xf>
    <xf numFmtId="0" fontId="27" fillId="7" borderId="27" xfId="0" applyFont="1" applyFill="1" applyBorder="1" applyAlignment="1" applyProtection="1">
      <alignment horizontal="center"/>
      <protection hidden="1"/>
    </xf>
    <xf numFmtId="0" fontId="22" fillId="6" borderId="26" xfId="0" applyFont="1" applyFill="1" applyBorder="1" applyAlignment="1" applyProtection="1">
      <alignment horizontal="left"/>
      <protection locked="0"/>
    </xf>
    <xf numFmtId="0" fontId="22" fillId="6" borderId="27" xfId="0" applyFont="1" applyFill="1" applyBorder="1" applyAlignment="1" applyProtection="1">
      <alignment horizontal="left"/>
      <protection locked="0"/>
    </xf>
    <xf numFmtId="0" fontId="22" fillId="6" borderId="145" xfId="0" applyFont="1" applyFill="1" applyBorder="1" applyAlignment="1" applyProtection="1">
      <alignment horizontal="left"/>
      <protection locked="0"/>
    </xf>
    <xf numFmtId="0" fontId="22" fillId="6" borderId="112" xfId="0" applyFont="1" applyFill="1" applyBorder="1" applyAlignment="1" applyProtection="1">
      <alignment horizontal="left"/>
      <protection locked="0"/>
    </xf>
    <xf numFmtId="0" fontId="27" fillId="7" borderId="162" xfId="0" applyFont="1" applyFill="1" applyBorder="1" applyAlignment="1" applyProtection="1">
      <alignment horizontal="center"/>
      <protection hidden="1"/>
    </xf>
    <xf numFmtId="0" fontId="27" fillId="7" borderId="112" xfId="0" applyFont="1" applyFill="1" applyBorder="1" applyAlignment="1" applyProtection="1">
      <alignment horizontal="center"/>
      <protection hidden="1"/>
    </xf>
    <xf numFmtId="0" fontId="27" fillId="7" borderId="163" xfId="0" applyFont="1" applyFill="1" applyBorder="1" applyAlignment="1" applyProtection="1">
      <alignment horizontal="center"/>
      <protection hidden="1"/>
    </xf>
    <xf numFmtId="0" fontId="9" fillId="7" borderId="42" xfId="0" applyFont="1" applyFill="1" applyBorder="1" applyAlignment="1" applyProtection="1">
      <alignment horizontal="left"/>
    </xf>
    <xf numFmtId="0" fontId="9" fillId="7" borderId="27" xfId="0" applyFont="1" applyFill="1" applyBorder="1" applyAlignment="1" applyProtection="1">
      <alignment horizontal="left"/>
    </xf>
    <xf numFmtId="0" fontId="9" fillId="7" borderId="28" xfId="0" applyFont="1" applyFill="1" applyBorder="1" applyAlignment="1" applyProtection="1">
      <alignment horizontal="left"/>
    </xf>
    <xf numFmtId="0" fontId="6" fillId="7" borderId="42" xfId="0" applyFont="1" applyFill="1" applyBorder="1" applyAlignment="1" applyProtection="1">
      <alignment horizontal="left"/>
    </xf>
    <xf numFmtId="0" fontId="6" fillId="7" borderId="27" xfId="0" applyFont="1" applyFill="1" applyBorder="1" applyAlignment="1" applyProtection="1">
      <alignment horizontal="left"/>
    </xf>
    <xf numFmtId="0" fontId="6" fillId="7" borderId="28" xfId="0" applyFont="1" applyFill="1" applyBorder="1" applyAlignment="1" applyProtection="1">
      <alignment horizontal="left"/>
    </xf>
    <xf numFmtId="0" fontId="22" fillId="6" borderId="159" xfId="0" applyFont="1" applyFill="1" applyBorder="1" applyAlignment="1" applyProtection="1">
      <alignment horizontal="left"/>
      <protection locked="0"/>
    </xf>
    <xf numFmtId="2" fontId="22" fillId="14" borderId="26" xfId="0" applyNumberFormat="1" applyFont="1" applyFill="1" applyBorder="1" applyAlignment="1" applyProtection="1">
      <alignment horizontal="left"/>
      <protection hidden="1"/>
    </xf>
    <xf numFmtId="2" fontId="22" fillId="14" borderId="27" xfId="0" applyNumberFormat="1" applyFont="1" applyFill="1" applyBorder="1" applyAlignment="1" applyProtection="1">
      <alignment horizontal="left"/>
      <protection hidden="1"/>
    </xf>
    <xf numFmtId="0" fontId="27" fillId="16" borderId="27" xfId="0" applyFont="1" applyFill="1" applyBorder="1" applyAlignment="1" applyProtection="1">
      <alignment horizontal="center"/>
      <protection hidden="1"/>
    </xf>
    <xf numFmtId="0" fontId="27" fillId="16" borderId="159" xfId="0" applyFont="1" applyFill="1" applyBorder="1" applyAlignment="1" applyProtection="1">
      <alignment horizontal="center"/>
      <protection hidden="1"/>
    </xf>
    <xf numFmtId="0" fontId="27" fillId="7" borderId="159" xfId="0" applyFont="1" applyFill="1" applyBorder="1" applyAlignment="1" applyProtection="1">
      <alignment horizontal="center"/>
      <protection hidden="1"/>
    </xf>
    <xf numFmtId="0" fontId="22" fillId="16" borderId="27" xfId="0" applyFont="1" applyFill="1" applyBorder="1" applyAlignment="1" applyProtection="1">
      <alignment horizontal="left"/>
      <protection locked="0"/>
    </xf>
    <xf numFmtId="9" fontId="22" fillId="14" borderId="26" xfId="0" applyNumberFormat="1" applyFont="1" applyFill="1" applyBorder="1" applyAlignment="1" applyProtection="1">
      <alignment horizontal="left"/>
      <protection hidden="1"/>
    </xf>
    <xf numFmtId="0" fontId="22" fillId="14" borderId="27" xfId="0" applyFont="1" applyFill="1" applyBorder="1" applyAlignment="1" applyProtection="1">
      <alignment horizontal="left"/>
      <protection hidden="1"/>
    </xf>
    <xf numFmtId="167" fontId="22" fillId="14" borderId="26" xfId="0" applyNumberFormat="1" applyFont="1" applyFill="1" applyBorder="1" applyAlignment="1" applyProtection="1">
      <alignment horizontal="left"/>
      <protection hidden="1"/>
    </xf>
    <xf numFmtId="167" fontId="22" fillId="5" borderId="26" xfId="0" applyNumberFormat="1" applyFont="1" applyFill="1" applyBorder="1" applyAlignment="1" applyProtection="1">
      <alignment horizontal="left"/>
      <protection locked="0"/>
    </xf>
    <xf numFmtId="0" fontId="22" fillId="5" borderId="27" xfId="0" applyFont="1" applyFill="1" applyBorder="1" applyAlignment="1" applyProtection="1">
      <alignment horizontal="left"/>
      <protection locked="0"/>
    </xf>
    <xf numFmtId="0" fontId="9" fillId="7" borderId="42" xfId="0" applyFont="1" applyFill="1" applyBorder="1" applyAlignment="1" applyProtection="1">
      <alignment horizontal="left" wrapText="1"/>
    </xf>
    <xf numFmtId="0" fontId="9" fillId="7" borderId="27" xfId="0" applyFont="1" applyFill="1" applyBorder="1" applyAlignment="1" applyProtection="1">
      <alignment horizontal="left" wrapText="1"/>
    </xf>
    <xf numFmtId="0" fontId="9" fillId="7" borderId="28" xfId="0" applyFont="1" applyFill="1" applyBorder="1" applyAlignment="1" applyProtection="1">
      <alignment horizontal="left" wrapText="1"/>
    </xf>
    <xf numFmtId="172" fontId="22" fillId="6" borderId="26" xfId="0" applyNumberFormat="1" applyFont="1" applyFill="1" applyBorder="1" applyAlignment="1" applyProtection="1">
      <alignment horizontal="left"/>
      <protection locked="0"/>
    </xf>
    <xf numFmtId="172" fontId="22" fillId="6" borderId="27" xfId="0" applyNumberFormat="1" applyFont="1" applyFill="1" applyBorder="1" applyAlignment="1" applyProtection="1">
      <alignment horizontal="left"/>
      <protection locked="0"/>
    </xf>
    <xf numFmtId="167" fontId="22" fillId="14" borderId="27" xfId="0" applyNumberFormat="1" applyFont="1" applyFill="1" applyBorder="1" applyAlignment="1" applyProtection="1">
      <alignment horizontal="left"/>
      <protection hidden="1"/>
    </xf>
    <xf numFmtId="0" fontId="125" fillId="7" borderId="270" xfId="0" applyFont="1" applyFill="1" applyBorder="1" applyAlignment="1" applyProtection="1">
      <alignment horizontal="center"/>
      <protection hidden="1"/>
    </xf>
    <xf numFmtId="0" fontId="125" fillId="7" borderId="204" xfId="0" applyFont="1" applyFill="1" applyBorder="1" applyAlignment="1" applyProtection="1">
      <alignment horizontal="center"/>
      <protection hidden="1"/>
    </xf>
    <xf numFmtId="0" fontId="125" fillId="7" borderId="243" xfId="0" applyFont="1" applyFill="1" applyBorder="1" applyAlignment="1" applyProtection="1">
      <alignment horizontal="center"/>
      <protection hidden="1"/>
    </xf>
    <xf numFmtId="0" fontId="21" fillId="3" borderId="19" xfId="0" applyFont="1" applyFill="1" applyBorder="1" applyAlignment="1" applyProtection="1">
      <alignment horizontal="left"/>
    </xf>
    <xf numFmtId="0" fontId="21" fillId="3" borderId="122" xfId="0" applyFont="1" applyFill="1" applyBorder="1" applyAlignment="1" applyProtection="1">
      <alignment horizontal="left"/>
    </xf>
    <xf numFmtId="0" fontId="21" fillId="3" borderId="21" xfId="0" applyFont="1" applyFill="1" applyBorder="1" applyAlignment="1" applyProtection="1">
      <alignment horizontal="left"/>
    </xf>
    <xf numFmtId="14" fontId="22" fillId="3" borderId="131" xfId="0" applyNumberFormat="1" applyFont="1" applyFill="1" applyBorder="1" applyAlignment="1" applyProtection="1">
      <alignment horizontal="left"/>
    </xf>
    <xf numFmtId="0" fontId="22" fillId="3" borderId="122" xfId="0" applyFont="1" applyFill="1" applyBorder="1" applyAlignment="1" applyProtection="1">
      <alignment horizontal="left"/>
    </xf>
    <xf numFmtId="0" fontId="9" fillId="7" borderId="120" xfId="0" applyFont="1" applyFill="1" applyBorder="1" applyAlignment="1" applyProtection="1">
      <alignment horizontal="left"/>
    </xf>
    <xf numFmtId="0" fontId="9" fillId="7" borderId="1" xfId="0" applyFont="1" applyFill="1" applyBorder="1" applyAlignment="1" applyProtection="1">
      <alignment horizontal="left"/>
    </xf>
    <xf numFmtId="0" fontId="9" fillId="7" borderId="74" xfId="0" applyFont="1" applyFill="1" applyBorder="1" applyAlignment="1" applyProtection="1">
      <alignment horizontal="left"/>
    </xf>
    <xf numFmtId="0" fontId="22" fillId="14" borderId="26" xfId="0" applyFont="1" applyFill="1" applyBorder="1" applyAlignment="1" applyProtection="1">
      <alignment horizontal="left"/>
    </xf>
    <xf numFmtId="0" fontId="22" fillId="14" borderId="27" xfId="0" applyFont="1" applyFill="1" applyBorder="1" applyAlignment="1" applyProtection="1">
      <alignment horizontal="left"/>
    </xf>
    <xf numFmtId="14" fontId="22" fillId="3" borderId="160" xfId="0" applyNumberFormat="1" applyFont="1" applyFill="1" applyBorder="1" applyAlignment="1" applyProtection="1">
      <alignment horizontal="center"/>
    </xf>
    <xf numFmtId="0" fontId="22" fillId="3" borderId="161" xfId="0" applyFont="1" applyFill="1" applyBorder="1" applyAlignment="1" applyProtection="1">
      <alignment horizontal="center"/>
    </xf>
    <xf numFmtId="0" fontId="9" fillId="7" borderId="204" xfId="0" applyFont="1" applyFill="1" applyBorder="1" applyAlignment="1" applyProtection="1">
      <alignment horizontal="left"/>
    </xf>
    <xf numFmtId="0" fontId="9" fillId="7" borderId="205" xfId="0" applyFont="1" applyFill="1" applyBorder="1" applyAlignment="1" applyProtection="1">
      <alignment horizontal="left"/>
    </xf>
    <xf numFmtId="0" fontId="22" fillId="6" borderId="198" xfId="0" applyFont="1" applyFill="1" applyBorder="1" applyAlignment="1" applyProtection="1">
      <alignment horizontal="center"/>
      <protection locked="0"/>
    </xf>
    <xf numFmtId="0" fontId="22" fillId="6" borderId="204" xfId="0" applyFont="1" applyFill="1" applyBorder="1" applyAlignment="1" applyProtection="1">
      <alignment horizontal="center"/>
      <protection locked="0"/>
    </xf>
    <xf numFmtId="0" fontId="22" fillId="6" borderId="243" xfId="0" applyFont="1" applyFill="1" applyBorder="1" applyAlignment="1" applyProtection="1">
      <alignment horizontal="center"/>
      <protection locked="0"/>
    </xf>
    <xf numFmtId="0" fontId="7" fillId="6" borderId="29" xfId="0" applyFont="1" applyFill="1" applyBorder="1" applyAlignment="1" applyProtection="1">
      <alignment horizontal="center" vertical="center"/>
      <protection locked="0"/>
    </xf>
    <xf numFmtId="0" fontId="7" fillId="6" borderId="149" xfId="0" applyFont="1" applyFill="1" applyBorder="1" applyAlignment="1" applyProtection="1">
      <alignment horizontal="center" vertical="center"/>
      <protection locked="0"/>
    </xf>
    <xf numFmtId="0" fontId="27" fillId="7" borderId="150" xfId="0" applyFont="1" applyFill="1" applyBorder="1" applyAlignment="1" applyProtection="1">
      <alignment horizontal="center" vertical="center"/>
    </xf>
    <xf numFmtId="0" fontId="27" fillId="7" borderId="151" xfId="0" applyFont="1" applyFill="1" applyBorder="1" applyAlignment="1" applyProtection="1">
      <alignment horizontal="center" vertical="center"/>
    </xf>
    <xf numFmtId="0" fontId="7" fillId="6" borderId="34" xfId="0" applyFont="1" applyFill="1" applyBorder="1" applyAlignment="1" applyProtection="1">
      <alignment horizontal="center" vertical="center"/>
      <protection locked="0"/>
    </xf>
    <xf numFmtId="0" fontId="7" fillId="6" borderId="152" xfId="0" applyFont="1" applyFill="1" applyBorder="1" applyAlignment="1" applyProtection="1">
      <alignment horizontal="center" vertical="center"/>
      <protection locked="0"/>
    </xf>
    <xf numFmtId="0" fontId="21" fillId="3" borderId="153" xfId="0" applyFont="1" applyFill="1" applyBorder="1" applyAlignment="1" applyProtection="1"/>
    <xf numFmtId="0" fontId="21" fillId="3" borderId="154" xfId="0" applyFont="1" applyFill="1" applyBorder="1" applyAlignment="1" applyProtection="1"/>
    <xf numFmtId="0" fontId="21" fillId="3" borderId="155" xfId="0" applyFont="1" applyFill="1" applyBorder="1" applyAlignment="1" applyProtection="1"/>
    <xf numFmtId="0" fontId="21" fillId="3" borderId="19" xfId="0" applyFont="1" applyFill="1" applyBorder="1" applyAlignment="1" applyProtection="1">
      <alignment horizontal="center"/>
    </xf>
    <xf numFmtId="0" fontId="21" fillId="3" borderId="122" xfId="0" applyFont="1" applyFill="1" applyBorder="1" applyAlignment="1" applyProtection="1">
      <alignment horizontal="center"/>
    </xf>
    <xf numFmtId="0" fontId="21" fillId="3" borderId="21" xfId="0" applyFont="1" applyFill="1" applyBorder="1" applyAlignment="1" applyProtection="1">
      <alignment horizontal="center"/>
    </xf>
    <xf numFmtId="0" fontId="6" fillId="7" borderId="156" xfId="0" applyFont="1" applyFill="1" applyBorder="1" applyAlignment="1" applyProtection="1">
      <alignment vertical="center" wrapText="1"/>
    </xf>
    <xf numFmtId="0" fontId="6" fillId="7" borderId="45" xfId="0" applyFont="1" applyFill="1" applyBorder="1" applyAlignment="1" applyProtection="1">
      <alignment vertical="center" wrapText="1"/>
    </xf>
    <xf numFmtId="0" fontId="7" fillId="6" borderId="45" xfId="0" applyFont="1" applyFill="1" applyBorder="1" applyAlignment="1" applyProtection="1">
      <alignment horizontal="center" vertical="center"/>
      <protection locked="0"/>
    </xf>
    <xf numFmtId="0" fontId="7" fillId="6" borderId="157" xfId="0" applyFont="1" applyFill="1" applyBorder="1" applyAlignment="1" applyProtection="1">
      <alignment horizontal="center" vertical="center"/>
      <protection locked="0"/>
    </xf>
    <xf numFmtId="0" fontId="6" fillId="16" borderId="42" xfId="0" applyFont="1" applyFill="1" applyBorder="1" applyAlignment="1" applyProtection="1">
      <alignment horizontal="left" wrapText="1"/>
    </xf>
    <xf numFmtId="0" fontId="6" fillId="16" borderId="27" xfId="0" applyFont="1" applyFill="1" applyBorder="1" applyAlignment="1" applyProtection="1">
      <alignment horizontal="left" wrapText="1"/>
    </xf>
    <xf numFmtId="0" fontId="9" fillId="12" borderId="0" xfId="0" applyFont="1" applyFill="1" applyAlignment="1">
      <alignment horizontal="left" wrapText="1"/>
    </xf>
    <xf numFmtId="0" fontId="9" fillId="14" borderId="26" xfId="0" applyFont="1" applyFill="1" applyBorder="1" applyAlignment="1" applyProtection="1">
      <alignment horizontal="left"/>
      <protection hidden="1"/>
    </xf>
    <xf numFmtId="0" fontId="9" fillId="14" borderId="27" xfId="0" applyFont="1" applyFill="1" applyBorder="1" applyAlignment="1" applyProtection="1">
      <alignment horizontal="left"/>
      <protection hidden="1"/>
    </xf>
    <xf numFmtId="0" fontId="9" fillId="14" borderId="28" xfId="0" applyFont="1" applyFill="1" applyBorder="1" applyAlignment="1" applyProtection="1">
      <alignment horizontal="left"/>
      <protection hidden="1"/>
    </xf>
    <xf numFmtId="167" fontId="6" fillId="14" borderId="26" xfId="0" applyNumberFormat="1" applyFont="1" applyFill="1" applyBorder="1" applyAlignment="1" applyProtection="1">
      <alignment horizontal="left"/>
      <protection hidden="1"/>
    </xf>
    <xf numFmtId="167" fontId="9" fillId="14" borderId="27" xfId="0" applyNumberFormat="1" applyFont="1" applyFill="1" applyBorder="1" applyAlignment="1" applyProtection="1">
      <alignment horizontal="left"/>
      <protection hidden="1"/>
    </xf>
    <xf numFmtId="167" fontId="9" fillId="14" borderId="28" xfId="0" applyNumberFormat="1" applyFont="1" applyFill="1" applyBorder="1" applyAlignment="1" applyProtection="1">
      <alignment horizontal="left"/>
      <protection hidden="1"/>
    </xf>
    <xf numFmtId="175" fontId="37" fillId="12" borderId="0" xfId="0" applyNumberFormat="1" applyFont="1" applyFill="1" applyBorder="1" applyAlignment="1" applyProtection="1">
      <alignment horizontal="center"/>
    </xf>
    <xf numFmtId="0" fontId="18" fillId="3" borderId="26" xfId="0" applyFont="1" applyFill="1" applyBorder="1" applyAlignment="1">
      <alignment horizontal="justify" vertical="center" wrapText="1"/>
    </xf>
    <xf numFmtId="0" fontId="18" fillId="3" borderId="27" xfId="0" applyFont="1" applyFill="1" applyBorder="1" applyAlignment="1">
      <alignment horizontal="justify" vertical="center" wrapText="1"/>
    </xf>
    <xf numFmtId="0" fontId="18" fillId="3" borderId="28" xfId="0" applyFont="1" applyFill="1" applyBorder="1" applyAlignment="1">
      <alignment horizontal="justify" vertical="center" wrapText="1"/>
    </xf>
    <xf numFmtId="0" fontId="21" fillId="12" borderId="0" xfId="0" applyFont="1" applyFill="1" applyAlignment="1">
      <alignment horizontal="left" wrapText="1"/>
    </xf>
    <xf numFmtId="0" fontId="9" fillId="14" borderId="26" xfId="0" applyFont="1" applyFill="1" applyBorder="1" applyAlignment="1">
      <alignment horizontal="right"/>
    </xf>
    <xf numFmtId="0" fontId="9" fillId="14" borderId="27" xfId="0" applyFont="1" applyFill="1" applyBorder="1" applyAlignment="1">
      <alignment horizontal="right"/>
    </xf>
    <xf numFmtId="0" fontId="9" fillId="14" borderId="28" xfId="0" applyFont="1" applyFill="1" applyBorder="1" applyAlignment="1">
      <alignment horizontal="right"/>
    </xf>
    <xf numFmtId="0" fontId="27" fillId="14" borderId="26" xfId="0" applyFont="1" applyFill="1" applyBorder="1" applyAlignment="1">
      <alignment horizontal="center"/>
    </xf>
    <xf numFmtId="0" fontId="27" fillId="14" borderId="28" xfId="0" applyFont="1" applyFill="1" applyBorder="1" applyAlignment="1">
      <alignment horizontal="center"/>
    </xf>
    <xf numFmtId="0" fontId="6" fillId="14" borderId="114" xfId="0" applyFont="1" applyFill="1" applyBorder="1" applyAlignment="1">
      <alignment horizontal="center" wrapText="1"/>
    </xf>
    <xf numFmtId="0" fontId="6" fillId="14" borderId="116" xfId="0" applyFont="1" applyFill="1" applyBorder="1" applyAlignment="1">
      <alignment horizontal="center" wrapText="1"/>
    </xf>
    <xf numFmtId="0" fontId="9" fillId="14" borderId="167" xfId="0" applyFont="1" applyFill="1" applyBorder="1" applyAlignment="1" applyProtection="1">
      <alignment horizontal="center" vertical="center" wrapText="1"/>
      <protection hidden="1"/>
    </xf>
    <xf numFmtId="0" fontId="9" fillId="14" borderId="168" xfId="0" applyFont="1" applyFill="1" applyBorder="1" applyAlignment="1" applyProtection="1">
      <alignment horizontal="center" vertical="center" wrapText="1"/>
      <protection hidden="1"/>
    </xf>
    <xf numFmtId="0" fontId="9" fillId="12" borderId="0" xfId="0" applyFont="1" applyFill="1"/>
    <xf numFmtId="167" fontId="9" fillId="14" borderId="26" xfId="0" applyNumberFormat="1" applyFont="1" applyFill="1" applyBorder="1" applyAlignment="1" applyProtection="1">
      <alignment horizontal="left"/>
      <protection hidden="1"/>
    </xf>
    <xf numFmtId="0" fontId="27" fillId="14" borderId="26" xfId="0" applyFont="1" applyFill="1" applyBorder="1" applyAlignment="1" applyProtection="1">
      <alignment horizontal="center"/>
      <protection hidden="1"/>
    </xf>
    <xf numFmtId="0" fontId="27" fillId="14" borderId="28" xfId="0" applyFont="1" applyFill="1" applyBorder="1" applyAlignment="1" applyProtection="1">
      <alignment horizontal="center"/>
      <protection hidden="1"/>
    </xf>
    <xf numFmtId="0" fontId="6" fillId="12" borderId="0" xfId="0" applyFont="1" applyFill="1" applyAlignment="1">
      <alignment horizontal="left" wrapText="1"/>
    </xf>
    <xf numFmtId="9" fontId="9" fillId="14" borderId="26" xfId="0" applyNumberFormat="1" applyFont="1" applyFill="1" applyBorder="1" applyAlignment="1" applyProtection="1">
      <alignment horizontal="left"/>
      <protection hidden="1"/>
    </xf>
    <xf numFmtId="9" fontId="9" fillId="14" borderId="27" xfId="0" applyNumberFormat="1" applyFont="1" applyFill="1" applyBorder="1" applyAlignment="1" applyProtection="1">
      <alignment horizontal="left"/>
      <protection hidden="1"/>
    </xf>
    <xf numFmtId="9" fontId="9" fillId="14" borderId="28" xfId="0" applyNumberFormat="1" applyFont="1" applyFill="1" applyBorder="1" applyAlignment="1" applyProtection="1">
      <alignment horizontal="left"/>
      <protection hidden="1"/>
    </xf>
    <xf numFmtId="49" fontId="22" fillId="6" borderId="204" xfId="0" applyNumberFormat="1" applyFont="1" applyFill="1" applyBorder="1" applyAlignment="1" applyProtection="1">
      <alignment horizontal="left" vertical="top" wrapText="1"/>
      <protection locked="0"/>
    </xf>
    <xf numFmtId="49" fontId="22" fillId="6" borderId="204" xfId="0" applyNumberFormat="1" applyFont="1" applyFill="1" applyBorder="1" applyAlignment="1" applyProtection="1">
      <alignment horizontal="center" vertical="top" wrapText="1"/>
      <protection locked="0"/>
    </xf>
    <xf numFmtId="49" fontId="22" fillId="6" borderId="46" xfId="0" applyNumberFormat="1" applyFont="1" applyFill="1" applyBorder="1" applyAlignment="1" applyProtection="1">
      <alignment horizontal="center" vertical="top" wrapText="1"/>
      <protection locked="0"/>
    </xf>
    <xf numFmtId="0" fontId="0" fillId="6" borderId="69" xfId="0" applyFill="1" applyBorder="1" applyAlignment="1" applyProtection="1">
      <alignment horizontal="center" wrapText="1"/>
      <protection locked="0"/>
    </xf>
    <xf numFmtId="0" fontId="0" fillId="6" borderId="0" xfId="0" applyFill="1" applyBorder="1" applyAlignment="1" applyProtection="1">
      <alignment horizontal="center" wrapText="1"/>
      <protection locked="0"/>
    </xf>
    <xf numFmtId="0" fontId="0" fillId="6" borderId="70" xfId="0" applyFill="1" applyBorder="1" applyAlignment="1" applyProtection="1">
      <alignment horizontal="center" wrapText="1"/>
      <protection locked="0"/>
    </xf>
    <xf numFmtId="0" fontId="0" fillId="6" borderId="69" xfId="0" applyFill="1" applyBorder="1" applyAlignment="1" applyProtection="1">
      <alignment horizontal="left" vertical="center" wrapText="1"/>
      <protection locked="0"/>
    </xf>
    <xf numFmtId="0" fontId="0" fillId="6" borderId="0" xfId="0" applyFill="1" applyBorder="1" applyAlignment="1" applyProtection="1">
      <alignment horizontal="left" vertical="center" wrapText="1"/>
      <protection locked="0"/>
    </xf>
    <xf numFmtId="0" fontId="0" fillId="6" borderId="70" xfId="0" applyFill="1" applyBorder="1" applyAlignment="1" applyProtection="1">
      <alignment horizontal="left" vertical="center" wrapText="1"/>
      <protection locked="0"/>
    </xf>
    <xf numFmtId="0" fontId="18" fillId="3" borderId="19" xfId="0" applyFont="1" applyFill="1" applyBorder="1" applyAlignment="1" applyProtection="1">
      <alignment horizontal="justify" vertical="center" wrapText="1"/>
    </xf>
    <xf numFmtId="0" fontId="18" fillId="3" borderId="122" xfId="0" applyFont="1" applyFill="1" applyBorder="1" applyAlignment="1" applyProtection="1">
      <alignment horizontal="justify" vertical="center" wrapText="1"/>
    </xf>
    <xf numFmtId="0" fontId="18" fillId="3" borderId="20" xfId="0" applyFont="1" applyFill="1" applyBorder="1" applyAlignment="1" applyProtection="1">
      <alignment horizontal="justify" vertical="center" wrapText="1"/>
    </xf>
    <xf numFmtId="0" fontId="0" fillId="6" borderId="10" xfId="0" applyFill="1" applyBorder="1" applyAlignment="1" applyProtection="1">
      <alignment horizontal="left" vertical="center" wrapText="1"/>
      <protection locked="0"/>
    </xf>
    <xf numFmtId="0" fontId="0" fillId="6" borderId="17" xfId="0" applyFill="1" applyBorder="1" applyAlignment="1" applyProtection="1">
      <alignment horizontal="left" vertical="center" wrapText="1"/>
      <protection locked="0"/>
    </xf>
    <xf numFmtId="0" fontId="43" fillId="6" borderId="76" xfId="0" applyFont="1" applyFill="1" applyBorder="1" applyAlignment="1" applyProtection="1">
      <alignment horizontal="left" vertical="center" wrapText="1"/>
      <protection locked="0"/>
    </xf>
    <xf numFmtId="0" fontId="0" fillId="6" borderId="58" xfId="0" applyFill="1" applyBorder="1" applyAlignment="1" applyProtection="1">
      <alignment horizontal="left" vertical="center" wrapText="1"/>
      <protection locked="0"/>
    </xf>
    <xf numFmtId="0" fontId="0" fillId="6" borderId="77" xfId="0" applyFill="1" applyBorder="1" applyAlignment="1" applyProtection="1">
      <alignment horizontal="left" vertical="center" wrapText="1"/>
      <protection locked="0"/>
    </xf>
    <xf numFmtId="0" fontId="2" fillId="12" borderId="69" xfId="0" applyFont="1" applyFill="1" applyBorder="1" applyAlignment="1">
      <alignment horizontal="center" vertical="center"/>
    </xf>
    <xf numFmtId="0" fontId="2" fillId="12" borderId="0" xfId="0" applyFont="1" applyFill="1" applyAlignment="1">
      <alignment horizontal="center" vertical="center"/>
    </xf>
    <xf numFmtId="0" fontId="2" fillId="12" borderId="70" xfId="0" applyFont="1" applyFill="1" applyBorder="1" applyAlignment="1">
      <alignment horizontal="center" vertical="center"/>
    </xf>
    <xf numFmtId="49" fontId="22" fillId="6" borderId="219" xfId="0" applyNumberFormat="1" applyFont="1" applyFill="1" applyBorder="1" applyAlignment="1" applyProtection="1">
      <alignment horizontal="left" vertical="top" wrapText="1"/>
      <protection locked="0"/>
    </xf>
    <xf numFmtId="49" fontId="22" fillId="6" borderId="204" xfId="0" applyNumberFormat="1" applyFont="1" applyFill="1" applyBorder="1" applyAlignment="1" applyProtection="1">
      <alignment horizontal="center" vertical="top" shrinkToFit="1"/>
      <protection locked="0"/>
    </xf>
    <xf numFmtId="0" fontId="9" fillId="12" borderId="26" xfId="0" applyFont="1" applyFill="1" applyBorder="1"/>
    <xf numFmtId="0" fontId="9" fillId="12" borderId="27" xfId="0" applyFont="1" applyFill="1" applyBorder="1"/>
    <xf numFmtId="0" fontId="9" fillId="12" borderId="43" xfId="0" applyFont="1" applyFill="1" applyBorder="1"/>
    <xf numFmtId="0" fontId="9" fillId="12" borderId="120" xfId="0" applyFont="1" applyFill="1" applyBorder="1"/>
    <xf numFmtId="0" fontId="9" fillId="12" borderId="1" xfId="0" applyFont="1" applyFill="1" applyBorder="1"/>
    <xf numFmtId="0" fontId="9" fillId="12" borderId="105" xfId="0" applyFont="1" applyFill="1" applyBorder="1"/>
    <xf numFmtId="0" fontId="9" fillId="12" borderId="26" xfId="0" applyFont="1" applyFill="1" applyBorder="1" applyAlignment="1" applyProtection="1">
      <alignment horizontal="left" vertical="top" wrapText="1"/>
    </xf>
    <xf numFmtId="0" fontId="9" fillId="12" borderId="27" xfId="0" applyFont="1" applyFill="1" applyBorder="1" applyAlignment="1" applyProtection="1">
      <alignment horizontal="left" vertical="top" wrapText="1"/>
    </xf>
    <xf numFmtId="0" fontId="9" fillId="12" borderId="28" xfId="0" applyFont="1" applyFill="1" applyBorder="1" applyAlignment="1" applyProtection="1">
      <alignment horizontal="left" vertical="top" wrapText="1"/>
    </xf>
    <xf numFmtId="0" fontId="21" fillId="12" borderId="26" xfId="0" applyFont="1" applyFill="1" applyBorder="1"/>
    <xf numFmtId="0" fontId="21" fillId="12" borderId="27" xfId="0" applyFont="1" applyFill="1" applyBorder="1"/>
    <xf numFmtId="0" fontId="21" fillId="12" borderId="43" xfId="0" applyFont="1" applyFill="1" applyBorder="1"/>
    <xf numFmtId="0" fontId="9" fillId="12" borderId="26" xfId="0" applyFont="1" applyFill="1" applyBorder="1" applyProtection="1"/>
    <xf numFmtId="0" fontId="9" fillId="12" borderId="27" xfId="0" applyFont="1" applyFill="1" applyBorder="1" applyProtection="1"/>
    <xf numFmtId="0" fontId="9" fillId="12" borderId="28" xfId="0" applyFont="1" applyFill="1" applyBorder="1" applyProtection="1"/>
    <xf numFmtId="0" fontId="27" fillId="14" borderId="27" xfId="0" applyFont="1" applyFill="1" applyBorder="1" applyAlignment="1" applyProtection="1">
      <alignment horizontal="center"/>
      <protection hidden="1"/>
    </xf>
    <xf numFmtId="0" fontId="27" fillId="14" borderId="43" xfId="0" applyFont="1" applyFill="1" applyBorder="1" applyAlignment="1" applyProtection="1">
      <alignment horizontal="center"/>
      <protection hidden="1"/>
    </xf>
    <xf numFmtId="175" fontId="37" fillId="12" borderId="26" xfId="0" applyNumberFormat="1" applyFont="1" applyFill="1" applyBorder="1" applyAlignment="1" applyProtection="1">
      <alignment horizontal="center"/>
    </xf>
    <xf numFmtId="175" fontId="37" fillId="12" borderId="28" xfId="0" applyNumberFormat="1" applyFont="1" applyFill="1" applyBorder="1" applyAlignment="1" applyProtection="1">
      <alignment horizontal="center"/>
    </xf>
    <xf numFmtId="0" fontId="9" fillId="12" borderId="50" xfId="0" applyFont="1" applyFill="1" applyBorder="1"/>
    <xf numFmtId="0" fontId="9" fillId="12" borderId="51" xfId="0" applyFont="1" applyFill="1" applyBorder="1"/>
    <xf numFmtId="0" fontId="9" fillId="12" borderId="56" xfId="0" applyFont="1" applyFill="1" applyBorder="1"/>
    <xf numFmtId="0" fontId="18" fillId="12" borderId="42" xfId="0" applyFont="1" applyFill="1" applyBorder="1" applyAlignment="1">
      <alignment vertical="center" wrapText="1"/>
    </xf>
    <xf numFmtId="0" fontId="18" fillId="12" borderId="27" xfId="0" applyFont="1" applyFill="1" applyBorder="1" applyAlignment="1">
      <alignment vertical="center" wrapText="1"/>
    </xf>
    <xf numFmtId="0" fontId="18" fillId="12" borderId="43" xfId="0" applyFont="1" applyFill="1" applyBorder="1" applyAlignment="1">
      <alignment vertical="center" wrapText="1"/>
    </xf>
    <xf numFmtId="0" fontId="9" fillId="12" borderId="42" xfId="0" applyFont="1" applyFill="1" applyBorder="1" applyAlignment="1">
      <alignment horizontal="left"/>
    </xf>
    <xf numFmtId="0" fontId="9" fillId="12" borderId="27" xfId="0" applyFont="1" applyFill="1" applyBorder="1" applyAlignment="1">
      <alignment horizontal="left"/>
    </xf>
    <xf numFmtId="0" fontId="9" fillId="12" borderId="43" xfId="0" applyFont="1" applyFill="1" applyBorder="1" applyAlignment="1">
      <alignment horizontal="left"/>
    </xf>
    <xf numFmtId="0" fontId="21" fillId="12" borderId="26" xfId="0" applyFont="1" applyFill="1" applyBorder="1" applyAlignment="1">
      <alignment horizontal="center"/>
    </xf>
    <xf numFmtId="0" fontId="21" fillId="12" borderId="27" xfId="0" applyFont="1" applyFill="1" applyBorder="1" applyAlignment="1">
      <alignment horizontal="center"/>
    </xf>
    <xf numFmtId="0" fontId="21" fillId="12" borderId="43" xfId="0" applyFont="1" applyFill="1" applyBorder="1" applyAlignment="1">
      <alignment horizontal="center"/>
    </xf>
    <xf numFmtId="0" fontId="19" fillId="3" borderId="131" xfId="0" applyFont="1" applyFill="1" applyBorder="1" applyAlignment="1" applyProtection="1">
      <alignment horizontal="center" wrapText="1"/>
    </xf>
    <xf numFmtId="0" fontId="19" fillId="3" borderId="21" xfId="0" applyFont="1" applyFill="1" applyBorder="1" applyAlignment="1" applyProtection="1">
      <alignment horizontal="center" wrapText="1"/>
    </xf>
    <xf numFmtId="167" fontId="19" fillId="14" borderId="26" xfId="0" applyNumberFormat="1" applyFont="1" applyFill="1" applyBorder="1" applyAlignment="1" applyProtection="1">
      <alignment horizontal="center"/>
      <protection hidden="1"/>
    </xf>
    <xf numFmtId="167" fontId="19" fillId="14" borderId="28" xfId="0" applyNumberFormat="1" applyFont="1" applyFill="1" applyBorder="1" applyAlignment="1" applyProtection="1">
      <alignment horizontal="center"/>
      <protection hidden="1"/>
    </xf>
    <xf numFmtId="0" fontId="19" fillId="3" borderId="20" xfId="0" applyFont="1" applyFill="1" applyBorder="1" applyAlignment="1" applyProtection="1">
      <alignment horizontal="center" wrapText="1"/>
    </xf>
    <xf numFmtId="167" fontId="19" fillId="14" borderId="133" xfId="0" applyNumberFormat="1" applyFont="1" applyFill="1" applyBorder="1" applyAlignment="1" applyProtection="1">
      <alignment horizontal="center"/>
      <protection hidden="1"/>
    </xf>
    <xf numFmtId="167" fontId="19" fillId="14" borderId="132" xfId="0" applyNumberFormat="1" applyFont="1" applyFill="1" applyBorder="1" applyAlignment="1" applyProtection="1">
      <alignment horizontal="center"/>
      <protection hidden="1"/>
    </xf>
    <xf numFmtId="167" fontId="19" fillId="14" borderId="29" xfId="0" applyNumberFormat="1" applyFont="1" applyFill="1" applyBorder="1" applyProtection="1">
      <protection hidden="1"/>
    </xf>
    <xf numFmtId="0" fontId="19" fillId="14" borderId="29" xfId="0" applyFont="1" applyFill="1" applyBorder="1" applyProtection="1">
      <protection hidden="1"/>
    </xf>
    <xf numFmtId="167" fontId="19" fillId="14" borderId="45" xfId="0" applyNumberFormat="1" applyFont="1" applyFill="1" applyBorder="1" applyProtection="1">
      <protection hidden="1"/>
    </xf>
    <xf numFmtId="0" fontId="19" fillId="14" borderId="45" xfId="0" applyFont="1" applyFill="1" applyBorder="1" applyProtection="1">
      <protection hidden="1"/>
    </xf>
    <xf numFmtId="0" fontId="19" fillId="12" borderId="122" xfId="0" applyFont="1" applyFill="1" applyBorder="1" applyAlignment="1" applyProtection="1">
      <alignment horizontal="center"/>
    </xf>
    <xf numFmtId="3" fontId="19" fillId="0" borderId="170" xfId="0" applyNumberFormat="1" applyFont="1" applyBorder="1" applyAlignment="1" applyProtection="1">
      <alignment horizontal="center"/>
    </xf>
    <xf numFmtId="3" fontId="19" fillId="0" borderId="238" xfId="0" applyNumberFormat="1" applyFont="1" applyBorder="1" applyAlignment="1" applyProtection="1">
      <alignment horizontal="center"/>
    </xf>
    <xf numFmtId="3" fontId="19" fillId="0" borderId="171" xfId="0" applyNumberFormat="1" applyFont="1" applyBorder="1" applyAlignment="1" applyProtection="1">
      <alignment horizontal="center"/>
    </xf>
    <xf numFmtId="3" fontId="19" fillId="0" borderId="172" xfId="0" applyNumberFormat="1" applyFont="1" applyBorder="1" applyAlignment="1" applyProtection="1">
      <alignment horizontal="center"/>
    </xf>
    <xf numFmtId="3" fontId="19" fillId="0" borderId="239" xfId="0" applyNumberFormat="1" applyFont="1" applyBorder="1" applyAlignment="1" applyProtection="1">
      <alignment horizontal="center"/>
    </xf>
    <xf numFmtId="3" fontId="19" fillId="0" borderId="173" xfId="0" applyNumberFormat="1" applyFont="1" applyBorder="1" applyAlignment="1" applyProtection="1">
      <alignment horizontal="center"/>
    </xf>
    <xf numFmtId="3" fontId="19" fillId="0" borderId="174" xfId="0" applyNumberFormat="1" applyFont="1" applyBorder="1" applyAlignment="1" applyProtection="1">
      <alignment horizontal="center"/>
    </xf>
    <xf numFmtId="3" fontId="19" fillId="0" borderId="240" xfId="0" applyNumberFormat="1" applyFont="1" applyBorder="1" applyAlignment="1" applyProtection="1">
      <alignment horizontal="center"/>
    </xf>
    <xf numFmtId="3" fontId="19" fillId="0" borderId="175" xfId="0" applyNumberFormat="1" applyFont="1" applyBorder="1" applyAlignment="1" applyProtection="1">
      <alignment horizontal="center"/>
    </xf>
    <xf numFmtId="0" fontId="78" fillId="0" borderId="146" xfId="0" applyFont="1" applyBorder="1" applyAlignment="1" applyProtection="1">
      <alignment horizontal="center"/>
    </xf>
    <xf numFmtId="0" fontId="78" fillId="0" borderId="147" xfId="0" applyFont="1" applyBorder="1" applyAlignment="1" applyProtection="1">
      <alignment horizontal="center"/>
    </xf>
    <xf numFmtId="0" fontId="78" fillId="0" borderId="148" xfId="0" applyFont="1" applyBorder="1" applyAlignment="1" applyProtection="1">
      <alignment horizontal="center"/>
    </xf>
    <xf numFmtId="0" fontId="19" fillId="6" borderId="12" xfId="0" applyFont="1" applyFill="1" applyBorder="1" applyAlignment="1" applyProtection="1">
      <alignment horizontal="left" vertical="top" wrapText="1"/>
      <protection locked="0"/>
    </xf>
    <xf numFmtId="0" fontId="19" fillId="6" borderId="110" xfId="0" applyFont="1" applyFill="1" applyBorder="1" applyAlignment="1" applyProtection="1">
      <alignment horizontal="left" vertical="top" wrapText="1"/>
      <protection locked="0"/>
    </xf>
    <xf numFmtId="0" fontId="19" fillId="6" borderId="13" xfId="0" applyFont="1" applyFill="1" applyBorder="1" applyAlignment="1" applyProtection="1">
      <alignment horizontal="left" vertical="top" wrapText="1"/>
      <protection locked="0"/>
    </xf>
    <xf numFmtId="0" fontId="19" fillId="6" borderId="10" xfId="0" applyFont="1" applyFill="1" applyBorder="1" applyAlignment="1" applyProtection="1">
      <alignment horizontal="left" vertical="top" wrapText="1"/>
      <protection locked="0"/>
    </xf>
    <xf numFmtId="0" fontId="19" fillId="6" borderId="0" xfId="0" applyFont="1" applyFill="1" applyBorder="1" applyAlignment="1" applyProtection="1">
      <alignment horizontal="left" vertical="top" wrapText="1"/>
      <protection locked="0"/>
    </xf>
    <xf numFmtId="0" fontId="19" fillId="6" borderId="17" xfId="0" applyFont="1" applyFill="1" applyBorder="1" applyAlignment="1" applyProtection="1">
      <alignment horizontal="left" vertical="top" wrapText="1"/>
      <protection locked="0"/>
    </xf>
    <xf numFmtId="0" fontId="19" fillId="6" borderId="24" xfId="0" applyFont="1" applyFill="1" applyBorder="1" applyAlignment="1" applyProtection="1">
      <alignment horizontal="left" vertical="top" wrapText="1"/>
      <protection locked="0"/>
    </xf>
    <xf numFmtId="0" fontId="19" fillId="6" borderId="113" xfId="0" applyFont="1" applyFill="1" applyBorder="1" applyAlignment="1" applyProtection="1">
      <alignment horizontal="left" vertical="top" wrapText="1"/>
      <protection locked="0"/>
    </xf>
    <xf numFmtId="0" fontId="19" fillId="6" borderId="25" xfId="0" applyFont="1" applyFill="1" applyBorder="1" applyAlignment="1" applyProtection="1">
      <alignment horizontal="left" vertical="top" wrapText="1"/>
      <protection locked="0"/>
    </xf>
    <xf numFmtId="0" fontId="19" fillId="6" borderId="12" xfId="0" applyFont="1" applyFill="1" applyBorder="1" applyAlignment="1" applyProtection="1">
      <alignment vertical="top" wrapText="1"/>
      <protection locked="0"/>
    </xf>
    <xf numFmtId="0" fontId="19" fillId="6" borderId="110" xfId="0" applyFont="1" applyFill="1" applyBorder="1" applyAlignment="1" applyProtection="1">
      <alignment vertical="top" wrapText="1"/>
      <protection locked="0"/>
    </xf>
    <xf numFmtId="0" fontId="19" fillId="6" borderId="13" xfId="0" applyFont="1" applyFill="1" applyBorder="1" applyAlignment="1" applyProtection="1">
      <alignment vertical="top" wrapText="1"/>
      <protection locked="0"/>
    </xf>
    <xf numFmtId="0" fontId="19" fillId="6" borderId="10" xfId="0" applyFont="1" applyFill="1" applyBorder="1" applyAlignment="1" applyProtection="1">
      <alignment vertical="top" wrapText="1"/>
      <protection locked="0"/>
    </xf>
    <xf numFmtId="0" fontId="19" fillId="6" borderId="0" xfId="0" applyFont="1" applyFill="1" applyBorder="1" applyAlignment="1" applyProtection="1">
      <alignment vertical="top" wrapText="1"/>
      <protection locked="0"/>
    </xf>
    <xf numFmtId="0" fontId="19" fillId="6" borderId="17" xfId="0" applyFont="1" applyFill="1" applyBorder="1" applyAlignment="1" applyProtection="1">
      <alignment vertical="top" wrapText="1"/>
      <protection locked="0"/>
    </xf>
    <xf numFmtId="0" fontId="19" fillId="6" borderId="24" xfId="0" applyFont="1" applyFill="1" applyBorder="1" applyAlignment="1" applyProtection="1">
      <alignment vertical="top" wrapText="1"/>
      <protection locked="0"/>
    </xf>
    <xf numFmtId="0" fontId="19" fillId="6" borderId="113" xfId="0" applyFont="1" applyFill="1" applyBorder="1" applyAlignment="1" applyProtection="1">
      <alignment vertical="top" wrapText="1"/>
      <protection locked="0"/>
    </xf>
    <xf numFmtId="0" fontId="19" fillId="6" borderId="25" xfId="0" applyFont="1" applyFill="1" applyBorder="1" applyAlignment="1" applyProtection="1">
      <alignment vertical="top" wrapText="1"/>
      <protection locked="0"/>
    </xf>
    <xf numFmtId="0" fontId="19" fillId="6" borderId="12" xfId="0" applyFont="1" applyFill="1" applyBorder="1" applyAlignment="1" applyProtection="1">
      <alignment vertical="top" wrapText="1"/>
    </xf>
    <xf numFmtId="0" fontId="19" fillId="6" borderId="110" xfId="0" applyFont="1" applyFill="1" applyBorder="1" applyAlignment="1" applyProtection="1">
      <alignment vertical="top" wrapText="1"/>
    </xf>
    <xf numFmtId="0" fontId="19" fillId="6" borderId="13" xfId="0" applyFont="1" applyFill="1" applyBorder="1" applyAlignment="1" applyProtection="1">
      <alignment vertical="top" wrapText="1"/>
    </xf>
    <xf numFmtId="0" fontId="19" fillId="6" borderId="10" xfId="0" applyFont="1" applyFill="1" applyBorder="1" applyAlignment="1" applyProtection="1">
      <alignment vertical="top" wrapText="1"/>
    </xf>
    <xf numFmtId="0" fontId="19" fillId="6" borderId="0" xfId="0" applyFont="1" applyFill="1" applyBorder="1" applyAlignment="1" applyProtection="1">
      <alignment vertical="top" wrapText="1"/>
    </xf>
    <xf numFmtId="0" fontId="19" fillId="6" borderId="17" xfId="0" applyFont="1" applyFill="1" applyBorder="1" applyAlignment="1" applyProtection="1">
      <alignment vertical="top" wrapText="1"/>
    </xf>
    <xf numFmtId="0" fontId="19" fillId="6" borderId="24" xfId="0" applyFont="1" applyFill="1" applyBorder="1" applyAlignment="1" applyProtection="1">
      <alignment vertical="top" wrapText="1"/>
    </xf>
    <xf numFmtId="0" fontId="19" fillId="6" borderId="113" xfId="0" applyFont="1" applyFill="1" applyBorder="1" applyAlignment="1" applyProtection="1">
      <alignment vertical="top" wrapText="1"/>
    </xf>
    <xf numFmtId="0" fontId="19" fillId="6" borderId="25" xfId="0" applyFont="1" applyFill="1" applyBorder="1" applyAlignment="1" applyProtection="1">
      <alignment vertical="top" wrapText="1"/>
    </xf>
    <xf numFmtId="0" fontId="78" fillId="0" borderId="160" xfId="0" applyFont="1" applyBorder="1" applyAlignment="1" applyProtection="1">
      <alignment horizontal="center"/>
    </xf>
    <xf numFmtId="0" fontId="78" fillId="0" borderId="169" xfId="0" applyFont="1" applyBorder="1" applyAlignment="1" applyProtection="1">
      <alignment horizontal="center"/>
    </xf>
    <xf numFmtId="167" fontId="19" fillId="14" borderId="26" xfId="0" applyNumberFormat="1" applyFont="1" applyFill="1" applyBorder="1" applyAlignment="1" applyProtection="1">
      <alignment horizontal="center"/>
      <protection locked="0" hidden="1"/>
    </xf>
    <xf numFmtId="167" fontId="19" fillId="14" borderId="28" xfId="0" applyNumberFormat="1" applyFont="1" applyFill="1" applyBorder="1" applyAlignment="1" applyProtection="1">
      <alignment horizontal="center"/>
      <protection locked="0" hidden="1"/>
    </xf>
    <xf numFmtId="167" fontId="24" fillId="14" borderId="26" xfId="0" applyNumberFormat="1" applyFont="1" applyFill="1" applyBorder="1" applyAlignment="1" applyProtection="1">
      <alignment horizontal="center"/>
    </xf>
    <xf numFmtId="167" fontId="24" fillId="14" borderId="28" xfId="0" applyNumberFormat="1" applyFont="1" applyFill="1" applyBorder="1" applyAlignment="1" applyProtection="1">
      <alignment horizontal="center"/>
    </xf>
    <xf numFmtId="167" fontId="24" fillId="14" borderId="26" xfId="0" applyNumberFormat="1" applyFont="1" applyFill="1" applyBorder="1" applyAlignment="1" applyProtection="1">
      <alignment horizontal="center"/>
      <protection hidden="1"/>
    </xf>
    <xf numFmtId="167" fontId="24" fillId="14" borderId="28" xfId="0" applyNumberFormat="1" applyFont="1" applyFill="1" applyBorder="1" applyAlignment="1" applyProtection="1">
      <alignment horizontal="center"/>
      <protection hidden="1"/>
    </xf>
    <xf numFmtId="0" fontId="19" fillId="12" borderId="122" xfId="0" applyFont="1" applyFill="1" applyBorder="1" applyAlignment="1" applyProtection="1">
      <alignment horizontal="left"/>
    </xf>
    <xf numFmtId="167" fontId="19" fillId="14" borderId="34" xfId="0" applyNumberFormat="1" applyFont="1" applyFill="1" applyBorder="1" applyProtection="1">
      <protection hidden="1"/>
    </xf>
    <xf numFmtId="0" fontId="19" fillId="14" borderId="34" xfId="0" applyFont="1" applyFill="1" applyBorder="1" applyProtection="1">
      <protection hidden="1"/>
    </xf>
    <xf numFmtId="0" fontId="122" fillId="0" borderId="0" xfId="0" applyFont="1" applyAlignment="1">
      <alignment horizontal="center" vertical="center"/>
    </xf>
    <xf numFmtId="0" fontId="0" fillId="0" borderId="0" xfId="0" applyAlignment="1">
      <alignment horizontal="center" vertical="center"/>
    </xf>
    <xf numFmtId="0" fontId="87" fillId="12" borderId="195" xfId="0" applyFont="1" applyFill="1" applyBorder="1" applyAlignment="1">
      <alignment horizontal="center" vertical="top"/>
    </xf>
    <xf numFmtId="0" fontId="48" fillId="12" borderId="196" xfId="0" applyFont="1" applyFill="1" applyBorder="1" applyAlignment="1">
      <alignment horizontal="center" vertical="top"/>
    </xf>
    <xf numFmtId="0" fontId="87" fillId="12" borderId="195" xfId="0" applyFont="1" applyFill="1" applyBorder="1" applyAlignment="1">
      <alignment horizontal="center" vertical="center" wrapText="1"/>
    </xf>
    <xf numFmtId="0" fontId="87" fillId="12" borderId="196" xfId="0" applyFont="1" applyFill="1" applyBorder="1" applyAlignment="1">
      <alignment horizontal="center" vertical="center" wrapText="1"/>
    </xf>
    <xf numFmtId="0" fontId="87" fillId="12" borderId="195" xfId="0" applyFont="1" applyFill="1" applyBorder="1" applyAlignment="1">
      <alignment horizontal="center" vertical="top" wrapText="1"/>
    </xf>
    <xf numFmtId="0" fontId="87" fillId="12" borderId="196" xfId="0" applyFont="1" applyFill="1" applyBorder="1" applyAlignment="1">
      <alignment horizontal="center" vertical="top" wrapText="1"/>
    </xf>
    <xf numFmtId="0" fontId="43" fillId="12" borderId="195" xfId="0" applyFont="1" applyFill="1" applyBorder="1" applyAlignment="1">
      <alignment horizontal="center" vertical="top" wrapText="1"/>
    </xf>
    <xf numFmtId="0" fontId="43" fillId="12" borderId="197" xfId="0" applyFont="1" applyFill="1" applyBorder="1" applyAlignment="1">
      <alignment horizontal="center" vertical="top" wrapText="1"/>
    </xf>
    <xf numFmtId="0" fontId="43" fillId="21" borderId="199" xfId="0" applyFont="1" applyFill="1" applyBorder="1" applyAlignment="1" applyProtection="1">
      <alignment horizontal="left" vertical="top"/>
      <protection locked="0"/>
    </xf>
    <xf numFmtId="0" fontId="0" fillId="21" borderId="199" xfId="0" applyFill="1" applyBorder="1" applyAlignment="1" applyProtection="1">
      <alignment horizontal="left" vertical="top"/>
      <protection locked="0"/>
    </xf>
    <xf numFmtId="0" fontId="0" fillId="21" borderId="0" xfId="0" applyFill="1" applyAlignment="1" applyProtection="1">
      <alignment horizontal="left" vertical="top"/>
      <protection locked="0"/>
    </xf>
    <xf numFmtId="0" fontId="5" fillId="15" borderId="146" xfId="0" applyFont="1" applyFill="1" applyBorder="1" applyAlignment="1">
      <alignment horizontal="left"/>
    </xf>
    <xf numFmtId="0" fontId="5" fillId="0" borderId="148" xfId="0" applyFont="1" applyBorder="1" applyAlignment="1">
      <alignment horizontal="left"/>
    </xf>
    <xf numFmtId="0" fontId="0" fillId="0" borderId="0" xfId="0" applyAlignment="1">
      <alignment horizontal="center"/>
    </xf>
    <xf numFmtId="0" fontId="0" fillId="0" borderId="0" xfId="0" applyAlignment="1"/>
    <xf numFmtId="168" fontId="21" fillId="14" borderId="92" xfId="0" applyNumberFormat="1" applyFont="1" applyFill="1" applyBorder="1" applyAlignment="1">
      <alignment horizontal="center"/>
    </xf>
    <xf numFmtId="168" fontId="21" fillId="14" borderId="97" xfId="0" applyNumberFormat="1" applyFont="1" applyFill="1" applyBorder="1" applyAlignment="1">
      <alignment horizontal="center"/>
    </xf>
    <xf numFmtId="168" fontId="30" fillId="14" borderId="92" xfId="0" applyNumberFormat="1" applyFont="1" applyFill="1" applyBorder="1" applyAlignment="1">
      <alignment horizontal="center"/>
    </xf>
    <xf numFmtId="168" fontId="30" fillId="14" borderId="97" xfId="0" applyNumberFormat="1" applyFont="1" applyFill="1" applyBorder="1" applyAlignment="1">
      <alignment horizontal="center"/>
    </xf>
    <xf numFmtId="0" fontId="0" fillId="0" borderId="103" xfId="0" applyBorder="1" applyAlignment="1">
      <alignment horizontal="center"/>
    </xf>
    <xf numFmtId="0" fontId="0" fillId="0" borderId="108" xfId="0" applyBorder="1" applyAlignment="1">
      <alignment horizontal="center"/>
    </xf>
    <xf numFmtId="0" fontId="6" fillId="6" borderId="176" xfId="0" applyFont="1" applyFill="1" applyBorder="1" applyAlignment="1" applyProtection="1">
      <alignment horizontal="left" vertical="top" wrapText="1"/>
      <protection locked="0"/>
    </xf>
    <xf numFmtId="0" fontId="6" fillId="6" borderId="51" xfId="0" applyFont="1" applyFill="1" applyBorder="1" applyAlignment="1" applyProtection="1">
      <alignment horizontal="left" vertical="top" wrapText="1"/>
      <protection locked="0"/>
    </xf>
    <xf numFmtId="0" fontId="6" fillId="6" borderId="177" xfId="0" applyFont="1" applyFill="1" applyBorder="1" applyAlignment="1" applyProtection="1">
      <alignment horizontal="left" vertical="top" wrapText="1"/>
      <protection locked="0"/>
    </xf>
    <xf numFmtId="0" fontId="6" fillId="6" borderId="44" xfId="0" applyFont="1" applyFill="1" applyBorder="1" applyAlignment="1" applyProtection="1">
      <alignment horizontal="left" vertical="top" wrapText="1"/>
      <protection locked="0"/>
    </xf>
    <xf numFmtId="0" fontId="6" fillId="6" borderId="0" xfId="0" applyFont="1" applyFill="1" applyBorder="1" applyAlignment="1" applyProtection="1">
      <alignment horizontal="left" vertical="top" wrapText="1"/>
      <protection locked="0"/>
    </xf>
    <xf numFmtId="0" fontId="6" fillId="6" borderId="178" xfId="0" applyFont="1" applyFill="1" applyBorder="1" applyAlignment="1" applyProtection="1">
      <alignment horizontal="left" vertical="top" wrapText="1"/>
      <protection locked="0"/>
    </xf>
    <xf numFmtId="0" fontId="6" fillId="6" borderId="165" xfId="0" applyFont="1" applyFill="1" applyBorder="1" applyAlignment="1" applyProtection="1">
      <alignment horizontal="left" vertical="top" wrapText="1"/>
      <protection locked="0"/>
    </xf>
    <xf numFmtId="0" fontId="6" fillId="6" borderId="113" xfId="0" applyFont="1" applyFill="1" applyBorder="1" applyAlignment="1" applyProtection="1">
      <alignment horizontal="left" vertical="top" wrapText="1"/>
      <protection locked="0"/>
    </xf>
    <xf numFmtId="0" fontId="6" fillId="6" borderId="166" xfId="0" applyFont="1" applyFill="1" applyBorder="1" applyAlignment="1" applyProtection="1">
      <alignment horizontal="left" vertical="top" wrapText="1"/>
      <protection locked="0"/>
    </xf>
    <xf numFmtId="0" fontId="9" fillId="12" borderId="92" xfId="0" applyFont="1" applyFill="1" applyBorder="1" applyAlignment="1">
      <alignment horizontal="center" wrapText="1"/>
    </xf>
    <xf numFmtId="0" fontId="9" fillId="12" borderId="97" xfId="0" applyFont="1" applyFill="1" applyBorder="1" applyAlignment="1">
      <alignment horizontal="center" wrapText="1"/>
    </xf>
    <xf numFmtId="0" fontId="9" fillId="12" borderId="102" xfId="0" applyFont="1" applyFill="1" applyBorder="1" applyAlignment="1">
      <alignment horizontal="center"/>
    </xf>
    <xf numFmtId="0" fontId="9" fillId="12" borderId="103" xfId="0" applyFont="1" applyFill="1" applyBorder="1" applyAlignment="1">
      <alignment horizontal="center"/>
    </xf>
    <xf numFmtId="0" fontId="6" fillId="12" borderId="106" xfId="0" applyFont="1" applyFill="1" applyBorder="1" applyAlignment="1">
      <alignment horizontal="center"/>
    </xf>
    <xf numFmtId="0" fontId="9" fillId="12" borderId="106" xfId="0" applyFont="1" applyFill="1" applyBorder="1" applyAlignment="1">
      <alignment horizontal="center"/>
    </xf>
    <xf numFmtId="0" fontId="9" fillId="12" borderId="91" xfId="0" applyFont="1" applyFill="1" applyBorder="1" applyAlignment="1">
      <alignment horizontal="center"/>
    </xf>
    <xf numFmtId="0" fontId="9" fillId="12" borderId="42" xfId="0" applyFont="1" applyFill="1" applyBorder="1" applyAlignment="1" applyProtection="1">
      <alignment horizontal="left"/>
    </xf>
    <xf numFmtId="0" fontId="9" fillId="12" borderId="27" xfId="0" applyFont="1" applyFill="1" applyBorder="1" applyAlignment="1" applyProtection="1">
      <alignment horizontal="left"/>
    </xf>
    <xf numFmtId="0" fontId="9" fillId="12" borderId="43" xfId="0" applyFont="1" applyFill="1" applyBorder="1" applyAlignment="1" applyProtection="1">
      <alignment horizontal="left"/>
    </xf>
    <xf numFmtId="0" fontId="9" fillId="12" borderId="182" xfId="0" applyFont="1" applyFill="1" applyBorder="1" applyAlignment="1" applyProtection="1">
      <alignment horizontal="left"/>
    </xf>
    <xf numFmtId="0" fontId="9" fillId="12" borderId="183" xfId="0" applyFont="1" applyFill="1" applyBorder="1" applyAlignment="1" applyProtection="1">
      <alignment horizontal="left"/>
    </xf>
    <xf numFmtId="0" fontId="9" fillId="12" borderId="184" xfId="0" applyFont="1" applyFill="1" applyBorder="1" applyAlignment="1" applyProtection="1">
      <alignment horizontal="left"/>
    </xf>
    <xf numFmtId="0" fontId="9" fillId="12" borderId="120" xfId="0" applyFont="1" applyFill="1" applyBorder="1" applyAlignment="1" applyProtection="1">
      <alignment horizontal="left"/>
    </xf>
    <xf numFmtId="0" fontId="9" fillId="12" borderId="1" xfId="0" applyFont="1" applyFill="1" applyBorder="1" applyAlignment="1" applyProtection="1">
      <alignment horizontal="left"/>
    </xf>
    <xf numFmtId="0" fontId="9" fillId="12" borderId="105" xfId="0" applyFont="1" applyFill="1" applyBorder="1" applyAlignment="1" applyProtection="1">
      <alignment horizontal="left"/>
    </xf>
    <xf numFmtId="0" fontId="9" fillId="6" borderId="42" xfId="0" applyFont="1" applyFill="1" applyBorder="1" applyAlignment="1" applyProtection="1">
      <alignment horizontal="left"/>
      <protection locked="0"/>
    </xf>
    <xf numFmtId="0" fontId="9" fillId="6" borderId="27" xfId="0" applyFont="1" applyFill="1" applyBorder="1" applyAlignment="1" applyProtection="1">
      <alignment horizontal="left"/>
      <protection locked="0"/>
    </xf>
    <xf numFmtId="0" fontId="9" fillId="6" borderId="43" xfId="0" applyFont="1" applyFill="1" applyBorder="1" applyAlignment="1" applyProtection="1">
      <alignment horizontal="left"/>
      <protection locked="0"/>
    </xf>
    <xf numFmtId="0" fontId="6" fillId="6" borderId="42" xfId="0" applyFont="1" applyFill="1" applyBorder="1" applyAlignment="1" applyProtection="1">
      <alignment horizontal="left"/>
      <protection locked="0"/>
    </xf>
    <xf numFmtId="0" fontId="21" fillId="12" borderId="111" xfId="0" applyFont="1" applyFill="1" applyBorder="1" applyAlignment="1" applyProtection="1">
      <alignment horizontal="left"/>
      <protection locked="0"/>
    </xf>
    <xf numFmtId="0" fontId="21" fillId="12" borderId="112" xfId="0" applyFont="1" applyFill="1" applyBorder="1" applyAlignment="1" applyProtection="1">
      <alignment horizontal="left"/>
      <protection locked="0"/>
    </xf>
    <xf numFmtId="0" fontId="21" fillId="12" borderId="104" xfId="0" applyFont="1" applyFill="1" applyBorder="1" applyAlignment="1" applyProtection="1">
      <alignment horizontal="left"/>
      <protection locked="0"/>
    </xf>
    <xf numFmtId="0" fontId="21" fillId="12" borderId="24" xfId="16" applyFont="1" applyFill="1" applyBorder="1" applyAlignment="1" applyProtection="1">
      <alignment horizontal="left"/>
    </xf>
    <xf numFmtId="0" fontId="21" fillId="12" borderId="113" xfId="16" applyFont="1" applyFill="1" applyBorder="1" applyAlignment="1" applyProtection="1">
      <alignment horizontal="left"/>
    </xf>
    <xf numFmtId="0" fontId="21" fillId="12" borderId="25" xfId="16" applyFont="1" applyFill="1" applyBorder="1" applyAlignment="1" applyProtection="1">
      <alignment horizontal="left"/>
    </xf>
    <xf numFmtId="0" fontId="6" fillId="6" borderId="111" xfId="0" applyFont="1" applyFill="1" applyBorder="1" applyAlignment="1" applyProtection="1">
      <alignment horizontal="left"/>
      <protection locked="0"/>
    </xf>
    <xf numFmtId="0" fontId="9" fillId="6" borderId="112" xfId="0" applyFont="1" applyFill="1" applyBorder="1" applyAlignment="1" applyProtection="1">
      <alignment horizontal="left"/>
      <protection locked="0"/>
    </xf>
    <xf numFmtId="0" fontId="9" fillId="6" borderId="104" xfId="0" applyFont="1" applyFill="1" applyBorder="1" applyAlignment="1" applyProtection="1">
      <alignment horizontal="left"/>
      <protection locked="0"/>
    </xf>
    <xf numFmtId="0" fontId="40" fillId="18" borderId="208" xfId="0" applyFont="1" applyFill="1" applyBorder="1" applyAlignment="1" applyProtection="1">
      <alignment horizontal="center"/>
    </xf>
    <xf numFmtId="0" fontId="40" fillId="18" borderId="209" xfId="0" applyFont="1" applyFill="1" applyBorder="1" applyAlignment="1" applyProtection="1">
      <alignment horizontal="center"/>
    </xf>
    <xf numFmtId="0" fontId="40" fillId="18" borderId="115" xfId="0" applyFont="1" applyFill="1" applyBorder="1" applyAlignment="1" applyProtection="1">
      <alignment horizontal="center"/>
    </xf>
    <xf numFmtId="0" fontId="113" fillId="18" borderId="59" xfId="0" applyFont="1" applyFill="1" applyBorder="1" applyAlignment="1" applyProtection="1">
      <alignment horizontal="left" vertical="center" wrapText="1"/>
    </xf>
    <xf numFmtId="0" fontId="113" fillId="18" borderId="0" xfId="0" applyFont="1" applyFill="1" applyBorder="1" applyAlignment="1" applyProtection="1">
      <alignment horizontal="left" vertical="center" wrapText="1"/>
    </xf>
    <xf numFmtId="0" fontId="113" fillId="18" borderId="60" xfId="0" applyFont="1" applyFill="1" applyBorder="1" applyAlignment="1" applyProtection="1">
      <alignment horizontal="left" vertical="center" wrapText="1"/>
    </xf>
    <xf numFmtId="0" fontId="113" fillId="18" borderId="277" xfId="0" applyFont="1" applyFill="1" applyBorder="1" applyAlignment="1" applyProtection="1">
      <alignment horizontal="left" vertical="center" wrapText="1"/>
    </xf>
    <xf numFmtId="0" fontId="113" fillId="18" borderId="261" xfId="0" applyFont="1" applyFill="1" applyBorder="1" applyAlignment="1" applyProtection="1">
      <alignment horizontal="left" vertical="center" wrapText="1"/>
    </xf>
    <xf numFmtId="0" fontId="113" fillId="18" borderId="278" xfId="0" applyFont="1" applyFill="1" applyBorder="1" applyAlignment="1" applyProtection="1">
      <alignment horizontal="left" vertical="center" wrapText="1"/>
    </xf>
    <xf numFmtId="0" fontId="9" fillId="6" borderId="111" xfId="0" applyFont="1" applyFill="1" applyBorder="1" applyAlignment="1" applyProtection="1">
      <alignment horizontal="left"/>
      <protection locked="0"/>
    </xf>
    <xf numFmtId="0" fontId="9" fillId="6" borderId="179" xfId="0" applyFont="1" applyFill="1" applyBorder="1" applyAlignment="1" applyProtection="1">
      <alignment horizontal="left"/>
      <protection locked="0"/>
    </xf>
    <xf numFmtId="0" fontId="9" fillId="6" borderId="180" xfId="0" applyFont="1" applyFill="1" applyBorder="1" applyAlignment="1" applyProtection="1">
      <alignment horizontal="left"/>
      <protection locked="0"/>
    </xf>
    <xf numFmtId="0" fontId="9" fillId="6" borderId="181" xfId="0" applyFont="1" applyFill="1" applyBorder="1" applyAlignment="1" applyProtection="1">
      <alignment horizontal="left"/>
      <protection locked="0"/>
    </xf>
    <xf numFmtId="0" fontId="6" fillId="6" borderId="179" xfId="0" applyFont="1" applyFill="1" applyBorder="1" applyAlignment="1" applyProtection="1">
      <alignment horizontal="left"/>
      <protection locked="0"/>
    </xf>
    <xf numFmtId="0" fontId="9" fillId="12" borderId="50" xfId="0" applyFont="1" applyFill="1" applyBorder="1" applyAlignment="1" applyProtection="1">
      <alignment horizontal="left"/>
    </xf>
    <xf numFmtId="0" fontId="9" fillId="12" borderId="51" xfId="0" applyFont="1" applyFill="1" applyBorder="1" applyAlignment="1" applyProtection="1">
      <alignment horizontal="left"/>
    </xf>
    <xf numFmtId="0" fontId="9" fillId="12" borderId="56" xfId="0" applyFont="1" applyFill="1" applyBorder="1" applyAlignment="1" applyProtection="1">
      <alignment horizontal="left"/>
    </xf>
    <xf numFmtId="0" fontId="6" fillId="12" borderId="112" xfId="16" applyFont="1" applyFill="1" applyBorder="1" applyProtection="1"/>
    <xf numFmtId="175" fontId="37" fillId="12" borderId="110" xfId="0" applyNumberFormat="1" applyFont="1" applyFill="1" applyBorder="1" applyAlignment="1" applyProtection="1">
      <alignment horizontal="center"/>
    </xf>
    <xf numFmtId="175" fontId="37" fillId="12" borderId="13" xfId="0" applyNumberFormat="1" applyFont="1" applyFill="1" applyBorder="1" applyAlignment="1" applyProtection="1">
      <alignment horizontal="center"/>
    </xf>
    <xf numFmtId="0" fontId="6" fillId="12" borderId="29" xfId="0" applyFont="1" applyFill="1" applyBorder="1" applyAlignment="1" applyProtection="1">
      <alignment horizontal="center"/>
    </xf>
    <xf numFmtId="0" fontId="6" fillId="12" borderId="26" xfId="0" applyFont="1" applyFill="1" applyBorder="1" applyAlignment="1" applyProtection="1">
      <alignment horizontal="center"/>
    </xf>
    <xf numFmtId="0" fontId="6" fillId="12" borderId="27" xfId="0" applyFont="1" applyFill="1" applyBorder="1" applyAlignment="1" applyProtection="1">
      <alignment horizontal="center"/>
    </xf>
    <xf numFmtId="0" fontId="6" fillId="12" borderId="28" xfId="0" applyFont="1" applyFill="1" applyBorder="1" applyAlignment="1" applyProtection="1">
      <alignment horizontal="center"/>
    </xf>
    <xf numFmtId="0" fontId="6" fillId="12" borderId="45" xfId="0" applyFont="1" applyFill="1" applyBorder="1" applyAlignment="1" applyProtection="1">
      <alignment horizontal="center"/>
    </xf>
    <xf numFmtId="0" fontId="6" fillId="12" borderId="198" xfId="0" applyFont="1" applyFill="1" applyBorder="1" applyAlignment="1" applyProtection="1">
      <alignment horizontal="center"/>
    </xf>
    <xf numFmtId="0" fontId="6" fillId="12" borderId="204" xfId="0" applyFont="1" applyFill="1" applyBorder="1" applyAlignment="1" applyProtection="1">
      <alignment horizontal="center"/>
    </xf>
    <xf numFmtId="6" fontId="22" fillId="0" borderId="29" xfId="0" applyNumberFormat="1" applyFont="1" applyBorder="1" applyAlignment="1" applyProtection="1">
      <alignment horizontal="center"/>
    </xf>
    <xf numFmtId="0" fontId="22" fillId="0" borderId="29" xfId="0" applyFont="1" applyBorder="1" applyAlignment="1" applyProtection="1">
      <alignment horizontal="center"/>
    </xf>
    <xf numFmtId="0" fontId="9" fillId="21" borderId="42" xfId="16" applyFont="1" applyFill="1" applyBorder="1" applyProtection="1">
      <protection locked="0"/>
    </xf>
    <xf numFmtId="0" fontId="9" fillId="21" borderId="204" xfId="16" applyFont="1" applyFill="1" applyBorder="1" applyProtection="1">
      <protection locked="0"/>
    </xf>
    <xf numFmtId="0" fontId="9" fillId="21" borderId="205" xfId="16" applyFont="1" applyFill="1" applyBorder="1" applyProtection="1">
      <protection locked="0"/>
    </xf>
    <xf numFmtId="0" fontId="6" fillId="21" borderId="42" xfId="16" applyFont="1" applyFill="1" applyBorder="1" applyProtection="1">
      <protection locked="0"/>
    </xf>
    <xf numFmtId="0" fontId="21" fillId="12" borderId="42" xfId="0" applyFont="1" applyFill="1" applyBorder="1" applyProtection="1"/>
    <xf numFmtId="0" fontId="21" fillId="12" borderId="43" xfId="0" applyFont="1" applyFill="1" applyBorder="1" applyProtection="1"/>
    <xf numFmtId="49" fontId="21" fillId="6" borderId="0" xfId="0" applyNumberFormat="1" applyFont="1" applyFill="1" applyBorder="1" applyAlignment="1" applyProtection="1">
      <alignment horizontal="left" vertical="top"/>
      <protection locked="0"/>
    </xf>
    <xf numFmtId="49" fontId="9" fillId="6" borderId="0" xfId="0" applyNumberFormat="1" applyFont="1" applyFill="1" applyBorder="1" applyAlignment="1" applyProtection="1">
      <alignment horizontal="left" vertical="top"/>
      <protection locked="0"/>
    </xf>
    <xf numFmtId="0" fontId="124" fillId="12" borderId="110" xfId="0" applyFont="1" applyFill="1" applyBorder="1"/>
    <xf numFmtId="0" fontId="9" fillId="12" borderId="27" xfId="16" applyFont="1" applyFill="1" applyBorder="1"/>
    <xf numFmtId="0" fontId="9" fillId="12" borderId="43" xfId="16" applyFont="1" applyFill="1" applyBorder="1"/>
    <xf numFmtId="0" fontId="9" fillId="12" borderId="27" xfId="0" applyFont="1" applyFill="1" applyBorder="1" applyAlignment="1">
      <alignment horizontal="center"/>
    </xf>
    <xf numFmtId="0" fontId="9" fillId="12" borderId="43" xfId="0" applyFont="1" applyFill="1" applyBorder="1" applyAlignment="1">
      <alignment horizontal="center"/>
    </xf>
    <xf numFmtId="0" fontId="9" fillId="12" borderId="42" xfId="0" applyFont="1" applyFill="1" applyBorder="1" applyAlignment="1" applyProtection="1">
      <alignment horizontal="center"/>
    </xf>
    <xf numFmtId="0" fontId="9" fillId="12" borderId="43" xfId="0" applyFont="1" applyFill="1" applyBorder="1" applyAlignment="1" applyProtection="1">
      <alignment horizontal="center"/>
    </xf>
    <xf numFmtId="0" fontId="9" fillId="12" borderId="27" xfId="16" applyFont="1" applyFill="1" applyBorder="1" applyAlignment="1">
      <alignment horizontal="center"/>
    </xf>
    <xf numFmtId="0" fontId="9" fillId="12" borderId="43" xfId="16" applyFont="1" applyFill="1" applyBorder="1" applyAlignment="1">
      <alignment horizontal="center"/>
    </xf>
    <xf numFmtId="0" fontId="6" fillId="12" borderId="42" xfId="0" applyFont="1" applyFill="1" applyBorder="1" applyAlignment="1">
      <alignment horizontal="left"/>
    </xf>
    <xf numFmtId="0" fontId="6" fillId="12" borderId="204" xfId="0" applyFont="1" applyFill="1" applyBorder="1" applyAlignment="1">
      <alignment horizontal="left"/>
    </xf>
    <xf numFmtId="0" fontId="6" fillId="12" borderId="205" xfId="0" applyFont="1" applyFill="1" applyBorder="1" applyAlignment="1">
      <alignment horizontal="left"/>
    </xf>
    <xf numFmtId="0" fontId="6" fillId="6" borderId="42" xfId="16" applyFont="1" applyFill="1" applyBorder="1" applyProtection="1">
      <protection locked="0"/>
    </xf>
    <xf numFmtId="0" fontId="6" fillId="6" borderId="204" xfId="16" applyFont="1" applyFill="1" applyBorder="1" applyProtection="1">
      <protection locked="0"/>
    </xf>
    <xf numFmtId="0" fontId="6" fillId="6" borderId="205" xfId="16" applyFont="1" applyFill="1" applyBorder="1" applyProtection="1">
      <protection locked="0"/>
    </xf>
    <xf numFmtId="0" fontId="9" fillId="6" borderId="42" xfId="16" applyFont="1" applyFill="1" applyBorder="1" applyProtection="1">
      <protection locked="0"/>
    </xf>
    <xf numFmtId="0" fontId="9" fillId="6" borderId="204" xfId="16" applyFont="1" applyFill="1" applyBorder="1" applyProtection="1">
      <protection locked="0"/>
    </xf>
    <xf numFmtId="0" fontId="9" fillId="6" borderId="205" xfId="16" applyFont="1" applyFill="1" applyBorder="1" applyProtection="1">
      <protection locked="0"/>
    </xf>
    <xf numFmtId="0" fontId="74" fillId="12" borderId="42" xfId="0" applyFont="1" applyFill="1" applyBorder="1" applyAlignment="1">
      <alignment horizontal="center"/>
    </xf>
    <xf numFmtId="0" fontId="74" fillId="12" borderId="27" xfId="0" applyFont="1" applyFill="1" applyBorder="1" applyAlignment="1">
      <alignment horizontal="center"/>
    </xf>
    <xf numFmtId="0" fontId="74" fillId="12" borderId="43" xfId="0" applyFont="1" applyFill="1" applyBorder="1" applyAlignment="1">
      <alignment horizontal="center"/>
    </xf>
    <xf numFmtId="175" fontId="72" fillId="12" borderId="0" xfId="0" applyNumberFormat="1" applyFont="1" applyFill="1" applyBorder="1" applyAlignment="1" applyProtection="1">
      <alignment horizontal="center"/>
    </xf>
    <xf numFmtId="0" fontId="24" fillId="12" borderId="118" xfId="0" applyFont="1" applyFill="1" applyBorder="1"/>
    <xf numFmtId="0" fontId="24" fillId="12" borderId="119" xfId="0" applyFont="1" applyFill="1" applyBorder="1"/>
    <xf numFmtId="0" fontId="24" fillId="12" borderId="185" xfId="0" applyFont="1" applyFill="1" applyBorder="1"/>
    <xf numFmtId="0" fontId="19" fillId="12" borderId="0" xfId="16" applyFont="1" applyFill="1" applyBorder="1" applyAlignment="1">
      <alignment horizontal="left"/>
    </xf>
    <xf numFmtId="0" fontId="7" fillId="0" borderId="0" xfId="0" applyFont="1" applyAlignment="1">
      <alignment horizontal="center" wrapText="1"/>
    </xf>
    <xf numFmtId="175" fontId="37" fillId="0" borderId="0" xfId="0" applyNumberFormat="1" applyFont="1" applyBorder="1" applyAlignment="1" applyProtection="1">
      <alignment horizontal="center" wrapText="1"/>
    </xf>
    <xf numFmtId="6" fontId="22" fillId="0" borderId="10" xfId="0" applyNumberFormat="1" applyFont="1" applyBorder="1" applyAlignment="1">
      <alignment horizontal="center"/>
    </xf>
    <xf numFmtId="6" fontId="22" fillId="0" borderId="17" xfId="0" applyNumberFormat="1" applyFont="1" applyBorder="1" applyAlignment="1">
      <alignment horizontal="center"/>
    </xf>
    <xf numFmtId="40" fontId="22" fillId="0" borderId="10" xfId="0" applyNumberFormat="1" applyFont="1" applyBorder="1" applyAlignment="1">
      <alignment horizontal="center"/>
    </xf>
    <xf numFmtId="40" fontId="22" fillId="0" borderId="17" xfId="0" applyNumberFormat="1" applyFont="1" applyBorder="1" applyAlignment="1">
      <alignment horizontal="center"/>
    </xf>
    <xf numFmtId="9" fontId="22" fillId="0" borderId="10" xfId="0" applyNumberFormat="1" applyFont="1" applyBorder="1" applyAlignment="1">
      <alignment horizontal="center"/>
    </xf>
    <xf numFmtId="9" fontId="22" fillId="0" borderId="17" xfId="0" applyNumberFormat="1" applyFont="1" applyBorder="1" applyAlignment="1">
      <alignment horizontal="center"/>
    </xf>
    <xf numFmtId="38" fontId="22" fillId="0" borderId="10" xfId="0" applyNumberFormat="1" applyFont="1" applyBorder="1" applyAlignment="1">
      <alignment horizontal="center"/>
    </xf>
    <xf numFmtId="38" fontId="22" fillId="0" borderId="17" xfId="0" applyNumberFormat="1" applyFont="1" applyBorder="1" applyAlignment="1">
      <alignment horizontal="center"/>
    </xf>
    <xf numFmtId="0" fontId="33" fillId="3" borderId="19" xfId="0" applyFont="1" applyFill="1" applyBorder="1" applyAlignment="1">
      <alignment horizontal="left" wrapText="1"/>
    </xf>
    <xf numFmtId="0" fontId="33" fillId="3" borderId="20" xfId="0" applyFont="1" applyFill="1" applyBorder="1" applyAlignment="1">
      <alignment horizontal="left" wrapText="1"/>
    </xf>
    <xf numFmtId="0" fontId="88" fillId="22" borderId="128" xfId="0" applyFont="1" applyFill="1" applyBorder="1" applyAlignment="1">
      <alignment vertical="center" wrapText="1"/>
    </xf>
    <xf numFmtId="0" fontId="88" fillId="22" borderId="82" xfId="0" applyFont="1" applyFill="1" applyBorder="1" applyAlignment="1">
      <alignment vertical="center" wrapText="1"/>
    </xf>
    <xf numFmtId="0" fontId="88" fillId="22" borderId="200" xfId="0" applyFont="1" applyFill="1" applyBorder="1" applyAlignment="1">
      <alignment vertical="center" wrapText="1"/>
    </xf>
    <xf numFmtId="0" fontId="13" fillId="12" borderId="26" xfId="0" applyFont="1" applyFill="1" applyBorder="1" applyProtection="1"/>
    <xf numFmtId="0" fontId="13" fillId="12" borderId="27" xfId="0" applyFont="1" applyFill="1" applyBorder="1" applyProtection="1"/>
    <xf numFmtId="0" fontId="13" fillId="12" borderId="28" xfId="0" applyFont="1" applyFill="1" applyBorder="1" applyProtection="1"/>
    <xf numFmtId="0" fontId="18" fillId="12" borderId="26" xfId="0" applyFont="1" applyFill="1" applyBorder="1" applyAlignment="1" applyProtection="1">
      <alignment horizontal="left"/>
    </xf>
    <xf numFmtId="0" fontId="18" fillId="12" borderId="27" xfId="0" applyFont="1" applyFill="1" applyBorder="1" applyAlignment="1" applyProtection="1">
      <alignment horizontal="left"/>
    </xf>
    <xf numFmtId="0" fontId="18" fillId="12" borderId="28" xfId="0" applyFont="1" applyFill="1" applyBorder="1" applyAlignment="1" applyProtection="1">
      <alignment horizontal="left"/>
    </xf>
    <xf numFmtId="0" fontId="18" fillId="12" borderId="26" xfId="0" applyFont="1" applyFill="1" applyBorder="1" applyProtection="1"/>
    <xf numFmtId="0" fontId="18" fillId="12" borderId="27" xfId="0" applyFont="1" applyFill="1" applyBorder="1" applyProtection="1"/>
    <xf numFmtId="0" fontId="18" fillId="12" borderId="28" xfId="0" applyFont="1" applyFill="1" applyBorder="1" applyProtection="1"/>
    <xf numFmtId="0" fontId="21" fillId="12" borderId="19" xfId="0" applyFont="1" applyFill="1" applyBorder="1" applyAlignment="1" applyProtection="1">
      <alignment horizontal="left"/>
    </xf>
    <xf numFmtId="0" fontId="21" fillId="12" borderId="122" xfId="0" applyFont="1" applyFill="1" applyBorder="1" applyAlignment="1" applyProtection="1">
      <alignment horizontal="left"/>
    </xf>
    <xf numFmtId="0" fontId="21" fillId="12" borderId="20" xfId="0" applyFont="1" applyFill="1" applyBorder="1" applyAlignment="1" applyProtection="1">
      <alignment horizontal="left"/>
    </xf>
    <xf numFmtId="0" fontId="9" fillId="12" borderId="202" xfId="0" applyFont="1" applyFill="1" applyBorder="1" applyAlignment="1" applyProtection="1">
      <alignment horizontal="center"/>
    </xf>
    <xf numFmtId="0" fontId="9" fillId="12" borderId="110" xfId="0" applyFont="1" applyFill="1" applyBorder="1" applyProtection="1"/>
    <xf numFmtId="175" fontId="37" fillId="12" borderId="0" xfId="14" applyNumberFormat="1" applyFont="1" applyFill="1" applyBorder="1" applyAlignment="1" applyProtection="1">
      <alignment horizontal="center"/>
    </xf>
    <xf numFmtId="0" fontId="64" fillId="12" borderId="189" xfId="14" applyFont="1" applyFill="1" applyBorder="1" applyAlignment="1">
      <alignment vertical="top" wrapText="1"/>
    </xf>
    <xf numFmtId="0" fontId="64" fillId="12" borderId="167" xfId="14" applyFont="1" applyFill="1" applyBorder="1" applyAlignment="1">
      <alignment vertical="top" wrapText="1"/>
    </xf>
    <xf numFmtId="0" fontId="64" fillId="12" borderId="168" xfId="14" applyFont="1" applyFill="1" applyBorder="1" applyAlignment="1">
      <alignment vertical="top" wrapText="1"/>
    </xf>
    <xf numFmtId="0" fontId="44" fillId="12" borderId="42" xfId="14" applyFont="1" applyFill="1" applyBorder="1" applyAlignment="1">
      <alignment vertical="center" wrapText="1"/>
    </xf>
    <xf numFmtId="0" fontId="53" fillId="12" borderId="27" xfId="14" applyFont="1" applyFill="1" applyBorder="1" applyAlignment="1">
      <alignment vertical="center" wrapText="1"/>
    </xf>
    <xf numFmtId="0" fontId="54" fillId="12" borderId="42" xfId="14" applyFont="1" applyFill="1" applyBorder="1" applyAlignment="1">
      <alignment vertical="center" wrapText="1"/>
    </xf>
    <xf numFmtId="0" fontId="54" fillId="12" borderId="27" xfId="14" applyFont="1" applyFill="1" applyBorder="1" applyAlignment="1">
      <alignment vertical="center" wrapText="1"/>
    </xf>
    <xf numFmtId="0" fontId="54" fillId="12" borderId="28" xfId="14" applyFont="1" applyFill="1" applyBorder="1" applyAlignment="1">
      <alignment vertical="center" wrapText="1"/>
    </xf>
    <xf numFmtId="0" fontId="53" fillId="12" borderId="42" xfId="14" applyFont="1" applyFill="1" applyBorder="1" applyAlignment="1">
      <alignment horizontal="justify"/>
    </xf>
    <xf numFmtId="0" fontId="53" fillId="12" borderId="27" xfId="14" applyFont="1" applyFill="1" applyBorder="1" applyAlignment="1">
      <alignment horizontal="justify"/>
    </xf>
    <xf numFmtId="0" fontId="83" fillId="12" borderId="27" xfId="14" applyFill="1" applyBorder="1" applyAlignment="1">
      <alignment vertical="center" wrapText="1"/>
    </xf>
    <xf numFmtId="0" fontId="53" fillId="12" borderId="42" xfId="14" applyFont="1" applyFill="1" applyBorder="1" applyAlignment="1">
      <alignment wrapText="1"/>
    </xf>
    <xf numFmtId="0" fontId="83" fillId="12" borderId="27" xfId="14" applyFill="1" applyBorder="1" applyAlignment="1">
      <alignment wrapText="1"/>
    </xf>
    <xf numFmtId="0" fontId="44" fillId="12" borderId="42" xfId="14" applyFont="1" applyFill="1" applyBorder="1" applyAlignment="1">
      <alignment wrapText="1"/>
    </xf>
    <xf numFmtId="0" fontId="54" fillId="12" borderId="42" xfId="14" applyFont="1" applyFill="1" applyBorder="1" applyAlignment="1">
      <alignment horizontal="justify"/>
    </xf>
    <xf numFmtId="0" fontId="54" fillId="12" borderId="27" xfId="14" applyFont="1" applyFill="1" applyBorder="1" applyAlignment="1">
      <alignment horizontal="justify"/>
    </xf>
    <xf numFmtId="0" fontId="54" fillId="12" borderId="27" xfId="14" applyFont="1" applyFill="1" applyBorder="1" applyAlignment="1">
      <alignment wrapText="1"/>
    </xf>
    <xf numFmtId="0" fontId="58" fillId="12" borderId="42" xfId="14" applyFont="1" applyFill="1" applyBorder="1" applyAlignment="1">
      <alignment horizontal="justify" vertical="center"/>
    </xf>
    <xf numFmtId="0" fontId="54" fillId="12" borderId="27" xfId="14" applyFont="1" applyFill="1" applyBorder="1" applyAlignment="1">
      <alignment horizontal="justify" vertical="center"/>
    </xf>
    <xf numFmtId="0" fontId="54" fillId="12" borderId="27" xfId="0" applyFont="1" applyFill="1" applyBorder="1" applyAlignment="1">
      <alignment vertical="center" wrapText="1"/>
    </xf>
    <xf numFmtId="0" fontId="54" fillId="12" borderId="28" xfId="0" applyFont="1" applyFill="1" applyBorder="1" applyAlignment="1">
      <alignment vertical="center" wrapText="1"/>
    </xf>
    <xf numFmtId="0" fontId="54" fillId="12" borderId="27" xfId="0" applyFont="1" applyFill="1" applyBorder="1" applyAlignment="1">
      <alignment vertical="center"/>
    </xf>
    <xf numFmtId="0" fontId="54" fillId="12" borderId="28" xfId="0" applyFont="1" applyFill="1" applyBorder="1" applyAlignment="1">
      <alignment vertical="center"/>
    </xf>
    <xf numFmtId="0" fontId="54" fillId="12" borderId="42" xfId="14" applyFont="1" applyFill="1" applyBorder="1" applyAlignment="1">
      <alignment horizontal="justify" vertical="center"/>
    </xf>
    <xf numFmtId="0" fontId="54" fillId="12" borderId="42" xfId="14" applyFont="1" applyFill="1" applyBorder="1" applyAlignment="1">
      <alignment wrapText="1"/>
    </xf>
    <xf numFmtId="0" fontId="53" fillId="12" borderId="27" xfId="14" applyFont="1" applyFill="1" applyBorder="1" applyAlignment="1">
      <alignment wrapText="1"/>
    </xf>
    <xf numFmtId="0" fontId="58" fillId="12" borderId="42" xfId="14" applyFont="1" applyFill="1" applyBorder="1" applyAlignment="1">
      <alignment vertical="center" wrapText="1"/>
    </xf>
    <xf numFmtId="0" fontId="53" fillId="12" borderId="42" xfId="14" applyFont="1" applyFill="1" applyBorder="1" applyAlignment="1">
      <alignment horizontal="justify" vertical="center" wrapText="1"/>
    </xf>
    <xf numFmtId="0" fontId="83" fillId="12" borderId="27" xfId="14" applyFill="1" applyBorder="1" applyAlignment="1">
      <alignment horizontal="justify" vertical="center" wrapText="1"/>
    </xf>
    <xf numFmtId="0" fontId="53" fillId="12" borderId="42" xfId="14" applyFont="1" applyFill="1" applyBorder="1" applyAlignment="1">
      <alignment horizontal="justify" vertical="center"/>
    </xf>
    <xf numFmtId="0" fontId="83" fillId="12" borderId="27" xfId="14" applyFill="1" applyBorder="1" applyAlignment="1">
      <alignment horizontal="justify" vertical="center"/>
    </xf>
    <xf numFmtId="0" fontId="44" fillId="12" borderId="42" xfId="14" applyFont="1" applyFill="1" applyBorder="1" applyAlignment="1">
      <alignment horizontal="justify"/>
    </xf>
    <xf numFmtId="0" fontId="0" fillId="14" borderId="51" xfId="0" applyFill="1" applyBorder="1" applyAlignment="1"/>
    <xf numFmtId="0" fontId="0" fillId="14" borderId="113" xfId="0" applyFill="1" applyBorder="1" applyAlignment="1"/>
    <xf numFmtId="0" fontId="0" fillId="14" borderId="56" xfId="0" applyFill="1" applyBorder="1"/>
    <xf numFmtId="0" fontId="0" fillId="14" borderId="25" xfId="0" applyFill="1" applyBorder="1"/>
    <xf numFmtId="0" fontId="45" fillId="12" borderId="51" xfId="0" applyFont="1" applyFill="1" applyBorder="1" applyAlignment="1">
      <alignment horizontal="right" wrapText="1"/>
    </xf>
    <xf numFmtId="0" fontId="45" fillId="12" borderId="113" xfId="0" applyFont="1" applyFill="1" applyBorder="1" applyAlignment="1">
      <alignment horizontal="right" wrapText="1"/>
    </xf>
    <xf numFmtId="0" fontId="53" fillId="12" borderId="42" xfId="14" applyFont="1" applyFill="1" applyBorder="1" applyAlignment="1">
      <alignment vertical="center" wrapText="1"/>
    </xf>
    <xf numFmtId="0" fontId="66" fillId="12" borderId="27" xfId="14" applyFont="1" applyFill="1" applyBorder="1" applyAlignment="1">
      <alignment vertical="center" wrapText="1"/>
    </xf>
    <xf numFmtId="0" fontId="54" fillId="12" borderId="28" xfId="0" applyFont="1" applyFill="1" applyBorder="1" applyAlignment="1">
      <alignment horizontal="justify"/>
    </xf>
    <xf numFmtId="0" fontId="54" fillId="12" borderId="29" xfId="0" applyFont="1" applyFill="1" applyBorder="1" applyAlignment="1">
      <alignment horizontal="justify"/>
    </xf>
    <xf numFmtId="0" fontId="0" fillId="12" borderId="26" xfId="0" applyFill="1" applyBorder="1" applyAlignment="1">
      <alignment horizontal="center"/>
    </xf>
    <xf numFmtId="0" fontId="0" fillId="12" borderId="43" xfId="0" applyFill="1" applyBorder="1" applyAlignment="1">
      <alignment horizontal="center"/>
    </xf>
    <xf numFmtId="0" fontId="53" fillId="12" borderId="111" xfId="14" applyFont="1" applyFill="1" applyBorder="1" applyAlignment="1">
      <alignment vertical="center" wrapText="1"/>
    </xf>
    <xf numFmtId="0" fontId="83" fillId="12" borderId="112" xfId="14" applyFill="1" applyBorder="1" applyAlignment="1">
      <alignment vertical="center" wrapText="1"/>
    </xf>
    <xf numFmtId="0" fontId="58" fillId="12" borderId="42" xfId="14" applyFont="1" applyFill="1" applyBorder="1" applyAlignment="1">
      <alignment vertical="center"/>
    </xf>
    <xf numFmtId="0" fontId="54" fillId="12" borderId="27" xfId="14" applyFont="1" applyFill="1" applyBorder="1" applyAlignment="1">
      <alignment vertical="center"/>
    </xf>
    <xf numFmtId="0" fontId="54" fillId="12" borderId="42" xfId="14" applyFont="1" applyFill="1" applyBorder="1" applyAlignment="1"/>
    <xf numFmtId="0" fontId="54" fillId="12" borderId="27" xfId="14" applyFont="1" applyFill="1" applyBorder="1" applyAlignment="1"/>
    <xf numFmtId="0" fontId="53" fillId="12" borderId="28" xfId="14" applyFont="1" applyFill="1" applyBorder="1" applyAlignment="1">
      <alignment wrapText="1"/>
    </xf>
    <xf numFmtId="0" fontId="54" fillId="12" borderId="42" xfId="0" applyFont="1" applyFill="1" applyBorder="1" applyAlignment="1">
      <alignment horizontal="justify" vertical="center"/>
    </xf>
    <xf numFmtId="0" fontId="0" fillId="12" borderId="27" xfId="0" applyFill="1" applyBorder="1" applyAlignment="1">
      <alignment horizontal="justify" vertical="center"/>
    </xf>
    <xf numFmtId="0" fontId="0" fillId="12" borderId="27" xfId="0" applyFill="1" applyBorder="1" applyAlignment="1">
      <alignment horizontal="center" wrapText="1"/>
    </xf>
    <xf numFmtId="0" fontId="0" fillId="12" borderId="43" xfId="0" applyFill="1" applyBorder="1" applyAlignment="1">
      <alignment horizontal="center" wrapText="1"/>
    </xf>
    <xf numFmtId="0" fontId="58" fillId="12" borderId="42" xfId="14" applyFont="1" applyFill="1" applyBorder="1" applyAlignment="1">
      <alignment wrapText="1"/>
    </xf>
    <xf numFmtId="0" fontId="0" fillId="12" borderId="27" xfId="0" applyFill="1" applyBorder="1" applyAlignment="1">
      <alignment wrapText="1"/>
    </xf>
    <xf numFmtId="0" fontId="44" fillId="12" borderId="42" xfId="0" applyFont="1" applyFill="1" applyBorder="1" applyAlignment="1">
      <alignment horizontal="justify" vertical="center" wrapText="1"/>
    </xf>
    <xf numFmtId="0" fontId="60" fillId="12" borderId="27" xfId="0" applyFont="1" applyFill="1" applyBorder="1" applyAlignment="1">
      <alignment horizontal="justify" vertical="center" wrapText="1"/>
    </xf>
    <xf numFmtId="0" fontId="54" fillId="12" borderId="42" xfId="0" applyFont="1" applyFill="1" applyBorder="1" applyAlignment="1">
      <alignment vertical="center" wrapText="1"/>
    </xf>
    <xf numFmtId="0" fontId="6" fillId="12" borderId="27" xfId="0" applyFont="1" applyFill="1" applyBorder="1" applyAlignment="1">
      <alignment vertical="center" wrapText="1"/>
    </xf>
    <xf numFmtId="0" fontId="6" fillId="12" borderId="28" xfId="0" applyFont="1" applyFill="1" applyBorder="1" applyAlignment="1">
      <alignment vertical="center" wrapText="1"/>
    </xf>
    <xf numFmtId="0" fontId="53" fillId="12" borderId="27" xfId="14" applyFont="1" applyFill="1" applyBorder="1" applyAlignment="1">
      <alignment horizontal="justify" vertical="center"/>
    </xf>
    <xf numFmtId="0" fontId="58" fillId="12" borderId="42" xfId="14" applyFont="1" applyFill="1" applyBorder="1" applyAlignment="1">
      <alignment horizontal="justify"/>
    </xf>
    <xf numFmtId="0" fontId="57" fillId="12" borderId="42" xfId="14" applyFont="1" applyFill="1" applyBorder="1" applyAlignment="1">
      <alignment horizontal="justify"/>
    </xf>
    <xf numFmtId="0" fontId="57" fillId="12" borderId="27" xfId="14" applyFont="1" applyFill="1" applyBorder="1" applyAlignment="1">
      <alignment horizontal="justify"/>
    </xf>
    <xf numFmtId="0" fontId="53" fillId="12" borderId="28" xfId="14" applyFont="1" applyFill="1" applyBorder="1" applyAlignment="1">
      <alignment horizontal="justify" vertical="center"/>
    </xf>
    <xf numFmtId="0" fontId="56" fillId="12" borderId="27" xfId="14" applyFont="1" applyFill="1" applyBorder="1" applyAlignment="1">
      <alignment horizontal="justify"/>
    </xf>
    <xf numFmtId="0" fontId="59" fillId="12" borderId="27" xfId="14" applyFont="1" applyFill="1" applyBorder="1" applyAlignment="1">
      <alignment horizontal="justify"/>
    </xf>
    <xf numFmtId="0" fontId="83" fillId="12" borderId="27" xfId="14" applyFill="1" applyBorder="1" applyAlignment="1">
      <alignment horizontal="justify"/>
    </xf>
    <xf numFmtId="0" fontId="53" fillId="12" borderId="43" xfId="14" applyFont="1" applyFill="1" applyBorder="1" applyAlignment="1">
      <alignment horizontal="justify" vertical="center"/>
    </xf>
    <xf numFmtId="0" fontId="0" fillId="12" borderId="203" xfId="0" applyNumberFormat="1" applyFill="1" applyBorder="1" applyAlignment="1">
      <alignment horizontal="center"/>
    </xf>
    <xf numFmtId="0" fontId="6" fillId="12" borderId="31" xfId="0" applyFont="1" applyFill="1" applyBorder="1" applyAlignment="1">
      <alignment horizontal="center" wrapText="1"/>
    </xf>
    <xf numFmtId="0" fontId="6" fillId="12" borderId="186" xfId="0" applyFont="1" applyFill="1" applyBorder="1" applyAlignment="1">
      <alignment horizontal="center" wrapText="1"/>
    </xf>
    <xf numFmtId="0" fontId="6" fillId="12" borderId="187" xfId="0" applyFont="1" applyFill="1" applyBorder="1" applyAlignment="1">
      <alignment horizontal="center" wrapText="1"/>
    </xf>
    <xf numFmtId="14" fontId="6" fillId="12" borderId="186" xfId="0" applyNumberFormat="1" applyFont="1" applyFill="1" applyBorder="1" applyAlignment="1">
      <alignment horizontal="center" wrapText="1"/>
    </xf>
    <xf numFmtId="14" fontId="6" fillId="12" borderId="187" xfId="0" applyNumberFormat="1" applyFont="1" applyFill="1" applyBorder="1" applyAlignment="1">
      <alignment horizontal="center" wrapText="1"/>
    </xf>
    <xf numFmtId="0" fontId="40" fillId="12" borderId="188" xfId="0" applyFont="1" applyFill="1" applyBorder="1" applyAlignment="1">
      <alignment horizontal="center" vertical="top" wrapText="1"/>
    </xf>
    <xf numFmtId="0" fontId="40" fillId="12" borderId="187" xfId="0" applyFont="1" applyFill="1" applyBorder="1" applyAlignment="1">
      <alignment horizontal="center" vertical="top" wrapText="1"/>
    </xf>
    <xf numFmtId="14" fontId="6" fillId="12" borderId="31" xfId="0" applyNumberFormat="1" applyFont="1" applyFill="1" applyBorder="1" applyAlignment="1">
      <alignment horizontal="center" wrapText="1"/>
    </xf>
    <xf numFmtId="0" fontId="9" fillId="5" borderId="0" xfId="0" applyFont="1" applyFill="1" applyAlignment="1" applyProtection="1">
      <alignment horizontal="left" vertical="top" wrapText="1"/>
    </xf>
    <xf numFmtId="0" fontId="6" fillId="5" borderId="0" xfId="0" applyFont="1" applyFill="1" applyAlignment="1" applyProtection="1">
      <alignment horizontal="left" vertical="top" wrapText="1"/>
    </xf>
    <xf numFmtId="0" fontId="6" fillId="5" borderId="0" xfId="0" applyFont="1" applyFill="1" applyAlignment="1" applyProtection="1">
      <alignment horizontal="left" wrapText="1"/>
      <protection locked="0"/>
    </xf>
    <xf numFmtId="0" fontId="9" fillId="5" borderId="0" xfId="0" applyFont="1" applyFill="1" applyAlignment="1" applyProtection="1">
      <alignment horizontal="left"/>
      <protection locked="0"/>
    </xf>
    <xf numFmtId="0" fontId="1" fillId="20" borderId="247" xfId="0" applyFont="1" applyFill="1" applyBorder="1" applyAlignment="1">
      <alignment horizontal="left" vertical="center" wrapText="1"/>
    </xf>
    <xf numFmtId="0" fontId="1" fillId="20" borderId="60" xfId="0" applyFont="1" applyFill="1" applyBorder="1" applyAlignment="1">
      <alignment horizontal="left" vertical="center" wrapText="1"/>
    </xf>
    <xf numFmtId="0" fontId="1" fillId="20" borderId="198" xfId="0" applyFont="1" applyFill="1" applyBorder="1" applyAlignment="1">
      <alignment horizontal="center" vertical="center" wrapText="1"/>
    </xf>
    <xf numFmtId="0" fontId="1" fillId="20" borderId="251" xfId="0" applyFont="1" applyFill="1" applyBorder="1" applyAlignment="1">
      <alignment horizontal="center" vertical="center" wrapText="1"/>
    </xf>
    <xf numFmtId="0" fontId="0" fillId="20" borderId="0" xfId="0" applyFill="1" applyBorder="1"/>
    <xf numFmtId="0" fontId="0" fillId="20" borderId="14" xfId="0" applyFill="1" applyBorder="1"/>
    <xf numFmtId="0" fontId="46" fillId="20" borderId="59" xfId="0" applyFont="1" applyFill="1" applyBorder="1" applyAlignment="1">
      <alignment horizontal="left" vertical="center"/>
    </xf>
    <xf numFmtId="0" fontId="46" fillId="20" borderId="0" xfId="0" applyFont="1" applyFill="1" applyBorder="1" applyAlignment="1">
      <alignment horizontal="left" vertical="center"/>
    </xf>
    <xf numFmtId="0" fontId="46" fillId="20" borderId="59" xfId="0" applyFont="1" applyFill="1" applyBorder="1" applyAlignment="1">
      <alignment horizontal="left" vertical="top"/>
    </xf>
    <xf numFmtId="0" fontId="46" fillId="20" borderId="0" xfId="0" applyFont="1" applyFill="1" applyBorder="1" applyAlignment="1">
      <alignment horizontal="left" vertical="top"/>
    </xf>
    <xf numFmtId="0" fontId="108" fillId="20" borderId="274" xfId="0" applyFont="1" applyFill="1" applyBorder="1" applyAlignment="1">
      <alignment horizontal="center"/>
    </xf>
    <xf numFmtId="0" fontId="108" fillId="20" borderId="209" xfId="0" applyFont="1" applyFill="1" applyBorder="1" applyAlignment="1">
      <alignment horizontal="center"/>
    </xf>
    <xf numFmtId="0" fontId="108" fillId="20" borderId="115" xfId="0" applyFont="1" applyFill="1" applyBorder="1" applyAlignment="1">
      <alignment horizontal="center"/>
    </xf>
    <xf numFmtId="0" fontId="45" fillId="20" borderId="247" xfId="0" applyFont="1" applyFill="1" applyBorder="1" applyAlignment="1">
      <alignment horizontal="center"/>
    </xf>
    <xf numFmtId="0" fontId="45" fillId="20" borderId="0" xfId="0" applyFont="1" applyFill="1" applyBorder="1" applyAlignment="1">
      <alignment horizontal="center"/>
    </xf>
    <xf numFmtId="0" fontId="45" fillId="20" borderId="60" xfId="0" applyFont="1" applyFill="1" applyBorder="1" applyAlignment="1">
      <alignment horizontal="center"/>
    </xf>
    <xf numFmtId="0" fontId="1" fillId="20" borderId="0" xfId="0" applyFont="1" applyFill="1" applyBorder="1" applyAlignment="1">
      <alignment horizontal="left" vertical="center" wrapText="1"/>
    </xf>
    <xf numFmtId="0" fontId="1" fillId="20" borderId="210" xfId="0" applyFont="1" applyFill="1" applyBorder="1" applyAlignment="1">
      <alignment horizontal="left" vertical="center" wrapText="1"/>
    </xf>
    <xf numFmtId="0" fontId="0" fillId="20" borderId="210" xfId="0" applyFill="1" applyBorder="1" applyAlignment="1">
      <alignment horizontal="left" vertical="center" wrapText="1"/>
    </xf>
    <xf numFmtId="0" fontId="0" fillId="20" borderId="271" xfId="0" applyFill="1" applyBorder="1" applyAlignment="1">
      <alignment horizontal="left" vertical="center" wrapText="1"/>
    </xf>
    <xf numFmtId="0" fontId="120" fillId="20" borderId="204" xfId="0" applyFont="1" applyFill="1" applyBorder="1" applyAlignment="1">
      <alignment horizontal="center" vertical="center"/>
    </xf>
    <xf numFmtId="0" fontId="0" fillId="20" borderId="219" xfId="0" applyFill="1" applyBorder="1"/>
    <xf numFmtId="0" fontId="0" fillId="20" borderId="204" xfId="0" applyFill="1" applyBorder="1"/>
    <xf numFmtId="0" fontId="0" fillId="20" borderId="205" xfId="0" applyFill="1" applyBorder="1"/>
    <xf numFmtId="0" fontId="0" fillId="20" borderId="199" xfId="0" applyFill="1" applyBorder="1" applyAlignment="1">
      <alignment horizontal="left"/>
    </xf>
    <xf numFmtId="0" fontId="0" fillId="20" borderId="207" xfId="0" applyFill="1" applyBorder="1" applyAlignment="1">
      <alignment horizontal="left"/>
    </xf>
    <xf numFmtId="0" fontId="121" fillId="20" borderId="0" xfId="0" applyFont="1" applyFill="1" applyBorder="1" applyAlignment="1">
      <alignment horizontal="left" vertical="top"/>
    </xf>
    <xf numFmtId="0" fontId="121" fillId="20" borderId="14" xfId="0" applyFont="1" applyFill="1" applyBorder="1" applyAlignment="1">
      <alignment horizontal="left" vertical="top"/>
    </xf>
    <xf numFmtId="0" fontId="1" fillId="20" borderId="247" xfId="0" applyFont="1" applyFill="1" applyBorder="1" applyAlignment="1">
      <alignment horizontal="left" vertical="top" wrapText="1"/>
    </xf>
    <xf numFmtId="0" fontId="1" fillId="20" borderId="0" xfId="0" applyFont="1" applyFill="1" applyBorder="1" applyAlignment="1">
      <alignment horizontal="left" vertical="top" wrapText="1"/>
    </xf>
    <xf numFmtId="0" fontId="1" fillId="20" borderId="199" xfId="0" applyFont="1" applyFill="1" applyBorder="1" applyAlignment="1">
      <alignment horizontal="left" vertical="top" wrapText="1"/>
    </xf>
    <xf numFmtId="0" fontId="123" fillId="19" borderId="247" xfId="0" applyFont="1" applyFill="1" applyBorder="1" applyAlignment="1">
      <alignment horizontal="center" vertical="center" wrapText="1"/>
    </xf>
    <xf numFmtId="0" fontId="123" fillId="19" borderId="0" xfId="0" applyFont="1" applyFill="1" applyBorder="1" applyAlignment="1">
      <alignment horizontal="center" vertical="center" wrapText="1"/>
    </xf>
    <xf numFmtId="0" fontId="123" fillId="19" borderId="224" xfId="0" applyFont="1" applyFill="1" applyBorder="1" applyAlignment="1">
      <alignment horizontal="center" vertical="center" wrapText="1"/>
    </xf>
    <xf numFmtId="0" fontId="1" fillId="41" borderId="256" xfId="0" applyFont="1" applyFill="1" applyBorder="1" applyAlignment="1">
      <alignment horizontal="center" vertical="center"/>
    </xf>
    <xf numFmtId="0" fontId="1" fillId="41" borderId="205" xfId="0" applyFont="1" applyFill="1" applyBorder="1" applyAlignment="1">
      <alignment horizontal="center" vertical="center"/>
    </xf>
    <xf numFmtId="0" fontId="122" fillId="19" borderId="260" xfId="0" applyFont="1" applyFill="1" applyBorder="1" applyAlignment="1">
      <alignment horizontal="center" vertical="center"/>
    </xf>
    <xf numFmtId="0" fontId="122" fillId="19" borderId="261" xfId="0" applyFont="1" applyFill="1" applyBorder="1" applyAlignment="1">
      <alignment horizontal="center" vertical="center"/>
    </xf>
    <xf numFmtId="0" fontId="122" fillId="19" borderId="262" xfId="0" applyFont="1" applyFill="1" applyBorder="1" applyAlignment="1">
      <alignment horizontal="center" vertical="center"/>
    </xf>
    <xf numFmtId="0" fontId="120" fillId="41" borderId="210" xfId="0" applyFont="1" applyFill="1" applyBorder="1" applyAlignment="1">
      <alignment horizontal="center"/>
    </xf>
    <xf numFmtId="168" fontId="108" fillId="19" borderId="12" xfId="0" applyNumberFormat="1" applyFont="1" applyFill="1" applyBorder="1" applyAlignment="1">
      <alignment horizontal="center" vertical="center"/>
    </xf>
    <xf numFmtId="168" fontId="108" fillId="19" borderId="110" xfId="0" applyNumberFormat="1" applyFont="1" applyFill="1" applyBorder="1" applyAlignment="1">
      <alignment horizontal="center" vertical="center"/>
    </xf>
    <xf numFmtId="168" fontId="108" fillId="19" borderId="252" xfId="0" applyNumberFormat="1" applyFont="1" applyFill="1" applyBorder="1" applyAlignment="1">
      <alignment horizontal="center" vertical="center"/>
    </xf>
    <xf numFmtId="168" fontId="108" fillId="19" borderId="254" xfId="0" applyNumberFormat="1" applyFont="1" applyFill="1" applyBorder="1" applyAlignment="1">
      <alignment horizontal="center" vertical="center"/>
    </xf>
    <xf numFmtId="168" fontId="108" fillId="19" borderId="219" xfId="0" applyNumberFormat="1" applyFont="1" applyFill="1" applyBorder="1" applyAlignment="1">
      <alignment horizontal="center" vertical="center"/>
    </xf>
    <xf numFmtId="168" fontId="108" fillId="19" borderId="253" xfId="0" applyNumberFormat="1" applyFont="1" applyFill="1" applyBorder="1" applyAlignment="1">
      <alignment horizontal="center" vertical="center"/>
    </xf>
    <xf numFmtId="0" fontId="108" fillId="41" borderId="256" xfId="0" applyFont="1" applyFill="1" applyBorder="1" applyAlignment="1">
      <alignment horizontal="center" vertical="center"/>
    </xf>
    <xf numFmtId="0" fontId="108" fillId="41" borderId="204" xfId="0" applyFont="1" applyFill="1" applyBorder="1" applyAlignment="1">
      <alignment horizontal="center" vertical="center"/>
    </xf>
    <xf numFmtId="0" fontId="1" fillId="41" borderId="269" xfId="0" applyFont="1" applyFill="1" applyBorder="1" applyAlignment="1">
      <alignment horizontal="center" vertical="center"/>
    </xf>
    <xf numFmtId="0" fontId="1" fillId="41" borderId="112" xfId="0" applyFont="1" applyFill="1" applyBorder="1" applyAlignment="1">
      <alignment horizontal="center" vertical="center"/>
    </xf>
    <xf numFmtId="0" fontId="1" fillId="41" borderId="104" xfId="0" applyFont="1" applyFill="1" applyBorder="1" applyAlignment="1">
      <alignment horizontal="center" vertical="center"/>
    </xf>
    <xf numFmtId="0" fontId="1" fillId="41" borderId="256" xfId="0" applyFont="1" applyFill="1" applyBorder="1" applyAlignment="1" applyProtection="1">
      <alignment horizontal="center"/>
      <protection hidden="1"/>
    </xf>
    <xf numFmtId="0" fontId="1" fillId="41" borderId="204" xfId="0" applyFont="1" applyFill="1" applyBorder="1" applyAlignment="1" applyProtection="1">
      <alignment horizontal="center"/>
      <protection hidden="1"/>
    </xf>
    <xf numFmtId="0" fontId="1" fillId="41" borderId="266" xfId="0" applyFont="1" applyFill="1" applyBorder="1" applyAlignment="1" applyProtection="1">
      <alignment horizontal="center"/>
      <protection hidden="1"/>
    </xf>
    <xf numFmtId="168" fontId="119" fillId="19" borderId="247" xfId="0" applyNumberFormat="1" applyFont="1" applyFill="1" applyBorder="1" applyAlignment="1">
      <alignment horizontal="center"/>
    </xf>
    <xf numFmtId="168" fontId="119" fillId="19" borderId="0" xfId="0" applyNumberFormat="1" applyFont="1" applyFill="1" applyBorder="1" applyAlignment="1">
      <alignment horizontal="center"/>
    </xf>
    <xf numFmtId="168" fontId="119" fillId="19" borderId="224" xfId="0" applyNumberFormat="1" applyFont="1" applyFill="1" applyBorder="1" applyAlignment="1">
      <alignment horizontal="center"/>
    </xf>
    <xf numFmtId="0" fontId="40" fillId="12" borderId="0" xfId="0" applyFont="1" applyFill="1" applyBorder="1" applyAlignment="1" applyProtection="1">
      <alignment horizontal="left" vertical="top"/>
    </xf>
    <xf numFmtId="0" fontId="40" fillId="12" borderId="17" xfId="0" applyFont="1" applyFill="1" applyBorder="1" applyAlignment="1" applyProtection="1">
      <alignment horizontal="left" vertical="top"/>
    </xf>
    <xf numFmtId="0" fontId="5" fillId="11" borderId="0" xfId="0" applyFont="1" applyFill="1" applyAlignment="1">
      <alignment vertical="center" wrapText="1"/>
    </xf>
    <xf numFmtId="0" fontId="61" fillId="12" borderId="112" xfId="0" applyFont="1" applyFill="1" applyBorder="1" applyAlignment="1">
      <alignment vertical="center" wrapText="1"/>
    </xf>
    <xf numFmtId="0" fontId="61" fillId="12" borderId="104" xfId="0" applyFont="1" applyFill="1" applyBorder="1" applyAlignment="1">
      <alignment vertical="center" wrapText="1"/>
    </xf>
    <xf numFmtId="0" fontId="0" fillId="12" borderId="119" xfId="0" applyFill="1" applyBorder="1" applyAlignment="1">
      <alignment horizontal="center"/>
    </xf>
    <xf numFmtId="0" fontId="0" fillId="12" borderId="185" xfId="0" applyFill="1" applyBorder="1" applyAlignment="1">
      <alignment horizontal="center"/>
    </xf>
    <xf numFmtId="0" fontId="0" fillId="12" borderId="27" xfId="0" applyFill="1" applyBorder="1" applyAlignment="1">
      <alignment horizontal="center"/>
    </xf>
    <xf numFmtId="0" fontId="47" fillId="11" borderId="42" xfId="0" applyFont="1" applyFill="1" applyBorder="1" applyAlignment="1">
      <alignment horizontal="center"/>
    </xf>
    <xf numFmtId="0" fontId="47" fillId="11" borderId="27" xfId="0" applyFont="1" applyFill="1" applyBorder="1" applyAlignment="1">
      <alignment horizontal="center"/>
    </xf>
    <xf numFmtId="0" fontId="47" fillId="11" borderId="43" xfId="0" applyFont="1" applyFill="1" applyBorder="1" applyAlignment="1">
      <alignment horizontal="center"/>
    </xf>
    <xf numFmtId="0" fontId="43" fillId="12" borderId="42" xfId="0" applyFont="1" applyFill="1" applyBorder="1" applyAlignment="1">
      <alignment vertical="center" wrapText="1"/>
    </xf>
    <xf numFmtId="0" fontId="0" fillId="12" borderId="27" xfId="0" applyFill="1" applyBorder="1" applyAlignment="1">
      <alignment vertical="center" wrapText="1"/>
    </xf>
    <xf numFmtId="0" fontId="0" fillId="12" borderId="43" xfId="0" applyFill="1" applyBorder="1" applyAlignment="1">
      <alignment vertical="center" wrapText="1"/>
    </xf>
    <xf numFmtId="0" fontId="0" fillId="12" borderId="42" xfId="0" applyFill="1" applyBorder="1"/>
    <xf numFmtId="0" fontId="0" fillId="12" borderId="27" xfId="0" applyFill="1" applyBorder="1"/>
    <xf numFmtId="0" fontId="0" fillId="12" borderId="43" xfId="0" applyFill="1" applyBorder="1"/>
    <xf numFmtId="0" fontId="121" fillId="12" borderId="204" xfId="0" applyFont="1" applyFill="1" applyBorder="1" applyAlignment="1">
      <alignment horizontal="center" wrapText="1"/>
    </xf>
    <xf numFmtId="0" fontId="121" fillId="12" borderId="266" xfId="0" applyFont="1" applyFill="1" applyBorder="1" applyAlignment="1">
      <alignment horizontal="center" wrapText="1"/>
    </xf>
  </cellXfs>
  <cellStyles count="21">
    <cellStyle name="Bad" xfId="20" builtinId="27"/>
    <cellStyle name="Comma 2" xfId="1"/>
    <cellStyle name="Currency 2" xfId="2"/>
    <cellStyle name="Currency 3" xfId="3"/>
    <cellStyle name="Dollar 00." xfId="4"/>
    <cellStyle name="Dollar 00. 2" xfId="5"/>
    <cellStyle name="Dollar 00. 3" xfId="6"/>
    <cellStyle name="General" xfId="7"/>
    <cellStyle name="HUD" xfId="8"/>
    <cellStyle name="Hyperlink" xfId="9" builtinId="8"/>
    <cellStyle name="NACC" xfId="10"/>
    <cellStyle name="Normal" xfId="0" builtinId="0"/>
    <cellStyle name="Normal 2" xfId="11"/>
    <cellStyle name="Normal 3" xfId="12"/>
    <cellStyle name="Normal 3 2" xfId="13"/>
    <cellStyle name="Normal 4" xfId="14"/>
    <cellStyle name="Normal_Cover" xfId="15"/>
    <cellStyle name="Normal_sheet1_1" xfId="16"/>
    <cellStyle name="Percent 2" xfId="17"/>
    <cellStyle name="Percent 3" xfId="18"/>
    <cellStyle name="Shaded Line" xfId="19"/>
  </cellStyles>
  <dxfs count="0"/>
  <tableStyles count="0" defaultTableStyle="TableStyleMedium2" defaultPivotStyle="PivotStyleLight16"/>
  <colors>
    <mruColors>
      <color rgb="FFFF8080"/>
      <color rgb="FF9C0006"/>
      <color rgb="FFEFEBE1"/>
      <color rgb="FFCCFFCC"/>
      <color rgb="FFFFFFCC"/>
      <color rgb="FFFF7C8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xdr:colOff>
      <xdr:row>11</xdr:row>
      <xdr:rowOff>28576</xdr:rowOff>
    </xdr:from>
    <xdr:to>
      <xdr:col>9</xdr:col>
      <xdr:colOff>9525</xdr:colOff>
      <xdr:row>44</xdr:row>
      <xdr:rowOff>152401</xdr:rowOff>
    </xdr:to>
    <xdr:sp macro="" textlink="" fLocksText="0">
      <xdr:nvSpPr>
        <xdr:cNvPr id="1660" name="Text Box 1">
          <a:extLst>
            <a:ext uri="{FF2B5EF4-FFF2-40B4-BE49-F238E27FC236}">
              <a16:creationId xmlns:a16="http://schemas.microsoft.com/office/drawing/2014/main" id="{00000000-0008-0000-0000-00007C060000}"/>
            </a:ext>
          </a:extLst>
        </xdr:cNvPr>
        <xdr:cNvSpPr txBox="1">
          <a:spLocks noChangeArrowheads="1"/>
        </xdr:cNvSpPr>
      </xdr:nvSpPr>
      <xdr:spPr bwMode="auto">
        <a:xfrm>
          <a:off x="1" y="3086101"/>
          <a:ext cx="9248774" cy="5467350"/>
        </a:xfrm>
        <a:prstGeom prst="rect">
          <a:avLst/>
        </a:prstGeom>
        <a:solidFill>
          <a:srgbClr val="CCFFCC"/>
        </a:solidFill>
        <a:ln w="9525">
          <a:solidFill>
            <a:srgbClr val="000000"/>
          </a:solidFill>
          <a:miter lim="800000"/>
          <a:headEnd/>
          <a:tailEnd/>
        </a:ln>
      </xdr:spPr>
      <xdr:txBody>
        <a:bodyPr/>
        <a:lstStyle/>
        <a:p>
          <a:endParaRPr lang="en-US"/>
        </a:p>
        <a:p>
          <a:endParaRPr lang="en-US"/>
        </a:p>
      </xdr:txBody>
    </xdr:sp>
    <xdr:clientData fLocksWithSheet="0"/>
  </xdr:twoCellAnchor>
</xdr:wsDr>
</file>

<file path=xl/drawings/drawing10.xml><?xml version="1.0" encoding="utf-8"?>
<xdr:wsDr xmlns:xdr="http://schemas.openxmlformats.org/drawingml/2006/spreadsheetDrawing" xmlns:a="http://schemas.openxmlformats.org/drawingml/2006/main">
  <xdr:twoCellAnchor>
    <xdr:from>
      <xdr:col>1</xdr:col>
      <xdr:colOff>104775</xdr:colOff>
      <xdr:row>52</xdr:row>
      <xdr:rowOff>47625</xdr:rowOff>
    </xdr:from>
    <xdr:to>
      <xdr:col>10</xdr:col>
      <xdr:colOff>485775</xdr:colOff>
      <xdr:row>57</xdr:row>
      <xdr:rowOff>19050</xdr:rowOff>
    </xdr:to>
    <xdr:sp macro="" textlink="" fLocksText="0">
      <xdr:nvSpPr>
        <xdr:cNvPr id="2" name="Text 19">
          <a:extLst>
            <a:ext uri="{FF2B5EF4-FFF2-40B4-BE49-F238E27FC236}">
              <a16:creationId xmlns:a16="http://schemas.microsoft.com/office/drawing/2014/main" id="{00000000-0008-0000-0E00-000002000000}"/>
            </a:ext>
          </a:extLst>
        </xdr:cNvPr>
        <xdr:cNvSpPr txBox="1">
          <a:spLocks noChangeArrowheads="1"/>
        </xdr:cNvSpPr>
      </xdr:nvSpPr>
      <xdr:spPr bwMode="auto">
        <a:xfrm>
          <a:off x="257175" y="8963025"/>
          <a:ext cx="6448425" cy="7810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3366FF"/>
              </a:solidFill>
              <a:latin typeface="Times New Roman"/>
              <a:cs typeface="Times New Roman"/>
            </a:rPr>
            <a:t>Pro Forma Comments: </a:t>
          </a:r>
          <a:endParaRPr lang="en-US" sz="800" b="0" i="0" u="none" strike="noStrike" baseline="0">
            <a:solidFill>
              <a:srgbClr val="0000FF"/>
            </a:solidFill>
            <a:latin typeface="Times New Roman"/>
            <a:cs typeface="Times New Roman"/>
          </a:endParaRPr>
        </a:p>
        <a:p>
          <a:pPr algn="l" rtl="0">
            <a:lnSpc>
              <a:spcPts val="1100"/>
            </a:lnSpc>
            <a:defRPr sz="1000"/>
          </a:pPr>
          <a:endParaRPr lang="en-US"/>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1</xdr:col>
      <xdr:colOff>238125</xdr:colOff>
      <xdr:row>104</xdr:row>
      <xdr:rowOff>0</xdr:rowOff>
    </xdr:from>
    <xdr:to>
      <xdr:col>7</xdr:col>
      <xdr:colOff>0</xdr:colOff>
      <xdr:row>111</xdr:row>
      <xdr:rowOff>0</xdr:rowOff>
    </xdr:to>
    <xdr:sp macro="" textlink="" fLocksText="0">
      <xdr:nvSpPr>
        <xdr:cNvPr id="2049" name="Text Box 1">
          <a:extLst>
            <a:ext uri="{FF2B5EF4-FFF2-40B4-BE49-F238E27FC236}">
              <a16:creationId xmlns:a16="http://schemas.microsoft.com/office/drawing/2014/main" id="{00000000-0008-0000-0100-000001080000}"/>
            </a:ext>
          </a:extLst>
        </xdr:cNvPr>
        <xdr:cNvSpPr txBox="1">
          <a:spLocks noChangeArrowheads="1"/>
        </xdr:cNvSpPr>
      </xdr:nvSpPr>
      <xdr:spPr bwMode="auto">
        <a:xfrm>
          <a:off x="238125" y="8153400"/>
          <a:ext cx="6429375" cy="1133475"/>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endParaRPr lang="en-US"/>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228600</xdr:colOff>
      <xdr:row>34</xdr:row>
      <xdr:rowOff>0</xdr:rowOff>
    </xdr:from>
    <xdr:to>
      <xdr:col>10</xdr:col>
      <xdr:colOff>9525</xdr:colOff>
      <xdr:row>42</xdr:row>
      <xdr:rowOff>0</xdr:rowOff>
    </xdr:to>
    <xdr:sp macro="" textlink="" fLocksText="0">
      <xdr:nvSpPr>
        <xdr:cNvPr id="18433" name="Text Box 1">
          <a:extLst>
            <a:ext uri="{FF2B5EF4-FFF2-40B4-BE49-F238E27FC236}">
              <a16:creationId xmlns:a16="http://schemas.microsoft.com/office/drawing/2014/main" id="{00000000-0008-0000-0300-000001480000}"/>
            </a:ext>
          </a:extLst>
        </xdr:cNvPr>
        <xdr:cNvSpPr txBox="1">
          <a:spLocks noChangeArrowheads="1"/>
        </xdr:cNvSpPr>
      </xdr:nvSpPr>
      <xdr:spPr bwMode="auto">
        <a:xfrm>
          <a:off x="228600" y="8667750"/>
          <a:ext cx="5143500" cy="1295400"/>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3366FF"/>
              </a:solidFill>
              <a:latin typeface="Times New Roman"/>
              <a:cs typeface="Times New Roman"/>
            </a:rPr>
            <a:t>Comments</a:t>
          </a:r>
          <a:endParaRPr lang="en-US"/>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18</xdr:row>
      <xdr:rowOff>9525</xdr:rowOff>
    </xdr:from>
    <xdr:to>
      <xdr:col>9</xdr:col>
      <xdr:colOff>9525</xdr:colOff>
      <xdr:row>29</xdr:row>
      <xdr:rowOff>133350</xdr:rowOff>
    </xdr:to>
    <xdr:sp macro="" textlink="" fLocksText="0">
      <xdr:nvSpPr>
        <xdr:cNvPr id="20481" name="Text Box 1">
          <a:extLst>
            <a:ext uri="{FF2B5EF4-FFF2-40B4-BE49-F238E27FC236}">
              <a16:creationId xmlns:a16="http://schemas.microsoft.com/office/drawing/2014/main" id="{00000000-0008-0000-0500-000001500000}"/>
            </a:ext>
          </a:extLst>
        </xdr:cNvPr>
        <xdr:cNvSpPr txBox="1">
          <a:spLocks noChangeArrowheads="1"/>
        </xdr:cNvSpPr>
      </xdr:nvSpPr>
      <xdr:spPr bwMode="auto">
        <a:xfrm>
          <a:off x="238125" y="3971925"/>
          <a:ext cx="4886325" cy="1905000"/>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3366FF"/>
              </a:solidFill>
              <a:latin typeface="Times New Roman"/>
              <a:cs typeface="Times New Roman"/>
            </a:rPr>
            <a:t>Comments </a:t>
          </a:r>
          <a:endParaRPr lang="en-US"/>
        </a:p>
      </xdr:txBody>
    </xdr:sp>
    <xdr:clientData fLocksWithSheet="0"/>
  </xdr:twoCellAnchor>
</xdr:wsDr>
</file>

<file path=xl/drawings/drawing5.xml><?xml version="1.0" encoding="utf-8"?>
<xdr:wsDr xmlns:xdr="http://schemas.openxmlformats.org/drawingml/2006/spreadsheetDrawing" xmlns:a="http://schemas.openxmlformats.org/drawingml/2006/main">
  <xdr:twoCellAnchor>
    <xdr:from>
      <xdr:col>2</xdr:col>
      <xdr:colOff>19050</xdr:colOff>
      <xdr:row>0</xdr:row>
      <xdr:rowOff>0</xdr:rowOff>
    </xdr:from>
    <xdr:to>
      <xdr:col>8</xdr:col>
      <xdr:colOff>123825</xdr:colOff>
      <xdr:row>0</xdr:row>
      <xdr:rowOff>0</xdr:rowOff>
    </xdr:to>
    <xdr:sp macro="" textlink="" fLocksText="0">
      <xdr:nvSpPr>
        <xdr:cNvPr id="36096" name="Text Box 1">
          <a:extLst>
            <a:ext uri="{FF2B5EF4-FFF2-40B4-BE49-F238E27FC236}">
              <a16:creationId xmlns:a16="http://schemas.microsoft.com/office/drawing/2014/main" id="{00000000-0008-0000-0600-0000008D0000}"/>
            </a:ext>
          </a:extLst>
        </xdr:cNvPr>
        <xdr:cNvSpPr txBox="1">
          <a:spLocks noChangeArrowheads="1"/>
        </xdr:cNvSpPr>
      </xdr:nvSpPr>
      <xdr:spPr bwMode="auto">
        <a:xfrm>
          <a:off x="876300" y="0"/>
          <a:ext cx="3590925" cy="0"/>
        </a:xfrm>
        <a:prstGeom prst="rect">
          <a:avLst/>
        </a:prstGeom>
        <a:solidFill>
          <a:srgbClr val="FFFFFF"/>
        </a:solidFill>
        <a:ln w="9525">
          <a:solidFill>
            <a:srgbClr val="000000"/>
          </a:solidFill>
          <a:miter lim="800000"/>
          <a:headEnd/>
          <a:tailEnd/>
        </a:ln>
      </xdr:spPr>
    </xdr:sp>
    <xdr:clientData fLocksWithSheet="0"/>
  </xdr:twoCellAnchor>
  <xdr:twoCellAnchor>
    <xdr:from>
      <xdr:col>1</xdr:col>
      <xdr:colOff>0</xdr:colOff>
      <xdr:row>50</xdr:row>
      <xdr:rowOff>19050</xdr:rowOff>
    </xdr:from>
    <xdr:to>
      <xdr:col>13</xdr:col>
      <xdr:colOff>0</xdr:colOff>
      <xdr:row>66</xdr:row>
      <xdr:rowOff>38100</xdr:rowOff>
    </xdr:to>
    <xdr:sp macro="" textlink="" fLocksText="0">
      <xdr:nvSpPr>
        <xdr:cNvPr id="4098" name="Text 19">
          <a:extLst>
            <a:ext uri="{FF2B5EF4-FFF2-40B4-BE49-F238E27FC236}">
              <a16:creationId xmlns:a16="http://schemas.microsoft.com/office/drawing/2014/main" id="{00000000-0008-0000-0600-000002100000}"/>
            </a:ext>
          </a:extLst>
        </xdr:cNvPr>
        <xdr:cNvSpPr txBox="1">
          <a:spLocks noChangeArrowheads="1"/>
        </xdr:cNvSpPr>
      </xdr:nvSpPr>
      <xdr:spPr bwMode="auto">
        <a:xfrm>
          <a:off x="247650" y="9591675"/>
          <a:ext cx="6810375" cy="2609850"/>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3366FF"/>
              </a:solidFill>
              <a:latin typeface="Times New Roman"/>
              <a:cs typeface="Times New Roman"/>
            </a:rPr>
            <a:t>Income Comments:</a:t>
          </a:r>
        </a:p>
      </xdr:txBody>
    </xdr:sp>
    <xdr:clientData fLocksWithSheet="0"/>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77</xdr:row>
      <xdr:rowOff>76200</xdr:rowOff>
    </xdr:from>
    <xdr:to>
      <xdr:col>6</xdr:col>
      <xdr:colOff>9525</xdr:colOff>
      <xdr:row>92</xdr:row>
      <xdr:rowOff>76200</xdr:rowOff>
    </xdr:to>
    <xdr:sp macro="" textlink="" fLocksText="0">
      <xdr:nvSpPr>
        <xdr:cNvPr id="3" name="Text 19">
          <a:extLst>
            <a:ext uri="{FF2B5EF4-FFF2-40B4-BE49-F238E27FC236}">
              <a16:creationId xmlns:a16="http://schemas.microsoft.com/office/drawing/2014/main" id="{00000000-0008-0000-0900-000003000000}"/>
            </a:ext>
          </a:extLst>
        </xdr:cNvPr>
        <xdr:cNvSpPr txBox="1">
          <a:spLocks noChangeArrowheads="1"/>
        </xdr:cNvSpPr>
      </xdr:nvSpPr>
      <xdr:spPr bwMode="auto">
        <a:xfrm>
          <a:off x="257175" y="10668000"/>
          <a:ext cx="5915025" cy="2428875"/>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3366FF"/>
              </a:solidFill>
              <a:latin typeface="Times New Roman"/>
              <a:cs typeface="Times New Roman"/>
            </a:rPr>
            <a:t>Comments: </a:t>
          </a:r>
          <a:endParaRPr lang="en-US" sz="800" b="0" i="0" u="none" strike="noStrike" baseline="0">
            <a:solidFill>
              <a:srgbClr val="0000FF"/>
            </a:solidFill>
            <a:latin typeface="Times New Roman"/>
            <a:cs typeface="Times New Roman"/>
          </a:endParaRPr>
        </a:p>
        <a:p>
          <a:pPr algn="l" rtl="0">
            <a:lnSpc>
              <a:spcPts val="1100"/>
            </a:lnSpc>
            <a:defRPr sz="1000"/>
          </a:pPr>
          <a:endParaRPr lang="en-US"/>
        </a:p>
      </xdr:txBody>
    </xdr:sp>
    <xdr:clientData fLocksWithSheet="0"/>
  </xdr:twoCellAnchor>
</xdr:wsDr>
</file>

<file path=xl/drawings/drawing7.xml><?xml version="1.0" encoding="utf-8"?>
<xdr:wsDr xmlns:xdr="http://schemas.openxmlformats.org/drawingml/2006/spreadsheetDrawing" xmlns:a="http://schemas.openxmlformats.org/drawingml/2006/main">
  <xdr:twoCellAnchor>
    <xdr:from>
      <xdr:col>2</xdr:col>
      <xdr:colOff>9525</xdr:colOff>
      <xdr:row>0</xdr:row>
      <xdr:rowOff>0</xdr:rowOff>
    </xdr:from>
    <xdr:to>
      <xdr:col>8</xdr:col>
      <xdr:colOff>114300</xdr:colOff>
      <xdr:row>0</xdr:row>
      <xdr:rowOff>0</xdr:rowOff>
    </xdr:to>
    <xdr:sp macro="" textlink="" fLocksText="0">
      <xdr:nvSpPr>
        <xdr:cNvPr id="37115" name="Text Box 1">
          <a:extLst>
            <a:ext uri="{FF2B5EF4-FFF2-40B4-BE49-F238E27FC236}">
              <a16:creationId xmlns:a16="http://schemas.microsoft.com/office/drawing/2014/main" id="{00000000-0008-0000-0A00-0000FB900000}"/>
            </a:ext>
          </a:extLst>
        </xdr:cNvPr>
        <xdr:cNvSpPr txBox="1">
          <a:spLocks noChangeArrowheads="1"/>
        </xdr:cNvSpPr>
      </xdr:nvSpPr>
      <xdr:spPr bwMode="auto">
        <a:xfrm>
          <a:off x="1447800" y="0"/>
          <a:ext cx="7934325" cy="0"/>
        </a:xfrm>
        <a:prstGeom prst="rect">
          <a:avLst/>
        </a:prstGeom>
        <a:solidFill>
          <a:srgbClr val="FFFFFF"/>
        </a:solidFill>
        <a:ln w="9525">
          <a:solidFill>
            <a:srgbClr val="000000"/>
          </a:solidFill>
          <a:miter lim="800000"/>
          <a:headEnd/>
          <a:tailEnd/>
        </a:ln>
      </xdr:spPr>
    </xdr:sp>
    <xdr:clientData fLocksWithSheet="0"/>
  </xdr:twoCellAnchor>
  <xdr:twoCellAnchor>
    <xdr:from>
      <xdr:col>1</xdr:col>
      <xdr:colOff>0</xdr:colOff>
      <xdr:row>43</xdr:row>
      <xdr:rowOff>0</xdr:rowOff>
    </xdr:from>
    <xdr:to>
      <xdr:col>5</xdr:col>
      <xdr:colOff>9525</xdr:colOff>
      <xdr:row>53</xdr:row>
      <xdr:rowOff>0</xdr:rowOff>
    </xdr:to>
    <xdr:sp macro="" textlink="" fLocksText="0">
      <xdr:nvSpPr>
        <xdr:cNvPr id="8194" name="Text Box 2">
          <a:extLst>
            <a:ext uri="{FF2B5EF4-FFF2-40B4-BE49-F238E27FC236}">
              <a16:creationId xmlns:a16="http://schemas.microsoft.com/office/drawing/2014/main" id="{00000000-0008-0000-0A00-000002200000}"/>
            </a:ext>
          </a:extLst>
        </xdr:cNvPr>
        <xdr:cNvSpPr txBox="1">
          <a:spLocks noChangeArrowheads="1"/>
        </xdr:cNvSpPr>
      </xdr:nvSpPr>
      <xdr:spPr bwMode="auto">
        <a:xfrm>
          <a:off x="247650" y="7153275"/>
          <a:ext cx="5562600" cy="1619250"/>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3366FF"/>
              </a:solidFill>
              <a:latin typeface="Times New Roman"/>
              <a:cs typeface="Times New Roman"/>
            </a:rPr>
            <a:t>Comments</a:t>
          </a:r>
          <a:endParaRPr lang="en-US"/>
        </a:p>
      </xdr:txBody>
    </xdr:sp>
    <xdr:clientData fLocksWithSheet="0"/>
  </xdr:twoCellAnchor>
</xdr:wsDr>
</file>

<file path=xl/drawings/drawing8.xml><?xml version="1.0" encoding="utf-8"?>
<xdr:wsDr xmlns:xdr="http://schemas.openxmlformats.org/drawingml/2006/spreadsheetDrawing" xmlns:a="http://schemas.openxmlformats.org/drawingml/2006/main">
  <xdr:twoCellAnchor>
    <xdr:from>
      <xdr:col>2</xdr:col>
      <xdr:colOff>9525</xdr:colOff>
      <xdr:row>0</xdr:row>
      <xdr:rowOff>0</xdr:rowOff>
    </xdr:from>
    <xdr:to>
      <xdr:col>8</xdr:col>
      <xdr:colOff>114300</xdr:colOff>
      <xdr:row>0</xdr:row>
      <xdr:rowOff>0</xdr:rowOff>
    </xdr:to>
    <xdr:sp macro="" textlink="" fLocksText="0">
      <xdr:nvSpPr>
        <xdr:cNvPr id="38136" name="Text Box 2">
          <a:extLst>
            <a:ext uri="{FF2B5EF4-FFF2-40B4-BE49-F238E27FC236}">
              <a16:creationId xmlns:a16="http://schemas.microsoft.com/office/drawing/2014/main" id="{00000000-0008-0000-0C00-0000F8940000}"/>
            </a:ext>
          </a:extLst>
        </xdr:cNvPr>
        <xdr:cNvSpPr txBox="1">
          <a:spLocks noChangeArrowheads="1"/>
        </xdr:cNvSpPr>
      </xdr:nvSpPr>
      <xdr:spPr bwMode="auto">
        <a:xfrm>
          <a:off x="504825" y="0"/>
          <a:ext cx="5781675" cy="0"/>
        </a:xfrm>
        <a:prstGeom prst="rect">
          <a:avLst/>
        </a:prstGeom>
        <a:solidFill>
          <a:srgbClr val="FFFFFF"/>
        </a:solidFill>
        <a:ln w="9525">
          <a:solidFill>
            <a:srgbClr val="000000"/>
          </a:solidFill>
          <a:miter lim="800000"/>
          <a:headEnd/>
          <a:tailEnd/>
        </a:ln>
      </xdr:spPr>
    </xdr:sp>
    <xdr:clientData fLocksWithSheet="0"/>
  </xdr:twoCellAnchor>
  <xdr:twoCellAnchor>
    <xdr:from>
      <xdr:col>7</xdr:col>
      <xdr:colOff>19050</xdr:colOff>
      <xdr:row>2</xdr:row>
      <xdr:rowOff>38100</xdr:rowOff>
    </xdr:from>
    <xdr:to>
      <xdr:col>8</xdr:col>
      <xdr:colOff>1104900</xdr:colOff>
      <xdr:row>12</xdr:row>
      <xdr:rowOff>38100</xdr:rowOff>
    </xdr:to>
    <xdr:sp macro="" textlink="" fLocksText="0">
      <xdr:nvSpPr>
        <xdr:cNvPr id="7171" name="Text 1">
          <a:extLst>
            <a:ext uri="{FF2B5EF4-FFF2-40B4-BE49-F238E27FC236}">
              <a16:creationId xmlns:a16="http://schemas.microsoft.com/office/drawing/2014/main" id="{00000000-0008-0000-0C00-0000031C0000}"/>
            </a:ext>
          </a:extLst>
        </xdr:cNvPr>
        <xdr:cNvSpPr txBox="1">
          <a:spLocks noChangeArrowheads="1"/>
        </xdr:cNvSpPr>
      </xdr:nvSpPr>
      <xdr:spPr bwMode="auto">
        <a:xfrm>
          <a:off x="3905250" y="409575"/>
          <a:ext cx="3028950" cy="1457325"/>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3366FF"/>
              </a:solidFill>
              <a:latin typeface="Times New Roman"/>
              <a:cs typeface="Times New Roman"/>
            </a:rPr>
            <a:t>Sources &amp; Uses Comments:</a:t>
          </a:r>
        </a:p>
        <a:p>
          <a:pPr algn="l" rtl="0">
            <a:defRPr sz="1000"/>
          </a:pPr>
          <a:endParaRPr lang="en-US" sz="800" b="0" i="0" u="none" strike="noStrike" baseline="0">
            <a:solidFill>
              <a:srgbClr val="0000FF"/>
            </a:solidFill>
            <a:latin typeface="Times New Roman"/>
            <a:cs typeface="Times New Roman"/>
          </a:endParaRPr>
        </a:p>
        <a:p>
          <a:pPr algn="l" rtl="0">
            <a:defRPr sz="1000"/>
          </a:pPr>
          <a:endParaRPr lang="en-US"/>
        </a:p>
      </xdr:txBody>
    </xdr:sp>
    <xdr:clientData fLocksWithSheet="0"/>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98</xdr:row>
      <xdr:rowOff>0</xdr:rowOff>
    </xdr:from>
    <xdr:to>
      <xdr:col>10</xdr:col>
      <xdr:colOff>9525</xdr:colOff>
      <xdr:row>105</xdr:row>
      <xdr:rowOff>152400</xdr:rowOff>
    </xdr:to>
    <xdr:sp macro="" textlink="" fLocksText="0">
      <xdr:nvSpPr>
        <xdr:cNvPr id="10242" name="Text 19">
          <a:extLst>
            <a:ext uri="{FF2B5EF4-FFF2-40B4-BE49-F238E27FC236}">
              <a16:creationId xmlns:a16="http://schemas.microsoft.com/office/drawing/2014/main" id="{00000000-0008-0000-0D00-000002280000}"/>
            </a:ext>
          </a:extLst>
        </xdr:cNvPr>
        <xdr:cNvSpPr txBox="1">
          <a:spLocks noChangeArrowheads="1"/>
        </xdr:cNvSpPr>
      </xdr:nvSpPr>
      <xdr:spPr bwMode="auto">
        <a:xfrm>
          <a:off x="247650" y="16706850"/>
          <a:ext cx="5238750" cy="1285875"/>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3366FF"/>
              </a:solidFill>
              <a:latin typeface="Times New Roman"/>
              <a:cs typeface="Times New Roman"/>
            </a:rPr>
            <a:t>Expense Comments: </a:t>
          </a:r>
          <a:endParaRPr lang="en-US" sz="800" b="0" i="0" u="none" strike="noStrike" baseline="0">
            <a:solidFill>
              <a:srgbClr val="0000FF"/>
            </a:solidFill>
            <a:latin typeface="Times New Roman"/>
            <a:cs typeface="Times New Roman"/>
          </a:endParaRPr>
        </a:p>
        <a:p>
          <a:pPr algn="l" rtl="0">
            <a:lnSpc>
              <a:spcPts val="1100"/>
            </a:lnSpc>
            <a:defRPr sz="1000"/>
          </a:pPr>
          <a:endParaRPr lang="en-US"/>
        </a:p>
      </xdr:txBody>
    </xdr: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5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Masters\M2M%20Underwriting%20Rev%204_35%20with%20Upgrad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ocuments%20and%20Settings\nathan\Local%20Settings\Temporary%20Internet%20Files\OLK6\LHFA\Tax%20credit%20applications%202005\052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Knollcrest%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Documents%20and%20Settings\nathan\Local%20Settings\Temporary%20Internet%20Files\OLK6\Application\2005_LIHTC_Ap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Users\Administrator\Documents\Work\2008_LIHTC_HOME_App_V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ptownsend/Library/Containers/com.microsoft.Excel/Data/Documents/C:/Users/rmcneese/Documents/2018%20Underwriting%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Res Bldg Info"/>
      <sheetName val="Acc Bldg Info"/>
      <sheetName val="Subsidy"/>
      <sheetName val="Syndication"/>
      <sheetName val="Unit Info"/>
      <sheetName val="Sources &amp; Uses"/>
      <sheetName val="Calculator"/>
      <sheetName val="Financing Cert"/>
      <sheetName val="Cert of Act Cost"/>
      <sheetName val="Access_Bldgs"/>
      <sheetName val="Find Basis"/>
      <sheetName val="Basis"/>
      <sheetName val="Income"/>
      <sheetName val="ProForma"/>
      <sheetName val="TDC Limits"/>
      <sheetName val="Criteria"/>
      <sheetName val="Cert of Demand"/>
      <sheetName val="Local Jurisdiction"/>
      <sheetName val="Schedule"/>
      <sheetName val="Development Team"/>
      <sheetName val="Forms"/>
      <sheetName val="Non-Profit"/>
      <sheetName val="Ownership Info"/>
      <sheetName val="Site Control"/>
      <sheetName val="Ownership History"/>
      <sheetName val="RD wksht"/>
      <sheetName val="QCT wksht"/>
      <sheetName val="sub_rehab"/>
      <sheetName val="Master Auditor"/>
      <sheetName val="Lists"/>
      <sheetName val="Checklist"/>
      <sheetName val="Print Out"/>
      <sheetName val="FMR 2050"/>
      <sheetName val="FMR 4060"/>
    </sheetNames>
    <sheetDataSet>
      <sheetData sheetId="0" refreshError="1">
        <row r="27">
          <cell r="H27">
            <v>269780</v>
          </cell>
        </row>
        <row r="30">
          <cell r="F30" t="str">
            <v>North Oaks Subdivision Limited Partnership</v>
          </cell>
        </row>
        <row r="42">
          <cell r="D42" t="str">
            <v>X</v>
          </cell>
        </row>
        <row r="63">
          <cell r="I63" t="str">
            <v>Will be applied for</v>
          </cell>
        </row>
        <row r="75">
          <cell r="J75" t="str">
            <v>YES</v>
          </cell>
        </row>
      </sheetData>
      <sheetData sheetId="1"/>
      <sheetData sheetId="2"/>
      <sheetData sheetId="3" refreshError="1">
        <row r="48">
          <cell r="C48">
            <v>0</v>
          </cell>
          <cell r="D48">
            <v>0</v>
          </cell>
          <cell r="E48">
            <v>0</v>
          </cell>
          <cell r="F48">
            <v>0</v>
          </cell>
          <cell r="G48">
            <v>0</v>
          </cell>
          <cell r="H48">
            <v>0</v>
          </cell>
          <cell r="I48">
            <v>0</v>
          </cell>
          <cell r="L48">
            <v>0</v>
          </cell>
          <cell r="M48">
            <v>0</v>
          </cell>
          <cell r="N48">
            <v>399999.99999999994</v>
          </cell>
          <cell r="O48">
            <v>0</v>
          </cell>
          <cell r="P48">
            <v>0</v>
          </cell>
          <cell r="Q48">
            <v>0</v>
          </cell>
          <cell r="R48">
            <v>0</v>
          </cell>
          <cell r="S48">
            <v>0</v>
          </cell>
          <cell r="W48">
            <v>0</v>
          </cell>
          <cell r="X48">
            <v>0</v>
          </cell>
          <cell r="Y48">
            <v>0</v>
          </cell>
          <cell r="Z48">
            <v>0</v>
          </cell>
          <cell r="AA48">
            <v>0</v>
          </cell>
          <cell r="AB48">
            <v>0</v>
          </cell>
          <cell r="AC48">
            <v>0</v>
          </cell>
          <cell r="AD48">
            <v>0</v>
          </cell>
          <cell r="AG48">
            <v>0</v>
          </cell>
          <cell r="AH48">
            <v>0</v>
          </cell>
          <cell r="AI48">
            <v>0</v>
          </cell>
          <cell r="AJ48">
            <v>0</v>
          </cell>
          <cell r="AK48">
            <v>0</v>
          </cell>
          <cell r="AL48">
            <v>0</v>
          </cell>
          <cell r="AM48">
            <v>0</v>
          </cell>
          <cell r="AN48">
            <v>0</v>
          </cell>
          <cell r="AP48">
            <v>0</v>
          </cell>
          <cell r="AQ48">
            <v>0</v>
          </cell>
          <cell r="AR48">
            <v>0</v>
          </cell>
          <cell r="AS48">
            <v>0</v>
          </cell>
          <cell r="AT48">
            <v>0</v>
          </cell>
          <cell r="AU48">
            <v>0</v>
          </cell>
          <cell r="AV48">
            <v>0</v>
          </cell>
          <cell r="AW48">
            <v>0</v>
          </cell>
        </row>
        <row r="49">
          <cell r="I49">
            <v>0</v>
          </cell>
          <cell r="T49">
            <v>399999.99999999994</v>
          </cell>
          <cell r="AE49">
            <v>0</v>
          </cell>
          <cell r="AJ49">
            <v>0</v>
          </cell>
          <cell r="AN49">
            <v>0</v>
          </cell>
          <cell r="AW49">
            <v>0</v>
          </cell>
        </row>
      </sheetData>
      <sheetData sheetId="4" refreshError="1">
        <row r="18">
          <cell r="D18" t="str">
            <v xml:space="preserve">National Equity Funds </v>
          </cell>
        </row>
        <row r="19">
          <cell r="D19" t="str">
            <v>1825 K Street, NW, Suite 1100, Washington, DC 20006</v>
          </cell>
        </row>
        <row r="21">
          <cell r="E21">
            <v>2027399271</v>
          </cell>
        </row>
        <row r="57">
          <cell r="H57">
            <v>546304.5</v>
          </cell>
        </row>
        <row r="58">
          <cell r="H58">
            <v>1092609</v>
          </cell>
        </row>
        <row r="59">
          <cell r="H59">
            <v>546304.5</v>
          </cell>
        </row>
      </sheetData>
      <sheetData sheetId="5"/>
      <sheetData sheetId="6" refreshError="1">
        <row r="53">
          <cell r="F53">
            <v>110070</v>
          </cell>
          <cell r="H53">
            <v>113751.59999999999</v>
          </cell>
        </row>
        <row r="68">
          <cell r="F68">
            <v>40100</v>
          </cell>
          <cell r="H68">
            <v>40118.6</v>
          </cell>
        </row>
        <row r="69">
          <cell r="F69">
            <v>120350</v>
          </cell>
          <cell r="H69">
            <v>120355.79999999999</v>
          </cell>
        </row>
        <row r="72">
          <cell r="F72">
            <v>0</v>
          </cell>
        </row>
        <row r="81">
          <cell r="F81">
            <v>2166380</v>
          </cell>
        </row>
        <row r="87">
          <cell r="F87">
            <v>85000</v>
          </cell>
        </row>
        <row r="93">
          <cell r="F93">
            <v>85000</v>
          </cell>
          <cell r="H93">
            <v>0</v>
          </cell>
        </row>
        <row r="99">
          <cell r="F99">
            <v>85000</v>
          </cell>
        </row>
        <row r="100">
          <cell r="F100">
            <v>20000</v>
          </cell>
        </row>
        <row r="101">
          <cell r="F101">
            <v>30000</v>
          </cell>
        </row>
        <row r="102">
          <cell r="F102">
            <v>1500</v>
          </cell>
        </row>
        <row r="103">
          <cell r="F103">
            <v>1500</v>
          </cell>
        </row>
        <row r="106">
          <cell r="F106">
            <v>7500</v>
          </cell>
        </row>
        <row r="107">
          <cell r="F107">
            <v>25000</v>
          </cell>
        </row>
        <row r="108">
          <cell r="F108">
            <v>500</v>
          </cell>
        </row>
        <row r="109">
          <cell r="F109">
            <v>25000</v>
          </cell>
        </row>
        <row r="110">
          <cell r="F110">
            <v>10000</v>
          </cell>
        </row>
        <row r="111">
          <cell r="F111">
            <v>10000</v>
          </cell>
        </row>
        <row r="112">
          <cell r="F112">
            <v>15000</v>
          </cell>
        </row>
        <row r="114">
          <cell r="F114">
            <v>35000</v>
          </cell>
        </row>
        <row r="115">
          <cell r="F115">
            <v>367600</v>
          </cell>
          <cell r="H115">
            <v>367632</v>
          </cell>
        </row>
        <row r="117">
          <cell r="F117">
            <v>18500</v>
          </cell>
        </row>
        <row r="135">
          <cell r="F135">
            <v>22000</v>
          </cell>
        </row>
        <row r="139">
          <cell r="F139">
            <v>22000</v>
          </cell>
        </row>
        <row r="170">
          <cell r="F170">
            <v>2925480</v>
          </cell>
        </row>
        <row r="176">
          <cell r="F176" t="str">
            <v>OIB</v>
          </cell>
        </row>
        <row r="178">
          <cell r="F178">
            <v>340262</v>
          </cell>
        </row>
        <row r="179">
          <cell r="F179">
            <v>30</v>
          </cell>
        </row>
        <row r="180">
          <cell r="F180">
            <v>7.8E-2</v>
          </cell>
        </row>
        <row r="181">
          <cell r="F181">
            <v>29393.349162835919</v>
          </cell>
        </row>
        <row r="186">
          <cell r="F186">
            <v>0</v>
          </cell>
        </row>
        <row r="189">
          <cell r="F189">
            <v>0</v>
          </cell>
        </row>
        <row r="197">
          <cell r="F197">
            <v>0</v>
          </cell>
        </row>
        <row r="200">
          <cell r="F200">
            <v>0</v>
          </cell>
        </row>
        <row r="205">
          <cell r="F205">
            <v>0</v>
          </cell>
        </row>
        <row r="208">
          <cell r="F208">
            <v>0</v>
          </cell>
        </row>
        <row r="218">
          <cell r="F218">
            <v>0</v>
          </cell>
        </row>
        <row r="228">
          <cell r="F228">
            <v>0</v>
          </cell>
        </row>
        <row r="234">
          <cell r="F234">
            <v>0</v>
          </cell>
        </row>
        <row r="237">
          <cell r="F237">
            <v>2185218</v>
          </cell>
        </row>
        <row r="239">
          <cell r="F239">
            <v>2185218</v>
          </cell>
        </row>
        <row r="241">
          <cell r="F241">
            <v>2925480</v>
          </cell>
        </row>
      </sheetData>
      <sheetData sheetId="7"/>
      <sheetData sheetId="8"/>
      <sheetData sheetId="9"/>
      <sheetData sheetId="10"/>
      <sheetData sheetId="11"/>
      <sheetData sheetId="12"/>
      <sheetData sheetId="13" refreshError="1">
        <row r="6">
          <cell r="H6">
            <v>0.93</v>
          </cell>
        </row>
      </sheetData>
      <sheetData sheetId="14"/>
      <sheetData sheetId="15" refreshError="1">
        <row r="68">
          <cell r="C68">
            <v>0.23587582208731558</v>
          </cell>
        </row>
      </sheetData>
      <sheetData sheetId="16" refreshError="1">
        <row r="34">
          <cell r="I34">
            <v>9705</v>
          </cell>
        </row>
        <row r="35">
          <cell r="I35" t="str">
            <v>Richland</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row r="255">
          <cell r="AA255">
            <v>0.8110010027885437</v>
          </cell>
        </row>
      </sheetData>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grade"/>
      <sheetName val="Cover"/>
      <sheetName val="Non-Standard Transactions"/>
      <sheetName val="RC Special Conditions"/>
      <sheetName val="StartInput"/>
      <sheetName val="LoanInput"/>
      <sheetName val="RentInput"/>
      <sheetName val="Input Assumptions"/>
      <sheetName val="HistoricInc&amp;Exp"/>
      <sheetName val="ProjectedInc&amp;Exp"/>
      <sheetName val="Rehab Escrow Needs"/>
      <sheetName val="PCA Needs 20 Year Schedule"/>
      <sheetName val="Reserves 20 Year Schedule"/>
      <sheetName val="PCA &amp; R4R TRACKER"/>
      <sheetName val="GPRCompare"/>
      <sheetName val="EquityReturn"/>
      <sheetName val="2ndLoanProForma"/>
      <sheetName val="DS&amp;LoanSizing"/>
      <sheetName val="Sources&amp;Uses"/>
      <sheetName val="AFT Detailed S&amp;U"/>
      <sheetName val="ODE worksheet"/>
      <sheetName val="Scheduled IRP"/>
      <sheetName val="IRP Application"/>
      <sheetName val="IRP Closing Exhibit"/>
      <sheetName val="Exception Rent"/>
      <sheetName val="Scenario Compare"/>
      <sheetName val="S8 Out-Year Recapture"/>
      <sheetName val="Amort"/>
      <sheetName val="Closing and Post Closing Data"/>
      <sheetName val="Exhibit A"/>
      <sheetName val="Exhibit F"/>
      <sheetName val="RestructuringPlanSummary"/>
      <sheetName val="HQ Loan Summary"/>
      <sheetName val="RestructureSummaryType2"/>
      <sheetName val="Flag Summary"/>
      <sheetName val="5.2 Form Data"/>
      <sheetName val="92273-S8"/>
      <sheetName val="92273-S8 (2)"/>
      <sheetName val="92273-S8 (3)"/>
      <sheetName val="Historic PUPA &amp; Percent Change"/>
      <sheetName val="Historic CapRepair Deductions"/>
      <sheetName val="User Work"/>
      <sheetName val="User Work 2"/>
      <sheetName val="HUD-92013 Page 1"/>
      <sheetName val="HUD-92013 Page 2"/>
      <sheetName val="HUD-92013 Page 3"/>
      <sheetName val="HUD-92013 Page 4"/>
      <sheetName val="HUD-92013 Page 5"/>
      <sheetName val="HUD-92013 Page 6"/>
      <sheetName val="HUD-92013 Page 7"/>
      <sheetName val="HUD-92013 Page 8"/>
      <sheetName val="M2M Export"/>
      <sheetName val="Create MIS Upload worksheet"/>
      <sheetName val="Transmission Memo"/>
      <sheetName val="Extraction"/>
      <sheetName val="Extraction2"/>
      <sheetName val="AsstMgmt Data"/>
      <sheetName val="Do Your Own Upgrade"/>
      <sheetName val="Form 7.19"/>
      <sheetName val="Bifurcated IRP"/>
      <sheetName val="Rev"/>
      <sheetName val="Module1"/>
    </sheetNames>
    <sheetDataSet>
      <sheetData sheetId="0" refreshError="1"/>
      <sheetData sheetId="1" refreshError="1"/>
      <sheetData sheetId="2" refreshError="1"/>
      <sheetData sheetId="3" refreshError="1"/>
      <sheetData sheetId="4" refreshError="1">
        <row r="12">
          <cell r="X12" t="str">
            <v>221(d)4</v>
          </cell>
        </row>
        <row r="13">
          <cell r="X13" t="str">
            <v>221(d)3 BMIR</v>
          </cell>
        </row>
        <row r="14">
          <cell r="X14" t="str">
            <v>221(d)3 Mkt Int Rate</v>
          </cell>
        </row>
        <row r="15">
          <cell r="X15" t="str">
            <v>220</v>
          </cell>
        </row>
        <row r="16">
          <cell r="X16" t="str">
            <v>231</v>
          </cell>
        </row>
        <row r="17">
          <cell r="X17" t="str">
            <v>223 (a)7</v>
          </cell>
        </row>
        <row r="18">
          <cell r="X18" t="str">
            <v>223(f)</v>
          </cell>
        </row>
        <row r="19">
          <cell r="X19" t="str">
            <v>236 Int Rdct Pmts</v>
          </cell>
        </row>
        <row r="20">
          <cell r="X20" t="str">
            <v>Other</v>
          </cell>
        </row>
        <row r="21">
          <cell r="X21" t="str">
            <v>Identity of Interest</v>
          </cell>
        </row>
        <row r="22">
          <cell r="X22" t="str">
            <v>Non-Identity of Interest</v>
          </cell>
        </row>
        <row r="31">
          <cell r="X31" t="str">
            <v>Below Average/Distressed</v>
          </cell>
        </row>
        <row r="32">
          <cell r="X32" t="str">
            <v>Average/Typical</v>
          </cell>
        </row>
        <row r="33">
          <cell r="X33" t="str">
            <v>Above Average/Strong</v>
          </cell>
        </row>
        <row r="120">
          <cell r="AC120" t="str">
            <v>Rural</v>
          </cell>
        </row>
        <row r="121">
          <cell r="AC121" t="str">
            <v>Suburban</v>
          </cell>
        </row>
        <row r="122">
          <cell r="AC122" t="str">
            <v>Urban</v>
          </cell>
          <cell r="AD122" t="str">
            <v>Elderly</v>
          </cell>
        </row>
        <row r="123">
          <cell r="AC123" t="str">
            <v>Urban MSA</v>
          </cell>
          <cell r="AD123" t="str">
            <v>Family</v>
          </cell>
        </row>
        <row r="124">
          <cell r="AC124" t="str">
            <v>Urban Other</v>
          </cell>
        </row>
        <row r="125">
          <cell r="AC125" t="str">
            <v>Not Urban</v>
          </cell>
        </row>
        <row r="126">
          <cell r="AC126" t="str">
            <v>Elevator</v>
          </cell>
        </row>
        <row r="127">
          <cell r="AC127" t="str">
            <v>Garden</v>
          </cell>
        </row>
        <row r="128">
          <cell r="AC128" t="str">
            <v>Mixed</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01">
          <cell r="D101" t="str">
            <v>Yes</v>
          </cell>
        </row>
        <row r="102">
          <cell r="D10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Res Bldg Info"/>
      <sheetName val="Acc Bldg Info"/>
      <sheetName val="Subsidy"/>
      <sheetName val="Syndication"/>
      <sheetName val="Unit Info"/>
      <sheetName val="Sources &amp; Uses"/>
      <sheetName val="Calculator"/>
      <sheetName val="Financing Cert"/>
      <sheetName val="Cert of Act Cost"/>
      <sheetName val="Access_Bldgs"/>
      <sheetName val="Find Basis"/>
      <sheetName val="Basis"/>
      <sheetName val="Income"/>
      <sheetName val="ProForma"/>
      <sheetName val="TDC Limits"/>
      <sheetName val="Criteria"/>
      <sheetName val="Cert of Demand"/>
      <sheetName val="Local Jurisdiction"/>
      <sheetName val="Schedule"/>
      <sheetName val="Development Team"/>
      <sheetName val="Forms"/>
      <sheetName val="Non-Profit"/>
      <sheetName val="Ownership Info"/>
      <sheetName val="Site Control"/>
      <sheetName val="Ownership History"/>
      <sheetName val="RD wksht"/>
      <sheetName val="QCT wksht"/>
      <sheetName val="sub_rehab"/>
      <sheetName val="Master Auditor"/>
      <sheetName val="Lists"/>
      <sheetName val="Checklist"/>
      <sheetName val="Print Out"/>
      <sheetName val="FMR 2050"/>
      <sheetName val="FMR 4060"/>
    </sheetNames>
    <sheetDataSet>
      <sheetData sheetId="0" refreshError="1">
        <row r="212">
          <cell r="I212">
            <v>36416</v>
          </cell>
        </row>
        <row r="214">
          <cell r="I214">
            <v>2200</v>
          </cell>
        </row>
      </sheetData>
      <sheetData sheetId="1" refreshError="1"/>
      <sheetData sheetId="2" refreshError="1"/>
      <sheetData sheetId="3" refreshError="1"/>
      <sheetData sheetId="4" refreshError="1"/>
      <sheetData sheetId="5" refreshError="1"/>
      <sheetData sheetId="6" refreshError="1">
        <row r="127">
          <cell r="F127">
            <v>2903480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on-Standard Transactions"/>
      <sheetName val="RC Special Conditions"/>
      <sheetName val="StartInput"/>
      <sheetName val="LoanInput"/>
      <sheetName val="RentInput"/>
      <sheetName val="Input Assumptions"/>
      <sheetName val="HistoricInc&amp;Exp"/>
      <sheetName val="ProjectedInc&amp;Exp"/>
      <sheetName val="Rehab Escrow Needs"/>
      <sheetName val="PCA Needs 20 Year Schedule"/>
      <sheetName val="Reserves 20 Year Schedule"/>
      <sheetName val="PCA &amp; R4R TRACKER"/>
      <sheetName val="GPRCompare"/>
      <sheetName val="EquityReturn"/>
      <sheetName val="2ndLoanProForma"/>
      <sheetName val="DS&amp;LoanSizing"/>
      <sheetName val="Sources&amp;Uses"/>
      <sheetName val="AFT Detailed S&amp;U"/>
      <sheetName val="ODE worksheet"/>
      <sheetName val="Scheduled IRP"/>
      <sheetName val="Bifurcated IRP"/>
      <sheetName val="IRP Application"/>
      <sheetName val="S8 Out-Year Recapture"/>
      <sheetName val="Exception Rent"/>
      <sheetName val="Scenario Compare"/>
      <sheetName val="Amort"/>
      <sheetName val="Closing and Post Closing Data"/>
      <sheetName val="Exhibit A"/>
      <sheetName val="Exhibit F"/>
      <sheetName val="IRP Closing Exhibit"/>
      <sheetName val="RestructuringPlanSummary"/>
      <sheetName val="HQ Loan Summary"/>
      <sheetName val="RestructureSummaryType2"/>
      <sheetName val="Flag Summary"/>
      <sheetName val="5.2 Form Data"/>
      <sheetName val="92273-S8"/>
      <sheetName val="92273-S8 (2)"/>
      <sheetName val="92273-S8 (3)"/>
      <sheetName val="Historic PUPA &amp; Percent Change"/>
      <sheetName val="Historic CapRepair Deductions"/>
      <sheetName val="User Work"/>
      <sheetName val="User Work 2"/>
      <sheetName val="HUD-92013 Page 1"/>
      <sheetName val="HUD-92013 Page 2"/>
      <sheetName val="HUD-92013 Page 3"/>
      <sheetName val="HUD-92013 Page 4"/>
      <sheetName val="HUD-92013 Page 5"/>
      <sheetName val="HUD-92013 Page 6"/>
      <sheetName val="HUD-92013 Page 7"/>
      <sheetName val="HUD-92013 Page 8"/>
      <sheetName val="M2M Export"/>
      <sheetName val="Create MIS Upload worksheet"/>
      <sheetName val="Create Standard Model"/>
      <sheetName val="Form 7.19"/>
      <sheetName val="Transmission Memo"/>
      <sheetName val="Extraction"/>
      <sheetName val="Extraction2"/>
      <sheetName val="AsstMgmt Data"/>
      <sheetName val="Rev"/>
      <sheetName val="Module1"/>
    </sheetNames>
    <sheetDataSet>
      <sheetData sheetId="0" refreshError="1"/>
      <sheetData sheetId="1" refreshError="1"/>
      <sheetData sheetId="2" refreshError="1"/>
      <sheetData sheetId="3" refreshError="1"/>
      <sheetData sheetId="4" refreshError="1">
        <row r="14">
          <cell r="AD14" t="str">
            <v>FHA Insured</v>
          </cell>
        </row>
        <row r="15">
          <cell r="AD15" t="str">
            <v>Conventional</v>
          </cell>
        </row>
        <row r="16">
          <cell r="AD16" t="str">
            <v>HUD Held</v>
          </cell>
        </row>
        <row r="17">
          <cell r="AD17" t="str">
            <v>Risk Shared</v>
          </cell>
        </row>
        <row r="18">
          <cell r="AD18" t="str">
            <v>Other</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81">
          <cell r="AE81">
            <v>1</v>
          </cell>
          <cell r="AF81">
            <v>1</v>
          </cell>
        </row>
        <row r="82">
          <cell r="AE82">
            <v>2</v>
          </cell>
          <cell r="AF82">
            <v>2</v>
          </cell>
        </row>
        <row r="83">
          <cell r="AE83">
            <v>3</v>
          </cell>
          <cell r="AF83">
            <v>3</v>
          </cell>
        </row>
        <row r="84">
          <cell r="AE84">
            <v>4</v>
          </cell>
          <cell r="AF84">
            <v>4</v>
          </cell>
        </row>
        <row r="85">
          <cell r="AF85">
            <v>5</v>
          </cell>
        </row>
        <row r="86">
          <cell r="AF86">
            <v>6</v>
          </cell>
        </row>
        <row r="87">
          <cell r="AF87">
            <v>7</v>
          </cell>
        </row>
        <row r="88">
          <cell r="AF88">
            <v>8</v>
          </cell>
        </row>
        <row r="89">
          <cell r="AF89">
            <v>9</v>
          </cell>
        </row>
        <row r="90">
          <cell r="AF90">
            <v>10</v>
          </cell>
        </row>
        <row r="91">
          <cell r="AF91">
            <v>11</v>
          </cell>
        </row>
        <row r="92">
          <cell r="AF92">
            <v>12</v>
          </cell>
        </row>
        <row r="93">
          <cell r="AF93">
            <v>13</v>
          </cell>
        </row>
        <row r="94">
          <cell r="AF94">
            <v>14</v>
          </cell>
        </row>
        <row r="95">
          <cell r="AF95">
            <v>15</v>
          </cell>
        </row>
        <row r="96">
          <cell r="AF96">
            <v>16</v>
          </cell>
        </row>
        <row r="97">
          <cell r="AF97">
            <v>17</v>
          </cell>
        </row>
        <row r="98">
          <cell r="AF98">
            <v>18</v>
          </cell>
        </row>
        <row r="99">
          <cell r="AF99">
            <v>19</v>
          </cell>
        </row>
        <row r="100">
          <cell r="AF100">
            <v>20</v>
          </cell>
        </row>
        <row r="101">
          <cell r="AF101">
            <v>21</v>
          </cell>
        </row>
        <row r="102">
          <cell r="AF102">
            <v>22</v>
          </cell>
        </row>
        <row r="103">
          <cell r="AF103">
            <v>23</v>
          </cell>
        </row>
        <row r="104">
          <cell r="AF104">
            <v>24</v>
          </cell>
        </row>
        <row r="105">
          <cell r="AF105">
            <v>25</v>
          </cell>
        </row>
        <row r="106">
          <cell r="AF106">
            <v>26</v>
          </cell>
        </row>
        <row r="107">
          <cell r="AF107">
            <v>27</v>
          </cell>
        </row>
        <row r="108">
          <cell r="AF108">
            <v>28</v>
          </cell>
        </row>
        <row r="109">
          <cell r="AF109">
            <v>29</v>
          </cell>
        </row>
        <row r="110">
          <cell r="AF110">
            <v>30</v>
          </cell>
        </row>
        <row r="111">
          <cell r="AF111">
            <v>31</v>
          </cell>
        </row>
        <row r="112">
          <cell r="AF112">
            <v>32</v>
          </cell>
        </row>
        <row r="113">
          <cell r="AF113">
            <v>33</v>
          </cell>
        </row>
        <row r="114">
          <cell r="AF114">
            <v>34</v>
          </cell>
        </row>
        <row r="115">
          <cell r="AF115">
            <v>35</v>
          </cell>
        </row>
        <row r="116">
          <cell r="AF116">
            <v>36</v>
          </cell>
        </row>
        <row r="117">
          <cell r="AF117">
            <v>37</v>
          </cell>
        </row>
        <row r="118">
          <cell r="AF118">
            <v>38</v>
          </cell>
        </row>
        <row r="119">
          <cell r="AF119">
            <v>39</v>
          </cell>
        </row>
        <row r="120">
          <cell r="AF120">
            <v>40</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Res Bldg Info"/>
      <sheetName val="Acc Bldg Info"/>
      <sheetName val="Subsidy"/>
      <sheetName val="Syndication"/>
      <sheetName val="Unit Info"/>
      <sheetName val="Sources &amp; Uses"/>
      <sheetName val="Calculator"/>
      <sheetName val="Financing Cert"/>
      <sheetName val="Cert of Act Cost"/>
      <sheetName val="Access_Bldgs"/>
      <sheetName val="Find Basis"/>
      <sheetName val="Basis"/>
      <sheetName val="Income"/>
      <sheetName val="ProForma"/>
      <sheetName val="TDC Limits"/>
      <sheetName val="Criteria"/>
      <sheetName val="Cert of Demand"/>
      <sheetName val="Local Jurisdiction"/>
      <sheetName val="Schedule"/>
      <sheetName val="Development Team"/>
      <sheetName val="Forms"/>
      <sheetName val="Non-Profit"/>
      <sheetName val="Ownership Info"/>
      <sheetName val="Site Control"/>
      <sheetName val="Ownership History"/>
      <sheetName val="RD wksht"/>
      <sheetName val="QCT wksht"/>
      <sheetName val="sub_rehab"/>
      <sheetName val="Master Auditor"/>
      <sheetName val="Lists"/>
      <sheetName val="Checklist"/>
      <sheetName val="Print Out"/>
      <sheetName val="FMR 2050"/>
      <sheetName val="FMR 406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19">
          <cell r="B19" t="str">
            <v>select from list</v>
          </cell>
        </row>
        <row r="20">
          <cell r="B20" t="str">
            <v>ACADIA</v>
          </cell>
        </row>
        <row r="21">
          <cell r="B21" t="str">
            <v>ALLEN</v>
          </cell>
        </row>
        <row r="22">
          <cell r="B22" t="str">
            <v>ASCENSION</v>
          </cell>
        </row>
        <row r="23">
          <cell r="B23" t="str">
            <v>ASSUMPTION</v>
          </cell>
        </row>
        <row r="24">
          <cell r="B24" t="str">
            <v>AVOYELLES</v>
          </cell>
        </row>
        <row r="25">
          <cell r="B25" t="str">
            <v>BEAUREGARD</v>
          </cell>
        </row>
        <row r="26">
          <cell r="B26" t="str">
            <v>BIENVILLE</v>
          </cell>
        </row>
        <row r="27">
          <cell r="B27" t="str">
            <v>BOSSIER</v>
          </cell>
        </row>
        <row r="28">
          <cell r="B28" t="str">
            <v>CADDO</v>
          </cell>
        </row>
        <row r="29">
          <cell r="B29" t="str">
            <v>CALCASIEU</v>
          </cell>
        </row>
        <row r="30">
          <cell r="B30" t="str">
            <v>CALDWELL</v>
          </cell>
        </row>
        <row r="31">
          <cell r="B31" t="str">
            <v>CAMERON</v>
          </cell>
        </row>
        <row r="32">
          <cell r="B32" t="str">
            <v>CATAHOULA</v>
          </cell>
        </row>
        <row r="33">
          <cell r="B33" t="str">
            <v>CLAIBORNE</v>
          </cell>
        </row>
        <row r="34">
          <cell r="B34" t="str">
            <v>CONCORDIA</v>
          </cell>
        </row>
        <row r="35">
          <cell r="B35" t="str">
            <v>DESOTO</v>
          </cell>
        </row>
        <row r="36">
          <cell r="B36" t="str">
            <v>E. BATON ROUGE</v>
          </cell>
        </row>
        <row r="37">
          <cell r="B37" t="str">
            <v>EAST CARROLL</v>
          </cell>
        </row>
        <row r="38">
          <cell r="B38" t="str">
            <v>E. FELICIANA</v>
          </cell>
        </row>
        <row r="39">
          <cell r="B39" t="str">
            <v>EVANGELINE</v>
          </cell>
        </row>
        <row r="40">
          <cell r="B40" t="str">
            <v>FRANKLIN</v>
          </cell>
        </row>
        <row r="41">
          <cell r="B41" t="str">
            <v>GRANT</v>
          </cell>
        </row>
        <row r="42">
          <cell r="B42" t="str">
            <v>IBERIA</v>
          </cell>
        </row>
        <row r="43">
          <cell r="B43" t="str">
            <v>IBERVILLE</v>
          </cell>
        </row>
        <row r="44">
          <cell r="B44" t="str">
            <v>JACKSON</v>
          </cell>
        </row>
        <row r="45">
          <cell r="B45" t="str">
            <v>JEFFERSON</v>
          </cell>
        </row>
        <row r="46">
          <cell r="B46" t="str">
            <v>JEFFERSON DAVIS</v>
          </cell>
        </row>
        <row r="47">
          <cell r="B47" t="str">
            <v>LAFAYETTE</v>
          </cell>
        </row>
        <row r="48">
          <cell r="B48" t="str">
            <v>LAFOURCHE</v>
          </cell>
        </row>
        <row r="49">
          <cell r="B49" t="str">
            <v>LASALLE</v>
          </cell>
        </row>
        <row r="50">
          <cell r="B50" t="str">
            <v>LINCOLN</v>
          </cell>
        </row>
        <row r="51">
          <cell r="B51" t="str">
            <v>LIVINGSTON</v>
          </cell>
        </row>
        <row r="52">
          <cell r="B52" t="str">
            <v>MADISON</v>
          </cell>
        </row>
        <row r="53">
          <cell r="B53" t="str">
            <v>MOREHOUSE</v>
          </cell>
        </row>
        <row r="54">
          <cell r="B54" t="str">
            <v>NATCHITOCHES</v>
          </cell>
        </row>
        <row r="55">
          <cell r="B55" t="str">
            <v>ORLEANS</v>
          </cell>
        </row>
        <row r="56">
          <cell r="B56" t="str">
            <v>OUACHITA</v>
          </cell>
        </row>
        <row r="57">
          <cell r="B57" t="str">
            <v>PLAQUEMINES</v>
          </cell>
        </row>
        <row r="58">
          <cell r="B58" t="str">
            <v>POINTE COUPEE</v>
          </cell>
        </row>
        <row r="59">
          <cell r="B59" t="str">
            <v>RAPIDES</v>
          </cell>
        </row>
        <row r="60">
          <cell r="B60" t="str">
            <v>RED RIVER</v>
          </cell>
        </row>
        <row r="61">
          <cell r="B61" t="str">
            <v>RICHLAND</v>
          </cell>
        </row>
        <row r="62">
          <cell r="B62" t="str">
            <v>SABINE</v>
          </cell>
        </row>
        <row r="63">
          <cell r="B63" t="str">
            <v>ST. BERNARD</v>
          </cell>
        </row>
        <row r="64">
          <cell r="B64" t="str">
            <v>ST. CHARLES</v>
          </cell>
        </row>
        <row r="65">
          <cell r="B65" t="str">
            <v>ST. HELENA</v>
          </cell>
        </row>
        <row r="66">
          <cell r="B66" t="str">
            <v>ST. JAMES</v>
          </cell>
        </row>
        <row r="67">
          <cell r="B67" t="str">
            <v>ST. JOHN</v>
          </cell>
        </row>
        <row r="68">
          <cell r="B68" t="str">
            <v>ST. LANDRY</v>
          </cell>
        </row>
        <row r="69">
          <cell r="B69" t="str">
            <v>ST. MARTIN</v>
          </cell>
        </row>
        <row r="70">
          <cell r="B70" t="str">
            <v>ST. MARY</v>
          </cell>
        </row>
        <row r="71">
          <cell r="B71" t="str">
            <v>ST. TAMMANY</v>
          </cell>
        </row>
        <row r="72">
          <cell r="B72" t="str">
            <v>TANGIPAHOA</v>
          </cell>
        </row>
        <row r="73">
          <cell r="B73" t="str">
            <v>TENSAS</v>
          </cell>
        </row>
        <row r="74">
          <cell r="B74" t="str">
            <v>TERREBONNE</v>
          </cell>
        </row>
        <row r="75">
          <cell r="B75" t="str">
            <v>UNION</v>
          </cell>
        </row>
        <row r="76">
          <cell r="B76" t="str">
            <v>VERMILION</v>
          </cell>
        </row>
        <row r="77">
          <cell r="B77" t="str">
            <v>VERNON</v>
          </cell>
        </row>
        <row r="78">
          <cell r="B78" t="str">
            <v>WASHINGTON</v>
          </cell>
        </row>
        <row r="79">
          <cell r="B79" t="str">
            <v>WEBSTER</v>
          </cell>
        </row>
        <row r="80">
          <cell r="B80" t="str">
            <v>W. BATON ROUGE</v>
          </cell>
        </row>
        <row r="81">
          <cell r="B81" t="str">
            <v>W. CARROLL</v>
          </cell>
        </row>
        <row r="82">
          <cell r="B82" t="str">
            <v>W. FELICIANA</v>
          </cell>
        </row>
        <row r="83">
          <cell r="B83" t="str">
            <v>WINN</v>
          </cell>
        </row>
      </sheetData>
      <sheetData sheetId="31" refreshError="1"/>
      <sheetData sheetId="32" refreshError="1"/>
      <sheetData sheetId="33" refreshError="1"/>
      <sheetData sheetId="3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rimary Input"/>
      <sheetName val="Secondary Input"/>
      <sheetName val="Rental Income"/>
      <sheetName val="Rehab Construction"/>
      <sheetName val="Reserve Needs"/>
      <sheetName val="Reserve 20 Yr Schedule"/>
      <sheetName val="Syndication"/>
      <sheetName val="Loan Information"/>
      <sheetName val="Sources&amp;Uses"/>
      <sheetName val="Financing Cert"/>
      <sheetName val="Amortization"/>
      <sheetName val="Pro Forma Calculation"/>
      <sheetName val="Pro Forma"/>
      <sheetName val="Building Information"/>
      <sheetName val="Basis Calculation"/>
      <sheetName val="Project Schedule"/>
      <sheetName val="Development Team"/>
      <sheetName val="Selection Criteria"/>
      <sheetName val="Auditor"/>
      <sheetName val="Checklist"/>
      <sheetName val="Certification"/>
      <sheetName val="Appendix 1"/>
      <sheetName val="Appendix 2"/>
      <sheetName val="Appendix 3"/>
      <sheetName val="Appendix 4"/>
      <sheetName val="Appendix 11"/>
      <sheetName val="Appendix 14"/>
      <sheetName val="Appendix 31"/>
      <sheetName val="Appendix 41"/>
      <sheetName val="Appendix 42"/>
      <sheetName val="5020"/>
      <sheetName val="406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4">
          <cell r="J34">
            <v>0</v>
          </cell>
        </row>
        <row r="212">
          <cell r="C212">
            <v>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val="CCFFCC"/>
        </a:solidFill>
        <a:ln w="9525">
          <a:solidFill>
            <a:srgbClr val="000000"/>
          </a:solidFill>
          <a:miter lim="800000"/>
          <a:headEnd/>
          <a:tailEnd/>
        </a:ln>
      </a:spPr>
      <a:body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39997558519241921"/>
    <pageSetUpPr fitToPage="1"/>
  </sheetPr>
  <dimension ref="A1:J45"/>
  <sheetViews>
    <sheetView tabSelected="1" zoomScaleNormal="100" workbookViewId="0">
      <selection activeCell="D8" sqref="D8"/>
    </sheetView>
  </sheetViews>
  <sheetFormatPr defaultColWidth="9.140625" defaultRowHeight="12.75" x14ac:dyDescent="0.2"/>
  <cols>
    <col min="1" max="2" width="3.7109375" style="3" customWidth="1"/>
    <col min="3" max="3" width="15.7109375" style="3" customWidth="1"/>
    <col min="4" max="4" width="18.5703125" style="3" bestFit="1" customWidth="1"/>
    <col min="5" max="5" width="23.140625" style="3" customWidth="1"/>
    <col min="6" max="6" width="9.140625" style="3"/>
    <col min="7" max="7" width="18.28515625" style="3" customWidth="1"/>
    <col min="8" max="8" width="29.42578125" style="3" customWidth="1"/>
    <col min="9" max="9" width="16.85546875" style="3" customWidth="1"/>
    <col min="10" max="10" width="3.7109375" style="3" customWidth="1"/>
    <col min="11" max="16384" width="9.140625" style="3"/>
  </cols>
  <sheetData>
    <row r="1" spans="1:10" ht="17.25" customHeight="1" thickTop="1" x14ac:dyDescent="0.25">
      <c r="A1" s="274" t="s">
        <v>5</v>
      </c>
      <c r="B1" s="945"/>
      <c r="C1" s="946"/>
      <c r="D1" s="946"/>
      <c r="E1" s="946"/>
      <c r="F1" s="946"/>
      <c r="G1" s="946"/>
      <c r="H1" s="946"/>
      <c r="I1" s="947"/>
    </row>
    <row r="2" spans="1:10" ht="17.25" customHeight="1" x14ac:dyDescent="0.25">
      <c r="A2" s="948"/>
      <c r="B2" s="1371">
        <f>+'Primary Input'!G5</f>
        <v>0</v>
      </c>
      <c r="C2" s="1372"/>
      <c r="D2" s="1372"/>
      <c r="E2" s="1372"/>
      <c r="F2" s="1372"/>
      <c r="G2" s="1372"/>
      <c r="H2" s="1372"/>
      <c r="I2" s="1373"/>
    </row>
    <row r="3" spans="1:10" ht="32.25" customHeight="1" x14ac:dyDescent="0.2">
      <c r="A3" s="949"/>
      <c r="B3" s="1378">
        <f>+'Primary Input'!E6</f>
        <v>0</v>
      </c>
      <c r="C3" s="1379"/>
      <c r="D3" s="1379"/>
      <c r="E3" s="1379"/>
      <c r="F3" s="1379"/>
      <c r="G3" s="1379"/>
      <c r="H3" s="1379"/>
      <c r="I3" s="1380"/>
    </row>
    <row r="4" spans="1:10" ht="15" customHeight="1" thickBot="1" x14ac:dyDescent="0.25">
      <c r="A4" s="949"/>
      <c r="B4" s="189"/>
      <c r="C4" s="189"/>
      <c r="D4" s="189"/>
      <c r="E4" s="189"/>
      <c r="F4" s="189"/>
      <c r="G4" s="189"/>
      <c r="H4" s="189"/>
      <c r="I4" s="950"/>
    </row>
    <row r="5" spans="1:10" ht="38.25" customHeight="1" thickBot="1" x14ac:dyDescent="0.25">
      <c r="A5" s="949"/>
      <c r="B5" s="1375" t="s">
        <v>829</v>
      </c>
      <c r="C5" s="1376"/>
      <c r="D5" s="1376"/>
      <c r="E5" s="1376"/>
      <c r="F5" s="1376"/>
      <c r="G5" s="1376"/>
      <c r="H5" s="1376"/>
      <c r="I5" s="1377"/>
    </row>
    <row r="6" spans="1:10" ht="42" customHeight="1" x14ac:dyDescent="0.2">
      <c r="A6" s="949"/>
      <c r="B6" s="189"/>
      <c r="C6" s="191"/>
      <c r="D6" s="192"/>
      <c r="E6" s="192"/>
      <c r="F6" s="193"/>
      <c r="G6" s="193"/>
      <c r="H6" s="194"/>
      <c r="I6" s="950"/>
    </row>
    <row r="7" spans="1:10" ht="18.75" customHeight="1" x14ac:dyDescent="0.25">
      <c r="A7" s="949"/>
      <c r="B7" s="189"/>
      <c r="C7" s="195" t="s">
        <v>6</v>
      </c>
      <c r="D7" s="196" t="s">
        <v>2024</v>
      </c>
      <c r="E7" s="197"/>
      <c r="F7" s="189"/>
      <c r="G7" s="198"/>
      <c r="H7" s="199"/>
      <c r="I7" s="950"/>
    </row>
    <row r="8" spans="1:10" ht="6.75" customHeight="1" x14ac:dyDescent="0.45">
      <c r="A8" s="949"/>
      <c r="B8" s="189"/>
      <c r="C8" s="200"/>
      <c r="D8" s="197"/>
      <c r="E8" s="197"/>
      <c r="F8" s="189"/>
      <c r="G8" s="189"/>
      <c r="H8" s="201"/>
      <c r="I8" s="950"/>
    </row>
    <row r="9" spans="1:10" ht="15.75" x14ac:dyDescent="0.25">
      <c r="A9" s="949"/>
      <c r="B9" s="189"/>
      <c r="C9" s="197"/>
      <c r="D9" s="197"/>
      <c r="E9" s="197"/>
      <c r="F9" s="189"/>
      <c r="G9" s="189"/>
      <c r="H9" s="189"/>
      <c r="I9" s="950"/>
    </row>
    <row r="10" spans="1:10" ht="18.75" x14ac:dyDescent="0.3">
      <c r="A10" s="949"/>
      <c r="B10" s="189"/>
      <c r="C10" s="189"/>
      <c r="D10" s="202" t="s">
        <v>7</v>
      </c>
      <c r="E10" s="1374">
        <f>+'Primary Input'!E7</f>
        <v>0</v>
      </c>
      <c r="F10" s="1374"/>
      <c r="G10" s="1374"/>
      <c r="H10" s="1374"/>
      <c r="I10" s="950"/>
    </row>
    <row r="11" spans="1:10" ht="18.75" x14ac:dyDescent="0.3">
      <c r="A11" s="949"/>
      <c r="B11" s="189"/>
      <c r="C11" s="203"/>
      <c r="D11" s="202" t="s">
        <v>8</v>
      </c>
      <c r="E11" s="1374">
        <f>+'Primary Input'!E10</f>
        <v>0</v>
      </c>
      <c r="F11" s="1374"/>
      <c r="G11" s="1374"/>
      <c r="H11" s="1374"/>
      <c r="I11" s="950"/>
      <c r="J11" s="4"/>
    </row>
    <row r="12" spans="1:10" x14ac:dyDescent="0.2">
      <c r="A12" s="190"/>
      <c r="B12" s="189"/>
      <c r="C12" s="204"/>
      <c r="D12" s="204"/>
      <c r="E12" s="205"/>
      <c r="F12" s="189"/>
      <c r="G12" s="189"/>
      <c r="H12" s="189"/>
      <c r="I12" s="206"/>
      <c r="J12" s="4"/>
    </row>
    <row r="13" spans="1:10" x14ac:dyDescent="0.2">
      <c r="A13" s="190"/>
      <c r="B13" s="189"/>
      <c r="C13" s="204"/>
      <c r="D13" s="204"/>
      <c r="E13" s="205"/>
      <c r="F13" s="189"/>
      <c r="G13" s="189"/>
      <c r="H13" s="189"/>
      <c r="I13" s="206"/>
      <c r="J13" s="4"/>
    </row>
    <row r="14" spans="1:10" x14ac:dyDescent="0.2">
      <c r="A14" s="190"/>
      <c r="B14" s="189"/>
      <c r="C14" s="204"/>
      <c r="D14" s="204"/>
      <c r="E14" s="205"/>
      <c r="F14" s="189"/>
      <c r="G14" s="189"/>
      <c r="H14" s="189"/>
      <c r="I14" s="206"/>
      <c r="J14" s="4"/>
    </row>
    <row r="15" spans="1:10" x14ac:dyDescent="0.2">
      <c r="A15" s="190"/>
      <c r="B15" s="189"/>
      <c r="C15" s="204"/>
      <c r="D15" s="204"/>
      <c r="E15" s="205"/>
      <c r="F15" s="189"/>
      <c r="G15" s="189"/>
      <c r="H15" s="189"/>
      <c r="I15" s="206"/>
      <c r="J15" s="4"/>
    </row>
    <row r="16" spans="1:10" x14ac:dyDescent="0.2">
      <c r="A16" s="190"/>
      <c r="B16" s="189"/>
      <c r="C16" s="204"/>
      <c r="D16" s="204"/>
      <c r="E16" s="205"/>
      <c r="F16" s="189"/>
      <c r="G16" s="189"/>
      <c r="H16" s="189"/>
      <c r="I16" s="206"/>
      <c r="J16" s="4"/>
    </row>
    <row r="17" spans="1:10" x14ac:dyDescent="0.2">
      <c r="A17" s="190"/>
      <c r="B17" s="189"/>
      <c r="C17" s="204"/>
      <c r="D17" s="204"/>
      <c r="E17" s="205"/>
      <c r="F17" s="189"/>
      <c r="G17" s="189"/>
      <c r="H17" s="189"/>
      <c r="I17" s="206"/>
      <c r="J17" s="4"/>
    </row>
    <row r="18" spans="1:10" x14ac:dyDescent="0.2">
      <c r="A18" s="190"/>
      <c r="B18" s="189"/>
      <c r="C18" s="204"/>
      <c r="D18" s="204"/>
      <c r="E18" s="205"/>
      <c r="F18" s="189"/>
      <c r="G18" s="189"/>
      <c r="H18" s="189"/>
      <c r="I18" s="206"/>
      <c r="J18" s="4"/>
    </row>
    <row r="19" spans="1:10" x14ac:dyDescent="0.2">
      <c r="A19" s="190"/>
      <c r="B19" s="189"/>
      <c r="C19" s="204"/>
      <c r="D19" s="204"/>
      <c r="E19" s="205"/>
      <c r="F19" s="189"/>
      <c r="G19" s="189"/>
      <c r="H19" s="189"/>
      <c r="I19" s="206"/>
      <c r="J19" s="4"/>
    </row>
    <row r="20" spans="1:10" x14ac:dyDescent="0.2">
      <c r="A20" s="190"/>
      <c r="B20" s="189"/>
      <c r="C20" s="204"/>
      <c r="D20" s="204"/>
      <c r="E20" s="205"/>
      <c r="F20" s="189"/>
      <c r="G20" s="189"/>
      <c r="H20" s="189"/>
      <c r="I20" s="206"/>
      <c r="J20" s="4"/>
    </row>
    <row r="21" spans="1:10" x14ac:dyDescent="0.2">
      <c r="A21" s="190"/>
      <c r="B21" s="189"/>
      <c r="C21" s="204"/>
      <c r="D21" s="204"/>
      <c r="E21" s="205"/>
      <c r="F21" s="189"/>
      <c r="G21" s="189"/>
      <c r="H21" s="189"/>
      <c r="I21" s="206"/>
      <c r="J21" s="4"/>
    </row>
    <row r="22" spans="1:10" x14ac:dyDescent="0.2">
      <c r="A22" s="190"/>
      <c r="B22" s="189"/>
      <c r="C22" s="204"/>
      <c r="D22" s="204"/>
      <c r="E22" s="205"/>
      <c r="F22" s="189"/>
      <c r="G22" s="189"/>
      <c r="H22" s="189"/>
      <c r="I22" s="206"/>
      <c r="J22" s="4"/>
    </row>
    <row r="23" spans="1:10" x14ac:dyDescent="0.2">
      <c r="A23" s="190"/>
      <c r="B23" s="189"/>
      <c r="C23" s="204"/>
      <c r="D23" s="204"/>
      <c r="E23" s="205"/>
      <c r="F23" s="189"/>
      <c r="G23" s="189"/>
      <c r="H23" s="189"/>
      <c r="I23" s="206"/>
      <c r="J23" s="4"/>
    </row>
    <row r="24" spans="1:10" x14ac:dyDescent="0.2">
      <c r="A24" s="190"/>
      <c r="B24" s="189"/>
      <c r="C24" s="204"/>
      <c r="D24" s="204"/>
      <c r="E24" s="205"/>
      <c r="F24" s="189"/>
      <c r="G24" s="189"/>
      <c r="H24" s="189"/>
      <c r="I24" s="206"/>
      <c r="J24" s="4"/>
    </row>
    <row r="25" spans="1:10" x14ac:dyDescent="0.2">
      <c r="A25" s="190"/>
      <c r="B25" s="189"/>
      <c r="C25" s="204"/>
      <c r="D25" s="204"/>
      <c r="E25" s="205"/>
      <c r="F25" s="189"/>
      <c r="G25" s="189"/>
      <c r="H25" s="189"/>
      <c r="I25" s="206"/>
      <c r="J25" s="4"/>
    </row>
    <row r="26" spans="1:10" x14ac:dyDescent="0.2">
      <c r="A26" s="190"/>
      <c r="B26" s="189"/>
      <c r="C26" s="204"/>
      <c r="D26" s="204"/>
      <c r="E26" s="205"/>
      <c r="F26" s="189"/>
      <c r="G26" s="189"/>
      <c r="H26" s="189"/>
      <c r="I26" s="206"/>
      <c r="J26" s="4"/>
    </row>
    <row r="27" spans="1:10" x14ac:dyDescent="0.2">
      <c r="A27" s="190"/>
      <c r="B27" s="189"/>
      <c r="C27" s="204"/>
      <c r="D27" s="204"/>
      <c r="E27" s="205"/>
      <c r="F27" s="189"/>
      <c r="G27" s="189"/>
      <c r="H27" s="189"/>
      <c r="I27" s="206"/>
      <c r="J27" s="4"/>
    </row>
    <row r="28" spans="1:10" x14ac:dyDescent="0.2">
      <c r="A28" s="190"/>
      <c r="B28" s="189"/>
      <c r="C28" s="204"/>
      <c r="D28" s="204"/>
      <c r="E28" s="205"/>
      <c r="F28" s="189"/>
      <c r="G28" s="189"/>
      <c r="H28" s="189"/>
      <c r="I28" s="206"/>
      <c r="J28" s="4"/>
    </row>
    <row r="29" spans="1:10" x14ac:dyDescent="0.2">
      <c r="A29" s="190"/>
      <c r="B29" s="189"/>
      <c r="C29" s="204"/>
      <c r="D29" s="204"/>
      <c r="E29" s="205"/>
      <c r="F29" s="189"/>
      <c r="G29" s="189"/>
      <c r="H29" s="189"/>
      <c r="I29" s="206"/>
      <c r="J29" s="4"/>
    </row>
    <row r="30" spans="1:10" x14ac:dyDescent="0.2">
      <c r="A30" s="190"/>
      <c r="B30" s="189"/>
      <c r="C30" s="204"/>
      <c r="D30" s="204"/>
      <c r="E30" s="205"/>
      <c r="F30" s="189"/>
      <c r="G30" s="189"/>
      <c r="H30" s="189"/>
      <c r="I30" s="206"/>
      <c r="J30" s="4"/>
    </row>
    <row r="31" spans="1:10" x14ac:dyDescent="0.2">
      <c r="A31" s="190"/>
      <c r="B31" s="189"/>
      <c r="C31" s="204"/>
      <c r="D31" s="204"/>
      <c r="E31" s="205"/>
      <c r="F31" s="189"/>
      <c r="G31" s="189"/>
      <c r="H31" s="189"/>
      <c r="I31" s="206"/>
      <c r="J31" s="4"/>
    </row>
    <row r="32" spans="1:10" x14ac:dyDescent="0.2">
      <c r="A32" s="190"/>
      <c r="B32" s="189"/>
      <c r="C32" s="204"/>
      <c r="D32" s="204"/>
      <c r="E32" s="205"/>
      <c r="F32" s="189"/>
      <c r="G32" s="189"/>
      <c r="H32" s="189"/>
      <c r="I32" s="206"/>
      <c r="J32" s="4"/>
    </row>
    <row r="33" spans="1:10" x14ac:dyDescent="0.2">
      <c r="A33" s="190"/>
      <c r="B33" s="189"/>
      <c r="C33" s="204"/>
      <c r="D33" s="204"/>
      <c r="E33" s="205"/>
      <c r="F33" s="189"/>
      <c r="G33" s="189"/>
      <c r="H33" s="189"/>
      <c r="I33" s="206"/>
      <c r="J33" s="4"/>
    </row>
    <row r="34" spans="1:10" x14ac:dyDescent="0.2">
      <c r="A34" s="190"/>
      <c r="B34" s="189"/>
      <c r="C34" s="204"/>
      <c r="D34" s="204"/>
      <c r="E34" s="205"/>
      <c r="F34" s="189"/>
      <c r="G34" s="189"/>
      <c r="H34" s="189"/>
      <c r="I34" s="206"/>
      <c r="J34" s="4"/>
    </row>
    <row r="35" spans="1:10" x14ac:dyDescent="0.2">
      <c r="A35" s="190"/>
      <c r="B35" s="189"/>
      <c r="C35" s="204"/>
      <c r="D35" s="204"/>
      <c r="E35" s="205"/>
      <c r="F35" s="189"/>
      <c r="G35" s="189"/>
      <c r="H35" s="189"/>
      <c r="I35" s="206"/>
      <c r="J35" s="4"/>
    </row>
    <row r="36" spans="1:10" x14ac:dyDescent="0.2">
      <c r="A36" s="190"/>
      <c r="B36" s="189"/>
      <c r="C36" s="204"/>
      <c r="D36" s="204"/>
      <c r="E36" s="205"/>
      <c r="F36" s="189"/>
      <c r="G36" s="189"/>
      <c r="H36" s="189"/>
      <c r="I36" s="206"/>
      <c r="J36" s="4"/>
    </row>
    <row r="37" spans="1:10" x14ac:dyDescent="0.2">
      <c r="A37" s="190"/>
      <c r="B37" s="189"/>
      <c r="C37" s="204"/>
      <c r="D37" s="204"/>
      <c r="E37" s="205"/>
      <c r="F37" s="189"/>
      <c r="G37" s="189"/>
      <c r="H37" s="189"/>
      <c r="I37" s="206"/>
      <c r="J37" s="4"/>
    </row>
    <row r="38" spans="1:10" x14ac:dyDescent="0.2">
      <c r="A38" s="190"/>
      <c r="B38" s="189"/>
      <c r="C38" s="204"/>
      <c r="D38" s="204"/>
      <c r="E38" s="205"/>
      <c r="F38" s="189"/>
      <c r="G38" s="189"/>
      <c r="H38" s="189"/>
      <c r="I38" s="206"/>
      <c r="J38" s="4"/>
    </row>
    <row r="39" spans="1:10" x14ac:dyDescent="0.2">
      <c r="A39" s="190"/>
      <c r="B39" s="189"/>
      <c r="C39" s="204"/>
      <c r="D39" s="204"/>
      <c r="E39" s="205"/>
      <c r="F39" s="189"/>
      <c r="G39" s="189"/>
      <c r="H39" s="189"/>
      <c r="I39" s="206"/>
      <c r="J39" s="4"/>
    </row>
    <row r="40" spans="1:10" x14ac:dyDescent="0.2">
      <c r="A40" s="190"/>
      <c r="B40" s="189"/>
      <c r="C40" s="204"/>
      <c r="D40" s="204"/>
      <c r="E40" s="205"/>
      <c r="F40" s="189"/>
      <c r="G40" s="189"/>
      <c r="H40" s="189"/>
      <c r="I40" s="206"/>
      <c r="J40" s="4"/>
    </row>
    <row r="41" spans="1:10" x14ac:dyDescent="0.2">
      <c r="A41" s="190"/>
      <c r="B41" s="189"/>
      <c r="C41" s="204"/>
      <c r="D41" s="204"/>
      <c r="E41" s="205"/>
      <c r="F41" s="189"/>
      <c r="G41" s="189"/>
      <c r="H41" s="189"/>
      <c r="I41" s="206"/>
      <c r="J41" s="4"/>
    </row>
    <row r="42" spans="1:10" x14ac:dyDescent="0.2">
      <c r="A42" s="190"/>
      <c r="B42" s="189"/>
      <c r="C42" s="207" t="str">
        <f ca="1">PROPER(CELL("filename"))</f>
        <v>Z:\Home\Website Postings\New Version\[Noah - Chaap And Small Project Continuation Rental Housing Development Application  -- Template Updated V02082019.Sa1.Xlsx]Cover</v>
      </c>
      <c r="D42" s="204"/>
      <c r="E42" s="205"/>
      <c r="F42" s="189"/>
      <c r="G42" s="189"/>
      <c r="H42" s="189"/>
      <c r="I42" s="206"/>
      <c r="J42" s="4"/>
    </row>
    <row r="43" spans="1:10" ht="12.75" customHeight="1" x14ac:dyDescent="0.2">
      <c r="A43" s="190"/>
      <c r="B43" s="189"/>
      <c r="C43" s="204"/>
      <c r="D43" s="204"/>
      <c r="E43" s="205"/>
      <c r="F43" s="189"/>
      <c r="G43" s="189"/>
      <c r="H43" s="189"/>
      <c r="I43" s="206"/>
      <c r="J43" s="4"/>
    </row>
    <row r="44" spans="1:10" x14ac:dyDescent="0.2">
      <c r="B44" s="2"/>
      <c r="C44" s="5"/>
      <c r="D44" s="5"/>
      <c r="E44" s="6"/>
      <c r="F44" s="2"/>
      <c r="G44" s="2"/>
      <c r="H44" s="2"/>
      <c r="I44" s="7"/>
      <c r="J44" s="4"/>
    </row>
    <row r="45" spans="1:10" x14ac:dyDescent="0.2">
      <c r="B45" s="2"/>
      <c r="C45" s="5"/>
      <c r="D45" s="5"/>
      <c r="E45" s="6"/>
      <c r="F45" s="2"/>
      <c r="G45" s="2"/>
      <c r="H45" s="2"/>
      <c r="I45" s="7"/>
      <c r="J45" s="4"/>
    </row>
  </sheetData>
  <mergeCells count="5">
    <mergeCell ref="B2:I2"/>
    <mergeCell ref="E10:H10"/>
    <mergeCell ref="E11:H11"/>
    <mergeCell ref="B5:I5"/>
    <mergeCell ref="B3:I3"/>
  </mergeCells>
  <phoneticPr fontId="0" type="noConversion"/>
  <printOptions horizontalCentered="1"/>
  <pageMargins left="0.75" right="0.75" top="1" bottom="1" header="0.5" footer="0.5"/>
  <pageSetup scale="90" orientation="portrait" r:id="rId1"/>
  <headerFooter alignWithMargins="0">
    <oddFooter>&amp;C&amp;P</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Z32"/>
  <sheetViews>
    <sheetView workbookViewId="0">
      <selection activeCell="B14" sqref="B14"/>
    </sheetView>
  </sheetViews>
  <sheetFormatPr defaultColWidth="8.85546875" defaultRowHeight="12.75" x14ac:dyDescent="0.2"/>
  <cols>
    <col min="1" max="2" width="49.42578125" customWidth="1"/>
    <col min="3" max="3" width="19.140625" customWidth="1"/>
    <col min="4" max="4" width="28.28515625" customWidth="1"/>
    <col min="23" max="24" width="0" hidden="1" customWidth="1"/>
    <col min="25" max="25" width="17.42578125" hidden="1" customWidth="1"/>
    <col min="26" max="26" width="13.140625" hidden="1" customWidth="1"/>
    <col min="27" max="27" width="0" hidden="1" customWidth="1"/>
  </cols>
  <sheetData>
    <row r="1" spans="1:26" x14ac:dyDescent="0.2">
      <c r="A1" s="782" t="s">
        <v>1688</v>
      </c>
      <c r="B1" s="783">
        <f>+Cover!E10</f>
        <v>0</v>
      </c>
      <c r="C1" s="783"/>
      <c r="D1" s="783"/>
    </row>
    <row r="2" spans="1:26" x14ac:dyDescent="0.2">
      <c r="A2" s="784" t="s">
        <v>1145</v>
      </c>
      <c r="B2" s="783"/>
      <c r="C2" s="783"/>
      <c r="D2" s="783"/>
    </row>
    <row r="3" spans="1:26" x14ac:dyDescent="0.2">
      <c r="A3" s="1862" t="s">
        <v>1146</v>
      </c>
      <c r="B3" s="1864" t="s">
        <v>1147</v>
      </c>
      <c r="C3" s="1866" t="s">
        <v>1148</v>
      </c>
      <c r="D3" s="1868" t="s">
        <v>1149</v>
      </c>
    </row>
    <row r="4" spans="1:26" x14ac:dyDescent="0.2">
      <c r="A4" s="1863"/>
      <c r="B4" s="1865"/>
      <c r="C4" s="1867"/>
      <c r="D4" s="1869"/>
    </row>
    <row r="5" spans="1:26" x14ac:dyDescent="0.2">
      <c r="A5" s="785" t="s">
        <v>1150</v>
      </c>
      <c r="B5" s="1072"/>
      <c r="C5" s="787"/>
      <c r="D5" s="788"/>
      <c r="Y5" s="789" t="s">
        <v>1151</v>
      </c>
      <c r="Z5" s="789" t="s">
        <v>1151</v>
      </c>
    </row>
    <row r="6" spans="1:26" x14ac:dyDescent="0.2">
      <c r="A6" s="785" t="s">
        <v>167</v>
      </c>
      <c r="B6" s="1072"/>
      <c r="C6" s="787"/>
      <c r="D6" s="788"/>
      <c r="Y6" s="789" t="s">
        <v>1152</v>
      </c>
      <c r="Z6" s="789" t="s">
        <v>1153</v>
      </c>
    </row>
    <row r="7" spans="1:26" x14ac:dyDescent="0.2">
      <c r="A7" s="785" t="s">
        <v>1154</v>
      </c>
      <c r="B7" s="1072"/>
      <c r="C7" s="787"/>
      <c r="D7" s="788"/>
      <c r="Y7" s="789" t="s">
        <v>1155</v>
      </c>
      <c r="Z7" s="790"/>
    </row>
    <row r="8" spans="1:26" x14ac:dyDescent="0.2">
      <c r="A8" s="785" t="s">
        <v>1156</v>
      </c>
      <c r="B8" s="1072"/>
      <c r="C8" s="787"/>
      <c r="D8" s="788"/>
      <c r="Y8" s="789" t="s">
        <v>1157</v>
      </c>
      <c r="Z8" s="790"/>
    </row>
    <row r="9" spans="1:26" x14ac:dyDescent="0.2">
      <c r="A9" s="785" t="s">
        <v>1158</v>
      </c>
      <c r="B9" s="1072"/>
      <c r="C9" s="787"/>
      <c r="D9" s="788"/>
      <c r="Y9" s="789" t="s">
        <v>1159</v>
      </c>
      <c r="Z9" s="790"/>
    </row>
    <row r="10" spans="1:26" x14ac:dyDescent="0.2">
      <c r="A10" s="785" t="s">
        <v>172</v>
      </c>
      <c r="B10" s="1072"/>
      <c r="C10" s="787"/>
      <c r="D10" s="788"/>
      <c r="Y10" s="789" t="s">
        <v>1160</v>
      </c>
      <c r="Z10" s="790"/>
    </row>
    <row r="11" spans="1:26" x14ac:dyDescent="0.2">
      <c r="A11" s="785" t="s">
        <v>173</v>
      </c>
      <c r="B11" s="1072"/>
      <c r="C11" s="787"/>
      <c r="D11" s="788"/>
      <c r="Y11" s="790"/>
      <c r="Z11" s="790"/>
    </row>
    <row r="12" spans="1:26" x14ac:dyDescent="0.2">
      <c r="A12" s="785" t="s">
        <v>1161</v>
      </c>
      <c r="B12" s="1072"/>
      <c r="C12" s="787"/>
      <c r="D12" s="791"/>
      <c r="Y12" s="790"/>
      <c r="Z12" s="790"/>
    </row>
    <row r="13" spans="1:26" x14ac:dyDescent="0.2">
      <c r="A13" s="785" t="s">
        <v>1162</v>
      </c>
      <c r="B13" s="792">
        <f>+Cover!E10</f>
        <v>0</v>
      </c>
      <c r="C13" s="787"/>
      <c r="D13" s="793"/>
      <c r="Y13" s="789" t="s">
        <v>1151</v>
      </c>
      <c r="Z13" s="790"/>
    </row>
    <row r="14" spans="1:26" x14ac:dyDescent="0.2">
      <c r="A14" s="785" t="s">
        <v>1163</v>
      </c>
      <c r="B14" s="792">
        <f>+Cover!E10</f>
        <v>0</v>
      </c>
      <c r="C14" s="787"/>
      <c r="D14" s="794"/>
      <c r="Y14" s="789" t="s">
        <v>1152</v>
      </c>
      <c r="Z14" s="790"/>
    </row>
    <row r="15" spans="1:26" x14ac:dyDescent="0.2">
      <c r="A15" s="785" t="s">
        <v>39</v>
      </c>
      <c r="B15" s="786"/>
      <c r="C15" s="787"/>
      <c r="D15" s="794"/>
      <c r="Y15" s="789" t="s">
        <v>1155</v>
      </c>
      <c r="Z15" s="790"/>
    </row>
    <row r="16" spans="1:26" x14ac:dyDescent="0.2">
      <c r="A16" s="1870" t="s">
        <v>1164</v>
      </c>
      <c r="B16" s="1871"/>
      <c r="C16" s="1871"/>
      <c r="D16" s="1871"/>
      <c r="Y16" s="789" t="s">
        <v>1165</v>
      </c>
      <c r="Z16" s="790"/>
    </row>
    <row r="17" spans="1:26" x14ac:dyDescent="0.2">
      <c r="A17" s="1872"/>
      <c r="B17" s="1872"/>
      <c r="C17" s="1872"/>
      <c r="D17" s="1872"/>
      <c r="Y17" s="790"/>
      <c r="Z17" s="790"/>
    </row>
    <row r="18" spans="1:26" x14ac:dyDescent="0.2">
      <c r="A18" s="1872"/>
      <c r="B18" s="1872"/>
      <c r="C18" s="1872"/>
      <c r="D18" s="1872"/>
      <c r="Y18" s="789" t="s">
        <v>1151</v>
      </c>
      <c r="Z18" s="790"/>
    </row>
    <row r="19" spans="1:26" x14ac:dyDescent="0.2">
      <c r="A19" s="1872"/>
      <c r="B19" s="1872"/>
      <c r="C19" s="1872"/>
      <c r="D19" s="1872"/>
      <c r="Y19" s="789" t="s">
        <v>1165</v>
      </c>
      <c r="Z19" s="790"/>
    </row>
    <row r="20" spans="1:26" x14ac:dyDescent="0.2">
      <c r="A20" s="1872"/>
      <c r="B20" s="1872"/>
      <c r="C20" s="1872"/>
      <c r="D20" s="1872"/>
      <c r="Y20" s="790"/>
      <c r="Z20" s="790"/>
    </row>
    <row r="21" spans="1:26" x14ac:dyDescent="0.2">
      <c r="A21" s="1872"/>
      <c r="B21" s="1872"/>
      <c r="C21" s="1872"/>
      <c r="D21" s="1872"/>
      <c r="Y21" s="789" t="s">
        <v>1151</v>
      </c>
      <c r="Z21" s="790"/>
    </row>
    <row r="22" spans="1:26" x14ac:dyDescent="0.2">
      <c r="A22" s="1872"/>
      <c r="B22" s="1872"/>
      <c r="C22" s="1872"/>
      <c r="D22" s="1872"/>
      <c r="Y22" s="789" t="s">
        <v>1152</v>
      </c>
      <c r="Z22" s="790"/>
    </row>
    <row r="23" spans="1:26" x14ac:dyDescent="0.2">
      <c r="A23" s="1872"/>
      <c r="B23" s="1872"/>
      <c r="C23" s="1872"/>
      <c r="D23" s="1872"/>
      <c r="Y23" s="789" t="s">
        <v>1155</v>
      </c>
      <c r="Z23" s="790"/>
    </row>
    <row r="24" spans="1:26" x14ac:dyDescent="0.2">
      <c r="A24" s="1872"/>
      <c r="B24" s="1872"/>
      <c r="C24" s="1872"/>
      <c r="D24" s="1872"/>
      <c r="Y24" s="789" t="s">
        <v>1165</v>
      </c>
      <c r="Z24" s="790"/>
    </row>
    <row r="25" spans="1:26" x14ac:dyDescent="0.2">
      <c r="A25" s="1872"/>
      <c r="B25" s="1872"/>
      <c r="C25" s="1872"/>
      <c r="D25" s="1872"/>
      <c r="Y25" s="789" t="s">
        <v>1160</v>
      </c>
      <c r="Z25" s="790"/>
    </row>
    <row r="26" spans="1:26" x14ac:dyDescent="0.2">
      <c r="A26" s="1872"/>
      <c r="B26" s="1872"/>
      <c r="C26" s="1872"/>
      <c r="D26" s="1872"/>
    </row>
    <row r="27" spans="1:26" x14ac:dyDescent="0.2">
      <c r="A27" s="1872"/>
      <c r="B27" s="1872"/>
      <c r="C27" s="1872"/>
      <c r="D27" s="1872"/>
    </row>
    <row r="28" spans="1:26" x14ac:dyDescent="0.2">
      <c r="A28" s="1872"/>
      <c r="B28" s="1872"/>
      <c r="C28" s="1872"/>
      <c r="D28" s="1872"/>
    </row>
    <row r="29" spans="1:26" x14ac:dyDescent="0.2">
      <c r="A29" s="1872"/>
      <c r="B29" s="1872"/>
      <c r="C29" s="1872"/>
      <c r="D29" s="1872"/>
    </row>
    <row r="30" spans="1:26" x14ac:dyDescent="0.2">
      <c r="A30" s="1860" t="s">
        <v>1939</v>
      </c>
      <c r="B30" s="1861"/>
      <c r="C30" s="1861"/>
      <c r="D30" s="1861"/>
    </row>
    <row r="31" spans="1:26" ht="25.5" customHeight="1" x14ac:dyDescent="0.2">
      <c r="A31" s="1861"/>
      <c r="B31" s="1861"/>
      <c r="C31" s="1861"/>
      <c r="D31" s="1861"/>
    </row>
    <row r="32" spans="1:26" ht="12.75" customHeight="1" x14ac:dyDescent="0.2"/>
  </sheetData>
  <sheetProtection password="CC14" sheet="1" objects="1" scenarios="1"/>
  <mergeCells count="6">
    <mergeCell ref="A30:D31"/>
    <mergeCell ref="A3:A4"/>
    <mergeCell ref="B3:B4"/>
    <mergeCell ref="C3:C4"/>
    <mergeCell ref="D3:D4"/>
    <mergeCell ref="A16:D29"/>
  </mergeCells>
  <dataValidations count="5">
    <dataValidation type="list" allowBlank="1" showInputMessage="1" showErrorMessage="1" sqref="C9">
      <formula1>$Y$20:$Y$25</formula1>
    </dataValidation>
    <dataValidation type="list" allowBlank="1" showInputMessage="1" showErrorMessage="1" sqref="C7:C8">
      <formula1>$Y$17:$Y$19</formula1>
    </dataValidation>
    <dataValidation type="list" allowBlank="1" showInputMessage="1" showErrorMessage="1" sqref="C6">
      <formula1>$Y$12:$Y$16</formula1>
    </dataValidation>
    <dataValidation type="list" allowBlank="1" showInputMessage="1" showErrorMessage="1" sqref="C10:C15">
      <formula1>$Z$4:$Z$6</formula1>
    </dataValidation>
    <dataValidation type="list" allowBlank="1" showInputMessage="1" showErrorMessage="1" sqref="C5">
      <formula1>$Y$4:$Y$10</formula1>
    </dataValidation>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O40"/>
  <sheetViews>
    <sheetView workbookViewId="0">
      <selection activeCell="D19" sqref="D19:D20"/>
    </sheetView>
  </sheetViews>
  <sheetFormatPr defaultColWidth="8.85546875" defaultRowHeight="12.75" x14ac:dyDescent="0.2"/>
  <cols>
    <col min="1" max="1" width="2.85546875" customWidth="1"/>
    <col min="2" max="2" width="16.85546875" customWidth="1"/>
    <col min="3" max="3" width="27.140625" customWidth="1"/>
    <col min="4" max="4" width="21.42578125" customWidth="1"/>
    <col min="5" max="5" width="16.28515625" customWidth="1"/>
    <col min="6" max="6" width="15.140625" customWidth="1"/>
    <col min="7" max="7" width="16.42578125" customWidth="1"/>
    <col min="8" max="8" width="55.28515625" customWidth="1"/>
  </cols>
  <sheetData>
    <row r="1" spans="1:15" ht="13.5" thickBot="1" x14ac:dyDescent="0.25">
      <c r="A1" s="1875"/>
      <c r="B1" s="609"/>
      <c r="C1" s="610"/>
      <c r="D1" s="608"/>
      <c r="E1" s="608"/>
      <c r="F1" s="608"/>
      <c r="G1" s="608"/>
      <c r="H1" s="608"/>
      <c r="I1" s="608"/>
      <c r="J1" s="608"/>
      <c r="K1" s="608"/>
      <c r="L1" s="608"/>
      <c r="M1" s="608"/>
      <c r="N1" s="608"/>
      <c r="O1" s="608"/>
    </row>
    <row r="2" spans="1:15" ht="13.5" thickBot="1" x14ac:dyDescent="0.25">
      <c r="A2" s="1875"/>
      <c r="B2" s="1873" t="s">
        <v>851</v>
      </c>
      <c r="C2" s="1874"/>
      <c r="D2" s="1881">
        <f>+Cover!E10</f>
        <v>0</v>
      </c>
      <c r="E2" s="1882"/>
      <c r="F2" s="1882"/>
      <c r="G2" s="1882"/>
      <c r="H2" s="608"/>
      <c r="I2" s="608"/>
      <c r="J2" s="608"/>
      <c r="K2" s="608"/>
      <c r="L2" s="608"/>
      <c r="M2" s="608"/>
      <c r="N2" s="608"/>
      <c r="O2" s="608"/>
    </row>
    <row r="3" spans="1:15" ht="25.5" customHeight="1" thickBot="1" x14ac:dyDescent="0.25">
      <c r="A3" s="1875"/>
      <c r="B3" s="1894" t="str">
        <f>+Cover!D7</f>
        <v>02142019.SA1</v>
      </c>
      <c r="C3" s="279"/>
      <c r="D3" s="1892" t="s">
        <v>469</v>
      </c>
      <c r="E3" s="1896" t="s">
        <v>557</v>
      </c>
      <c r="F3" s="1897"/>
      <c r="G3" s="1898"/>
      <c r="H3" s="280"/>
      <c r="I3" s="1875"/>
      <c r="J3" s="1875"/>
      <c r="K3" s="1875"/>
      <c r="L3" s="1875"/>
      <c r="M3" s="1875"/>
      <c r="N3" s="1875"/>
      <c r="O3" s="1875"/>
    </row>
    <row r="4" spans="1:15" ht="13.5" thickBot="1" x14ac:dyDescent="0.25">
      <c r="A4" s="1875"/>
      <c r="B4" s="1895"/>
      <c r="C4" s="281" t="s">
        <v>161</v>
      </c>
      <c r="D4" s="1893"/>
      <c r="E4" s="282" t="s">
        <v>553</v>
      </c>
      <c r="F4" s="283" t="s">
        <v>554</v>
      </c>
      <c r="G4" s="284" t="s">
        <v>555</v>
      </c>
      <c r="H4" s="285" t="s">
        <v>556</v>
      </c>
      <c r="I4" s="1875"/>
      <c r="J4" s="1875"/>
      <c r="K4" s="1875"/>
      <c r="L4" s="1875"/>
      <c r="M4" s="1875"/>
      <c r="N4" s="1875"/>
      <c r="O4" s="1875"/>
    </row>
    <row r="5" spans="1:15" ht="54.75" customHeight="1" x14ac:dyDescent="0.2">
      <c r="A5" s="1876"/>
      <c r="B5" s="286">
        <v>1</v>
      </c>
      <c r="C5" s="287" t="s">
        <v>558</v>
      </c>
      <c r="D5" s="126">
        <v>0</v>
      </c>
      <c r="E5" s="127">
        <v>0</v>
      </c>
      <c r="F5" s="127">
        <v>0</v>
      </c>
      <c r="G5" s="127">
        <v>0</v>
      </c>
      <c r="H5" s="128"/>
      <c r="I5" s="1875"/>
      <c r="J5" s="1875"/>
      <c r="K5" s="1875"/>
      <c r="L5" s="1875"/>
      <c r="M5" s="1875"/>
      <c r="N5" s="1875"/>
      <c r="O5" s="1875"/>
    </row>
    <row r="6" spans="1:15" ht="72.75" customHeight="1" x14ac:dyDescent="0.2">
      <c r="A6" s="1876"/>
      <c r="B6" s="288">
        <v>2</v>
      </c>
      <c r="C6" s="289" t="s">
        <v>655</v>
      </c>
      <c r="D6" s="129">
        <v>0</v>
      </c>
      <c r="E6" s="130">
        <v>0</v>
      </c>
      <c r="F6" s="130">
        <v>0</v>
      </c>
      <c r="G6" s="130">
        <v>0</v>
      </c>
      <c r="H6" s="733"/>
      <c r="I6" s="1875"/>
      <c r="J6" s="1875"/>
      <c r="K6" s="1875"/>
      <c r="L6" s="1875"/>
      <c r="M6" s="1875"/>
      <c r="N6" s="1875"/>
      <c r="O6" s="1875"/>
    </row>
    <row r="7" spans="1:15" ht="67.5" customHeight="1" x14ac:dyDescent="0.2">
      <c r="A7" s="1876"/>
      <c r="B7" s="288">
        <v>3</v>
      </c>
      <c r="C7" s="290" t="s">
        <v>653</v>
      </c>
      <c r="D7" s="129">
        <v>0</v>
      </c>
      <c r="E7" s="130">
        <v>0</v>
      </c>
      <c r="F7" s="130">
        <v>0</v>
      </c>
      <c r="G7" s="130">
        <v>0</v>
      </c>
      <c r="H7" s="131"/>
      <c r="I7" s="1875"/>
      <c r="J7" s="1875"/>
      <c r="K7" s="1875"/>
      <c r="L7" s="1875"/>
      <c r="M7" s="1875"/>
      <c r="N7" s="1875"/>
      <c r="O7" s="1875"/>
    </row>
    <row r="8" spans="1:15" ht="68.25" customHeight="1" x14ac:dyDescent="0.2">
      <c r="A8" s="1876"/>
      <c r="B8" s="288">
        <v>4</v>
      </c>
      <c r="C8" s="290" t="s">
        <v>654</v>
      </c>
      <c r="D8" s="129">
        <v>0</v>
      </c>
      <c r="E8" s="130">
        <v>0</v>
      </c>
      <c r="F8" s="130">
        <v>0</v>
      </c>
      <c r="G8" s="130">
        <v>0</v>
      </c>
      <c r="H8" s="131"/>
      <c r="I8" s="1875"/>
      <c r="J8" s="1875"/>
      <c r="K8" s="1875"/>
      <c r="L8" s="1875"/>
      <c r="M8" s="1875"/>
      <c r="N8" s="1875"/>
      <c r="O8" s="1875"/>
    </row>
    <row r="9" spans="1:15" ht="64.5" customHeight="1" x14ac:dyDescent="0.2">
      <c r="A9" s="1876"/>
      <c r="B9" s="288">
        <v>5</v>
      </c>
      <c r="C9" s="290" t="s">
        <v>656</v>
      </c>
      <c r="D9" s="129">
        <v>0</v>
      </c>
      <c r="E9" s="130">
        <v>0</v>
      </c>
      <c r="F9" s="130">
        <v>0</v>
      </c>
      <c r="G9" s="130">
        <v>0</v>
      </c>
      <c r="H9" s="131"/>
      <c r="I9" s="1875"/>
      <c r="J9" s="1875"/>
      <c r="K9" s="1875"/>
      <c r="L9" s="1875"/>
      <c r="M9" s="1875"/>
      <c r="N9" s="1875"/>
      <c r="O9" s="1875"/>
    </row>
    <row r="10" spans="1:15" ht="68.25" customHeight="1" x14ac:dyDescent="0.2">
      <c r="A10" s="1876"/>
      <c r="B10" s="288">
        <v>6</v>
      </c>
      <c r="C10" s="290" t="s">
        <v>1174</v>
      </c>
      <c r="D10" s="129">
        <v>0</v>
      </c>
      <c r="E10" s="130">
        <v>0</v>
      </c>
      <c r="F10" s="130">
        <v>0</v>
      </c>
      <c r="G10" s="130">
        <v>0</v>
      </c>
      <c r="H10" s="131"/>
      <c r="I10" s="1875"/>
      <c r="J10" s="1875"/>
      <c r="K10" s="1875"/>
      <c r="L10" s="1875"/>
      <c r="M10" s="1875"/>
      <c r="N10" s="1875"/>
      <c r="O10" s="1875"/>
    </row>
    <row r="11" spans="1:15" ht="68.25" customHeight="1" x14ac:dyDescent="0.2">
      <c r="A11" s="1876"/>
      <c r="B11" s="291">
        <v>7</v>
      </c>
      <c r="C11" s="290" t="s">
        <v>657</v>
      </c>
      <c r="D11" s="129">
        <v>0</v>
      </c>
      <c r="E11" s="132">
        <v>0</v>
      </c>
      <c r="F11" s="132">
        <v>0</v>
      </c>
      <c r="G11" s="132">
        <v>0</v>
      </c>
      <c r="H11" s="133"/>
      <c r="I11" s="1875"/>
      <c r="J11" s="1875"/>
      <c r="K11" s="1875"/>
      <c r="L11" s="1875"/>
      <c r="M11" s="1875"/>
      <c r="N11" s="1875"/>
      <c r="O11" s="1875"/>
    </row>
    <row r="12" spans="1:15" ht="68.25" customHeight="1" x14ac:dyDescent="0.2">
      <c r="A12" s="1876"/>
      <c r="B12" s="291">
        <v>8</v>
      </c>
      <c r="C12" s="292">
        <f>+'Loan Information'!E3</f>
        <v>0</v>
      </c>
      <c r="D12" s="169">
        <f>+'Loan Information'!E4</f>
        <v>0</v>
      </c>
      <c r="E12" s="132">
        <v>0</v>
      </c>
      <c r="F12" s="132">
        <v>0</v>
      </c>
      <c r="G12" s="132">
        <v>0</v>
      </c>
      <c r="H12" s="133"/>
      <c r="I12" s="1875"/>
      <c r="J12" s="1875"/>
      <c r="K12" s="1875"/>
      <c r="L12" s="1875"/>
      <c r="M12" s="1875"/>
      <c r="N12" s="1875"/>
      <c r="O12" s="1875"/>
    </row>
    <row r="13" spans="1:15" ht="68.25" customHeight="1" x14ac:dyDescent="0.2">
      <c r="A13" s="1876"/>
      <c r="B13" s="291">
        <v>9</v>
      </c>
      <c r="C13" s="293">
        <f>+'Loan Information'!E20</f>
        <v>0</v>
      </c>
      <c r="D13" s="169">
        <f>+'Loan Information'!E21</f>
        <v>0</v>
      </c>
      <c r="E13" s="132">
        <v>0</v>
      </c>
      <c r="F13" s="132">
        <v>0</v>
      </c>
      <c r="G13" s="132">
        <v>0</v>
      </c>
      <c r="H13" s="133"/>
      <c r="I13" s="1875"/>
      <c r="J13" s="1875"/>
      <c r="K13" s="1875"/>
      <c r="L13" s="1875"/>
      <c r="M13" s="1875"/>
      <c r="N13" s="1875"/>
      <c r="O13" s="1875"/>
    </row>
    <row r="14" spans="1:15" ht="68.25" customHeight="1" x14ac:dyDescent="0.2">
      <c r="A14" s="1876"/>
      <c r="B14" s="291">
        <v>10</v>
      </c>
      <c r="C14" s="135" t="s">
        <v>39</v>
      </c>
      <c r="D14" s="129"/>
      <c r="E14" s="727"/>
      <c r="F14" s="727"/>
      <c r="G14" s="727"/>
      <c r="H14" s="734"/>
      <c r="I14" s="1875"/>
      <c r="J14" s="1875"/>
      <c r="K14" s="1875"/>
      <c r="L14" s="1875"/>
      <c r="M14" s="1875"/>
      <c r="N14" s="1875"/>
      <c r="O14" s="1875"/>
    </row>
    <row r="15" spans="1:15" ht="68.25" customHeight="1" x14ac:dyDescent="0.2">
      <c r="A15" s="1876"/>
      <c r="B15" s="291">
        <v>11</v>
      </c>
      <c r="C15" s="135" t="s">
        <v>39</v>
      </c>
      <c r="D15" s="129"/>
      <c r="E15" s="727"/>
      <c r="F15" s="727"/>
      <c r="G15" s="727"/>
      <c r="H15" s="734"/>
      <c r="I15" s="1875"/>
      <c r="J15" s="1875"/>
      <c r="K15" s="1875"/>
      <c r="L15" s="1875"/>
      <c r="M15" s="1875"/>
      <c r="N15" s="1875"/>
      <c r="O15" s="1875"/>
    </row>
    <row r="16" spans="1:15" ht="68.25" customHeight="1" x14ac:dyDescent="0.2">
      <c r="A16" s="1876"/>
      <c r="B16" s="291">
        <v>12</v>
      </c>
      <c r="C16" s="135" t="s">
        <v>39</v>
      </c>
      <c r="D16" s="129"/>
      <c r="E16" s="727"/>
      <c r="F16" s="727"/>
      <c r="G16" s="727"/>
      <c r="H16" s="133"/>
      <c r="I16" s="1875"/>
      <c r="J16" s="1875"/>
      <c r="K16" s="1875"/>
      <c r="L16" s="1875"/>
      <c r="M16" s="1875"/>
      <c r="N16" s="1875"/>
      <c r="O16" s="1875"/>
    </row>
    <row r="17" spans="1:15" ht="68.25" customHeight="1" x14ac:dyDescent="0.2">
      <c r="A17" s="1876"/>
      <c r="B17" s="291">
        <v>13</v>
      </c>
      <c r="C17" s="135" t="s">
        <v>39</v>
      </c>
      <c r="D17" s="129"/>
      <c r="E17" s="727"/>
      <c r="F17" s="727"/>
      <c r="G17" s="727"/>
      <c r="H17" s="133"/>
      <c r="I17" s="1875"/>
      <c r="J17" s="1875"/>
      <c r="K17" s="1875"/>
      <c r="L17" s="1875"/>
      <c r="M17" s="1875"/>
      <c r="N17" s="1875"/>
      <c r="O17" s="1875"/>
    </row>
    <row r="18" spans="1:15" ht="102" customHeight="1" thickBot="1" x14ac:dyDescent="0.25">
      <c r="A18" s="1876"/>
      <c r="B18" s="294">
        <v>14</v>
      </c>
      <c r="C18" s="136" t="s">
        <v>39</v>
      </c>
      <c r="D18" s="129"/>
      <c r="E18" s="728"/>
      <c r="F18" s="728"/>
      <c r="G18" s="728"/>
      <c r="H18" s="134"/>
      <c r="I18" s="1875"/>
      <c r="J18" s="1875"/>
      <c r="K18" s="1875"/>
      <c r="L18" s="1875"/>
      <c r="M18" s="1875"/>
      <c r="N18" s="1875"/>
      <c r="O18" s="1875"/>
    </row>
    <row r="19" spans="1:15" x14ac:dyDescent="0.2">
      <c r="A19" s="1876"/>
      <c r="B19" s="295"/>
      <c r="C19" s="279" t="s">
        <v>64</v>
      </c>
      <c r="D19" s="1877">
        <f>SUM(D5:D18)</f>
        <v>0</v>
      </c>
      <c r="E19" s="1879">
        <f>SUM(E5:E18)</f>
        <v>0</v>
      </c>
      <c r="F19" s="1879">
        <f>SUM(F5:F18)</f>
        <v>0</v>
      </c>
      <c r="G19" s="1879">
        <f>SUM(G5:G18)</f>
        <v>0</v>
      </c>
      <c r="H19" s="472"/>
      <c r="I19" s="1875"/>
      <c r="J19" s="1875"/>
      <c r="K19" s="1875"/>
      <c r="L19" s="1875"/>
      <c r="M19" s="1875"/>
      <c r="N19" s="1875"/>
      <c r="O19" s="1875"/>
    </row>
    <row r="20" spans="1:15" ht="13.5" thickBot="1" x14ac:dyDescent="0.25">
      <c r="A20" s="1876"/>
      <c r="B20" s="296"/>
      <c r="C20" s="297"/>
      <c r="D20" s="1878"/>
      <c r="E20" s="1880"/>
      <c r="F20" s="1880"/>
      <c r="G20" s="1880"/>
      <c r="H20" s="473"/>
      <c r="I20" s="1875"/>
      <c r="J20" s="1875"/>
      <c r="K20" s="1875"/>
      <c r="L20" s="1875"/>
      <c r="M20" s="1875"/>
      <c r="N20" s="1875"/>
      <c r="O20" s="1875"/>
    </row>
    <row r="21" spans="1:15" x14ac:dyDescent="0.2">
      <c r="A21" s="1876"/>
      <c r="B21" s="93"/>
      <c r="C21" s="21" t="s">
        <v>470</v>
      </c>
      <c r="D21" s="21"/>
      <c r="E21" s="21"/>
      <c r="F21" s="21"/>
      <c r="G21" s="21"/>
      <c r="H21" s="21"/>
      <c r="I21" s="1875"/>
      <c r="J21" s="1875"/>
      <c r="K21" s="1875"/>
      <c r="L21" s="1875"/>
      <c r="M21" s="1875"/>
      <c r="N21" s="1875"/>
      <c r="O21" s="1875"/>
    </row>
    <row r="22" spans="1:15" x14ac:dyDescent="0.2">
      <c r="A22" s="1876"/>
      <c r="B22" s="1883" t="s">
        <v>556</v>
      </c>
      <c r="C22" s="1884"/>
      <c r="D22" s="1884"/>
      <c r="E22" s="1884"/>
      <c r="F22" s="1884"/>
      <c r="G22" s="1884"/>
      <c r="H22" s="1885"/>
      <c r="I22" s="1875"/>
      <c r="J22" s="1875"/>
      <c r="K22" s="1875"/>
      <c r="L22" s="1875"/>
      <c r="M22" s="1875"/>
      <c r="N22" s="1875"/>
      <c r="O22" s="1875"/>
    </row>
    <row r="23" spans="1:15" x14ac:dyDescent="0.2">
      <c r="A23" s="1876"/>
      <c r="B23" s="1886"/>
      <c r="C23" s="1887"/>
      <c r="D23" s="1887"/>
      <c r="E23" s="1887"/>
      <c r="F23" s="1887"/>
      <c r="G23" s="1887"/>
      <c r="H23" s="1888"/>
      <c r="I23" s="1875"/>
      <c r="J23" s="1875"/>
      <c r="K23" s="1875"/>
      <c r="L23" s="1875"/>
      <c r="M23" s="1875"/>
      <c r="N23" s="1875"/>
      <c r="O23" s="1875"/>
    </row>
    <row r="24" spans="1:15" x14ac:dyDescent="0.2">
      <c r="A24" s="1876"/>
      <c r="B24" s="1886"/>
      <c r="C24" s="1887"/>
      <c r="D24" s="1887"/>
      <c r="E24" s="1887"/>
      <c r="F24" s="1887"/>
      <c r="G24" s="1887"/>
      <c r="H24" s="1888"/>
      <c r="I24" s="1875"/>
      <c r="J24" s="1875"/>
      <c r="K24" s="1875"/>
      <c r="L24" s="1875"/>
      <c r="M24" s="1875"/>
      <c r="N24" s="1875"/>
      <c r="O24" s="1875"/>
    </row>
    <row r="25" spans="1:15" x14ac:dyDescent="0.2">
      <c r="A25" s="1876"/>
      <c r="B25" s="1886"/>
      <c r="C25" s="1887"/>
      <c r="D25" s="1887"/>
      <c r="E25" s="1887"/>
      <c r="F25" s="1887"/>
      <c r="G25" s="1887"/>
      <c r="H25" s="1888"/>
      <c r="I25" s="1875"/>
      <c r="J25" s="1875"/>
      <c r="K25" s="1875"/>
      <c r="L25" s="1875"/>
      <c r="M25" s="1875"/>
      <c r="N25" s="1875"/>
      <c r="O25" s="1875"/>
    </row>
    <row r="26" spans="1:15" x14ac:dyDescent="0.2">
      <c r="A26" s="1876"/>
      <c r="B26" s="1886"/>
      <c r="C26" s="1887"/>
      <c r="D26" s="1887"/>
      <c r="E26" s="1887"/>
      <c r="F26" s="1887"/>
      <c r="G26" s="1887"/>
      <c r="H26" s="1888"/>
      <c r="I26" s="1875"/>
      <c r="J26" s="1875"/>
      <c r="K26" s="1875"/>
      <c r="L26" s="1875"/>
      <c r="M26" s="1875"/>
      <c r="N26" s="1875"/>
      <c r="O26" s="1875"/>
    </row>
    <row r="27" spans="1:15" x14ac:dyDescent="0.2">
      <c r="A27" s="1876"/>
      <c r="B27" s="1886"/>
      <c r="C27" s="1887"/>
      <c r="D27" s="1887"/>
      <c r="E27" s="1887"/>
      <c r="F27" s="1887"/>
      <c r="G27" s="1887"/>
      <c r="H27" s="1888"/>
      <c r="I27" s="1875"/>
      <c r="J27" s="1875"/>
      <c r="K27" s="1875"/>
      <c r="L27" s="1875"/>
      <c r="M27" s="1875"/>
      <c r="N27" s="1875"/>
      <c r="O27" s="1875"/>
    </row>
    <row r="28" spans="1:15" x14ac:dyDescent="0.2">
      <c r="A28" s="1876"/>
      <c r="B28" s="1886"/>
      <c r="C28" s="1887"/>
      <c r="D28" s="1887"/>
      <c r="E28" s="1887"/>
      <c r="F28" s="1887"/>
      <c r="G28" s="1887"/>
      <c r="H28" s="1888"/>
      <c r="I28" s="1875"/>
      <c r="J28" s="1875"/>
      <c r="K28" s="1875"/>
      <c r="L28" s="1875"/>
      <c r="M28" s="1875"/>
      <c r="N28" s="1875"/>
      <c r="O28" s="1875"/>
    </row>
    <row r="29" spans="1:15" x14ac:dyDescent="0.2">
      <c r="A29" s="1876"/>
      <c r="B29" s="1886"/>
      <c r="C29" s="1887"/>
      <c r="D29" s="1887"/>
      <c r="E29" s="1887"/>
      <c r="F29" s="1887"/>
      <c r="G29" s="1887"/>
      <c r="H29" s="1888"/>
      <c r="I29" s="1875"/>
      <c r="J29" s="1875"/>
      <c r="K29" s="1875"/>
      <c r="L29" s="1875"/>
      <c r="M29" s="1875"/>
      <c r="N29" s="1875"/>
      <c r="O29" s="1875"/>
    </row>
    <row r="30" spans="1:15" x14ac:dyDescent="0.2">
      <c r="A30" s="1876"/>
      <c r="B30" s="1886"/>
      <c r="C30" s="1887"/>
      <c r="D30" s="1887"/>
      <c r="E30" s="1887"/>
      <c r="F30" s="1887"/>
      <c r="G30" s="1887"/>
      <c r="H30" s="1888"/>
      <c r="I30" s="1875"/>
      <c r="J30" s="1875"/>
      <c r="K30" s="1875"/>
      <c r="L30" s="1875"/>
      <c r="M30" s="1875"/>
      <c r="N30" s="1875"/>
      <c r="O30" s="1875"/>
    </row>
    <row r="31" spans="1:15" x14ac:dyDescent="0.2">
      <c r="A31" s="1876"/>
      <c r="B31" s="1886"/>
      <c r="C31" s="1887"/>
      <c r="D31" s="1887"/>
      <c r="E31" s="1887"/>
      <c r="F31" s="1887"/>
      <c r="G31" s="1887"/>
      <c r="H31" s="1888"/>
      <c r="I31" s="1875"/>
      <c r="J31" s="1875"/>
      <c r="K31" s="1875"/>
      <c r="L31" s="1875"/>
      <c r="M31" s="1875"/>
      <c r="N31" s="1875"/>
      <c r="O31" s="1875"/>
    </row>
    <row r="32" spans="1:15" x14ac:dyDescent="0.2">
      <c r="A32" s="1876"/>
      <c r="B32" s="1886"/>
      <c r="C32" s="1887"/>
      <c r="D32" s="1887"/>
      <c r="E32" s="1887"/>
      <c r="F32" s="1887"/>
      <c r="G32" s="1887"/>
      <c r="H32" s="1888"/>
      <c r="I32" s="1875"/>
      <c r="J32" s="1875"/>
      <c r="K32" s="1875"/>
      <c r="L32" s="1875"/>
      <c r="M32" s="1875"/>
      <c r="N32" s="1875"/>
      <c r="O32" s="1875"/>
    </row>
    <row r="33" spans="1:15" x14ac:dyDescent="0.2">
      <c r="A33" s="1876"/>
      <c r="B33" s="1886"/>
      <c r="C33" s="1887"/>
      <c r="D33" s="1887"/>
      <c r="E33" s="1887"/>
      <c r="F33" s="1887"/>
      <c r="G33" s="1887"/>
      <c r="H33" s="1888"/>
      <c r="I33" s="1875"/>
      <c r="J33" s="1875"/>
      <c r="K33" s="1875"/>
      <c r="L33" s="1875"/>
      <c r="M33" s="1875"/>
      <c r="N33" s="1875"/>
      <c r="O33" s="1875"/>
    </row>
    <row r="34" spans="1:15" x14ac:dyDescent="0.2">
      <c r="A34" s="1876"/>
      <c r="B34" s="1886"/>
      <c r="C34" s="1887"/>
      <c r="D34" s="1887"/>
      <c r="E34" s="1887"/>
      <c r="F34" s="1887"/>
      <c r="G34" s="1887"/>
      <c r="H34" s="1888"/>
      <c r="I34" s="1875"/>
      <c r="J34" s="1875"/>
      <c r="K34" s="1875"/>
      <c r="L34" s="1875"/>
      <c r="M34" s="1875"/>
      <c r="N34" s="1875"/>
      <c r="O34" s="1875"/>
    </row>
    <row r="35" spans="1:15" x14ac:dyDescent="0.2">
      <c r="A35" s="1876"/>
      <c r="B35" s="1886"/>
      <c r="C35" s="1887"/>
      <c r="D35" s="1887"/>
      <c r="E35" s="1887"/>
      <c r="F35" s="1887"/>
      <c r="G35" s="1887"/>
      <c r="H35" s="1888"/>
      <c r="I35" s="1875"/>
      <c r="J35" s="1875"/>
      <c r="K35" s="1875"/>
      <c r="L35" s="1875"/>
      <c r="M35" s="1875"/>
      <c r="N35" s="1875"/>
      <c r="O35" s="1875"/>
    </row>
    <row r="36" spans="1:15" x14ac:dyDescent="0.2">
      <c r="A36" s="1876"/>
      <c r="B36" s="1886"/>
      <c r="C36" s="1887"/>
      <c r="D36" s="1887"/>
      <c r="E36" s="1887"/>
      <c r="F36" s="1887"/>
      <c r="G36" s="1887"/>
      <c r="H36" s="1888"/>
      <c r="I36" s="1875"/>
      <c r="J36" s="1875"/>
      <c r="K36" s="1875"/>
      <c r="L36" s="1875"/>
      <c r="M36" s="1875"/>
      <c r="N36" s="1875"/>
      <c r="O36" s="1875"/>
    </row>
    <row r="37" spans="1:15" x14ac:dyDescent="0.2">
      <c r="A37" s="1876"/>
      <c r="B37" s="1886"/>
      <c r="C37" s="1887"/>
      <c r="D37" s="1887"/>
      <c r="E37" s="1887"/>
      <c r="F37" s="1887"/>
      <c r="G37" s="1887"/>
      <c r="H37" s="1888"/>
      <c r="I37" s="1875"/>
      <c r="J37" s="1875"/>
      <c r="K37" s="1875"/>
      <c r="L37" s="1875"/>
      <c r="M37" s="1875"/>
      <c r="N37" s="1875"/>
      <c r="O37" s="1875"/>
    </row>
    <row r="38" spans="1:15" x14ac:dyDescent="0.2">
      <c r="A38" s="1876"/>
      <c r="B38" s="1886"/>
      <c r="C38" s="1887"/>
      <c r="D38" s="1887"/>
      <c r="E38" s="1887"/>
      <c r="F38" s="1887"/>
      <c r="G38" s="1887"/>
      <c r="H38" s="1888"/>
      <c r="I38" s="1875"/>
      <c r="J38" s="1875"/>
      <c r="K38" s="1875"/>
      <c r="L38" s="1875"/>
      <c r="M38" s="1875"/>
      <c r="N38" s="1875"/>
      <c r="O38" s="1875"/>
    </row>
    <row r="39" spans="1:15" ht="13.5" thickBot="1" x14ac:dyDescent="0.25">
      <c r="A39" s="1876"/>
      <c r="B39" s="1889"/>
      <c r="C39" s="1890"/>
      <c r="D39" s="1890"/>
      <c r="E39" s="1890"/>
      <c r="F39" s="1890"/>
      <c r="G39" s="1890"/>
      <c r="H39" s="1891"/>
      <c r="I39" s="1875"/>
      <c r="J39" s="1875"/>
      <c r="K39" s="1875"/>
      <c r="L39" s="1875"/>
      <c r="M39" s="1875"/>
      <c r="N39" s="1875"/>
      <c r="O39" s="1875"/>
    </row>
    <row r="40" spans="1:15" ht="13.5" thickTop="1" x14ac:dyDescent="0.2"/>
  </sheetData>
  <sheetProtection password="CC14" sheet="1" objects="1" scenarios="1"/>
  <mergeCells count="14">
    <mergeCell ref="I3:O29"/>
    <mergeCell ref="B22:H39"/>
    <mergeCell ref="D3:D4"/>
    <mergeCell ref="B3:B4"/>
    <mergeCell ref="E3:G3"/>
    <mergeCell ref="I30:O39"/>
    <mergeCell ref="G19:G20"/>
    <mergeCell ref="F19:F20"/>
    <mergeCell ref="B2:C2"/>
    <mergeCell ref="A1:A4"/>
    <mergeCell ref="A5:A39"/>
    <mergeCell ref="D19:D20"/>
    <mergeCell ref="E19:E20"/>
    <mergeCell ref="D2:G2"/>
  </mergeCells>
  <pageMargins left="0.7" right="0.7" top="0.75" bottom="0.75" header="0.3" footer="0.3"/>
  <pageSetup scale="5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95"/>
  <sheetViews>
    <sheetView workbookViewId="0">
      <selection activeCell="B5" sqref="B5"/>
    </sheetView>
  </sheetViews>
  <sheetFormatPr defaultColWidth="8.85546875" defaultRowHeight="12.75" x14ac:dyDescent="0.2"/>
  <cols>
    <col min="1" max="2" width="3.7109375" customWidth="1"/>
    <col min="4" max="4" width="39.140625" customWidth="1"/>
    <col min="6" max="6" width="27.42578125" customWidth="1"/>
    <col min="7" max="7" width="3.7109375" customWidth="1"/>
  </cols>
  <sheetData>
    <row r="1" spans="1:7" ht="14.25" thickBot="1" x14ac:dyDescent="0.3">
      <c r="A1" s="188" t="s">
        <v>477</v>
      </c>
      <c r="B1" s="190"/>
      <c r="C1" s="190"/>
      <c r="D1" s="306" t="str">
        <f>+Cover!D7</f>
        <v>02142019.SA1</v>
      </c>
      <c r="E1" s="190">
        <f>+Cover!E10</f>
        <v>0</v>
      </c>
      <c r="F1" s="821"/>
      <c r="G1" s="821"/>
    </row>
    <row r="2" spans="1:7" ht="23.25" customHeight="1" thickTop="1" x14ac:dyDescent="0.3">
      <c r="A2" s="188"/>
      <c r="B2" s="1921" t="s">
        <v>2021</v>
      </c>
      <c r="C2" s="1922"/>
      <c r="D2" s="1922"/>
      <c r="E2" s="1922"/>
      <c r="F2" s="1923"/>
      <c r="G2" s="821"/>
    </row>
    <row r="3" spans="1:7" ht="13.5" x14ac:dyDescent="0.25">
      <c r="A3" s="188"/>
      <c r="B3" s="1924" t="s">
        <v>2023</v>
      </c>
      <c r="C3" s="1925"/>
      <c r="D3" s="1925"/>
      <c r="E3" s="1925"/>
      <c r="F3" s="1926"/>
      <c r="G3" s="821"/>
    </row>
    <row r="4" spans="1:7" ht="36.75" customHeight="1" thickBot="1" x14ac:dyDescent="0.3">
      <c r="A4" s="188"/>
      <c r="B4" s="1927"/>
      <c r="C4" s="1928"/>
      <c r="D4" s="1928"/>
      <c r="E4" s="1928"/>
      <c r="F4" s="1929"/>
      <c r="G4" s="821"/>
    </row>
    <row r="5" spans="1:7" ht="17.25" thickTop="1" thickBot="1" x14ac:dyDescent="0.3">
      <c r="A5" s="190"/>
      <c r="B5" s="9" t="s">
        <v>726</v>
      </c>
      <c r="C5" s="16"/>
      <c r="D5" s="17"/>
      <c r="E5" s="18" t="s">
        <v>82</v>
      </c>
      <c r="F5" s="19" t="s">
        <v>83</v>
      </c>
      <c r="G5" s="190"/>
    </row>
    <row r="6" spans="1:7" x14ac:dyDescent="0.2">
      <c r="A6" s="190"/>
      <c r="B6" s="1902" t="s">
        <v>397</v>
      </c>
      <c r="C6" s="1903"/>
      <c r="D6" s="1904"/>
      <c r="E6" s="302"/>
      <c r="F6" s="1073"/>
      <c r="G6" s="190"/>
    </row>
    <row r="7" spans="1:7" x14ac:dyDescent="0.2">
      <c r="A7" s="190"/>
      <c r="B7" s="1905" t="s">
        <v>398</v>
      </c>
      <c r="C7" s="1906"/>
      <c r="D7" s="1907"/>
      <c r="E7" s="303">
        <v>2</v>
      </c>
      <c r="F7" s="1073"/>
      <c r="G7" s="190"/>
    </row>
    <row r="8" spans="1:7" x14ac:dyDescent="0.2">
      <c r="A8" s="190"/>
      <c r="B8" s="1899" t="s">
        <v>98</v>
      </c>
      <c r="C8" s="1900"/>
      <c r="D8" s="1901"/>
      <c r="E8" s="303">
        <v>3</v>
      </c>
      <c r="F8" s="1073"/>
      <c r="G8" s="190"/>
    </row>
    <row r="9" spans="1:7" x14ac:dyDescent="0.2">
      <c r="A9" s="190"/>
      <c r="B9" s="1899" t="s">
        <v>99</v>
      </c>
      <c r="C9" s="1900"/>
      <c r="D9" s="1901"/>
      <c r="E9" s="302">
        <v>3.2</v>
      </c>
      <c r="F9" s="1073"/>
      <c r="G9" s="190"/>
    </row>
    <row r="10" spans="1:7" x14ac:dyDescent="0.2">
      <c r="A10" s="190"/>
      <c r="B10" s="1899" t="s">
        <v>399</v>
      </c>
      <c r="C10" s="1900"/>
      <c r="D10" s="1901"/>
      <c r="E10" s="302">
        <v>3.3</v>
      </c>
      <c r="F10" s="1073"/>
      <c r="G10" s="190"/>
    </row>
    <row r="11" spans="1:7" x14ac:dyDescent="0.2">
      <c r="A11" s="190"/>
      <c r="B11" s="1899" t="s">
        <v>400</v>
      </c>
      <c r="C11" s="1900"/>
      <c r="D11" s="1901"/>
      <c r="E11" s="303">
        <v>5</v>
      </c>
      <c r="F11" s="1073"/>
      <c r="G11" s="190"/>
    </row>
    <row r="12" spans="1:7" x14ac:dyDescent="0.2">
      <c r="A12" s="190"/>
      <c r="B12" s="1899" t="s">
        <v>100</v>
      </c>
      <c r="C12" s="1900"/>
      <c r="D12" s="1901"/>
      <c r="E12" s="303">
        <v>6</v>
      </c>
      <c r="F12" s="1073"/>
      <c r="G12" s="190"/>
    </row>
    <row r="13" spans="1:7" x14ac:dyDescent="0.2">
      <c r="A13" s="190"/>
      <c r="B13" s="1899" t="s">
        <v>101</v>
      </c>
      <c r="C13" s="1900"/>
      <c r="D13" s="1901"/>
      <c r="E13" s="303">
        <v>7</v>
      </c>
      <c r="F13" s="1073"/>
      <c r="G13" s="190"/>
    </row>
    <row r="14" spans="1:7" x14ac:dyDescent="0.2">
      <c r="A14" s="190"/>
      <c r="B14" s="1899" t="s">
        <v>102</v>
      </c>
      <c r="C14" s="1900"/>
      <c r="D14" s="1901"/>
      <c r="E14" s="303">
        <v>8</v>
      </c>
      <c r="F14" s="1073"/>
      <c r="G14" s="190"/>
    </row>
    <row r="15" spans="1:7" x14ac:dyDescent="0.2">
      <c r="A15" s="190"/>
      <c r="B15" s="1899" t="s">
        <v>103</v>
      </c>
      <c r="C15" s="1900"/>
      <c r="D15" s="1901"/>
      <c r="E15" s="302">
        <v>9</v>
      </c>
      <c r="F15" s="1073"/>
      <c r="G15" s="190"/>
    </row>
    <row r="16" spans="1:7" x14ac:dyDescent="0.2">
      <c r="A16" s="190"/>
      <c r="B16" s="1899" t="s">
        <v>104</v>
      </c>
      <c r="C16" s="1900"/>
      <c r="D16" s="1901"/>
      <c r="E16" s="303">
        <v>10</v>
      </c>
      <c r="F16" s="1073"/>
      <c r="G16" s="190"/>
    </row>
    <row r="17" spans="1:7" x14ac:dyDescent="0.2">
      <c r="A17" s="190"/>
      <c r="B17" s="1899" t="s">
        <v>105</v>
      </c>
      <c r="C17" s="1900"/>
      <c r="D17" s="1901"/>
      <c r="E17" s="303">
        <v>11</v>
      </c>
      <c r="F17" s="1073"/>
      <c r="G17" s="190"/>
    </row>
    <row r="18" spans="1:7" x14ac:dyDescent="0.2">
      <c r="A18" s="190"/>
      <c r="B18" s="1899" t="s">
        <v>106</v>
      </c>
      <c r="C18" s="1900"/>
      <c r="D18" s="1901"/>
      <c r="E18" s="303">
        <v>12</v>
      </c>
      <c r="F18" s="1073"/>
      <c r="G18" s="190"/>
    </row>
    <row r="19" spans="1:7" x14ac:dyDescent="0.2">
      <c r="A19" s="190"/>
      <c r="B19" s="1899" t="s">
        <v>84</v>
      </c>
      <c r="C19" s="1900"/>
      <c r="D19" s="1901"/>
      <c r="E19" s="302"/>
      <c r="F19" s="1073"/>
      <c r="G19" s="190"/>
    </row>
    <row r="20" spans="1:7" ht="13.5" thickBot="1" x14ac:dyDescent="0.25">
      <c r="A20" s="190"/>
      <c r="B20" s="1931" t="s">
        <v>85</v>
      </c>
      <c r="C20" s="1932"/>
      <c r="D20" s="1933"/>
      <c r="E20" s="174"/>
      <c r="F20" s="1073"/>
      <c r="G20" s="190"/>
    </row>
    <row r="21" spans="1:7" x14ac:dyDescent="0.2">
      <c r="A21" s="190"/>
      <c r="B21" s="1908" t="s">
        <v>39</v>
      </c>
      <c r="C21" s="1909"/>
      <c r="D21" s="1910"/>
      <c r="E21" s="174"/>
      <c r="F21" s="1073"/>
      <c r="G21" s="190"/>
    </row>
    <row r="22" spans="1:7" x14ac:dyDescent="0.2">
      <c r="A22" s="190"/>
      <c r="B22" s="1908" t="s">
        <v>39</v>
      </c>
      <c r="C22" s="1909"/>
      <c r="D22" s="1910"/>
      <c r="E22" s="174"/>
      <c r="F22" s="1073"/>
      <c r="G22" s="190"/>
    </row>
    <row r="23" spans="1:7" x14ac:dyDescent="0.2">
      <c r="A23" s="190"/>
      <c r="B23" s="1908" t="s">
        <v>39</v>
      </c>
      <c r="C23" s="1909"/>
      <c r="D23" s="1910"/>
      <c r="E23" s="174"/>
      <c r="F23" s="1073"/>
      <c r="G23" s="190"/>
    </row>
    <row r="24" spans="1:7" x14ac:dyDescent="0.2">
      <c r="A24" s="190"/>
      <c r="B24" s="1911" t="s">
        <v>39</v>
      </c>
      <c r="C24" s="1909"/>
      <c r="D24" s="1910"/>
      <c r="E24" s="174"/>
      <c r="F24" s="1073"/>
      <c r="G24" s="190"/>
    </row>
    <row r="25" spans="1:7" x14ac:dyDescent="0.2">
      <c r="A25" s="190"/>
      <c r="B25" s="1908" t="s">
        <v>39</v>
      </c>
      <c r="C25" s="1909"/>
      <c r="D25" s="1910"/>
      <c r="E25" s="174"/>
      <c r="F25" s="173"/>
      <c r="G25" s="190"/>
    </row>
    <row r="26" spans="1:7" x14ac:dyDescent="0.2">
      <c r="A26" s="190"/>
      <c r="B26" s="1908" t="s">
        <v>39</v>
      </c>
      <c r="C26" s="1909"/>
      <c r="D26" s="1910"/>
      <c r="E26" s="174"/>
      <c r="F26" s="173"/>
      <c r="G26" s="190"/>
    </row>
    <row r="27" spans="1:7" x14ac:dyDescent="0.2">
      <c r="A27" s="190"/>
      <c r="B27" s="1908" t="s">
        <v>39</v>
      </c>
      <c r="C27" s="1909"/>
      <c r="D27" s="1910"/>
      <c r="E27" s="174"/>
      <c r="F27" s="173"/>
      <c r="G27" s="190"/>
    </row>
    <row r="28" spans="1:7" x14ac:dyDescent="0.2">
      <c r="A28" s="190"/>
      <c r="B28" s="1908" t="s">
        <v>39</v>
      </c>
      <c r="C28" s="1909"/>
      <c r="D28" s="1910"/>
      <c r="E28" s="174"/>
      <c r="F28" s="173"/>
      <c r="G28" s="190"/>
    </row>
    <row r="29" spans="1:7" ht="13.5" thickBot="1" x14ac:dyDescent="0.25">
      <c r="A29" s="190"/>
      <c r="B29" s="1934" t="s">
        <v>39</v>
      </c>
      <c r="C29" s="1932"/>
      <c r="D29" s="1933"/>
      <c r="E29" s="174"/>
      <c r="F29" s="173"/>
      <c r="G29" s="190"/>
    </row>
    <row r="30" spans="1:7" ht="16.5" thickBot="1" x14ac:dyDescent="0.3">
      <c r="A30" s="190"/>
      <c r="B30" s="1915" t="s">
        <v>86</v>
      </c>
      <c r="C30" s="1916"/>
      <c r="D30" s="1917"/>
      <c r="E30" s="301"/>
      <c r="F30" s="778">
        <f>SUM(F6:F29)</f>
        <v>0</v>
      </c>
      <c r="G30" s="190"/>
    </row>
    <row r="31" spans="1:7" ht="13.5" thickTop="1" x14ac:dyDescent="0.2">
      <c r="A31" s="190"/>
      <c r="B31" s="190"/>
      <c r="C31" s="190"/>
      <c r="D31" s="190"/>
      <c r="E31" s="190"/>
      <c r="F31" s="278"/>
      <c r="G31" s="190"/>
    </row>
    <row r="32" spans="1:7" ht="14.25" thickBot="1" x14ac:dyDescent="0.3">
      <c r="A32" s="188" t="s">
        <v>87</v>
      </c>
      <c r="B32" s="190"/>
      <c r="C32" s="190"/>
      <c r="D32" s="190"/>
      <c r="E32" s="190"/>
      <c r="F32" s="190"/>
      <c r="G32" s="190"/>
    </row>
    <row r="33" spans="1:7" ht="17.25" thickTop="1" thickBot="1" x14ac:dyDescent="0.3">
      <c r="A33" s="190"/>
      <c r="B33" s="9" t="s">
        <v>88</v>
      </c>
      <c r="C33" s="11"/>
      <c r="D33" s="12"/>
      <c r="E33" s="10" t="s">
        <v>82</v>
      </c>
      <c r="F33" s="13" t="s">
        <v>89</v>
      </c>
      <c r="G33" s="190"/>
    </row>
    <row r="34" spans="1:7" x14ac:dyDescent="0.2">
      <c r="A34" s="190"/>
      <c r="B34" s="1935" t="s">
        <v>401</v>
      </c>
      <c r="C34" s="1936"/>
      <c r="D34" s="1937"/>
      <c r="E34" s="304"/>
      <c r="F34" s="1143"/>
      <c r="G34" s="190"/>
    </row>
    <row r="35" spans="1:7" x14ac:dyDescent="0.2">
      <c r="A35" s="190"/>
      <c r="B35" s="1905" t="s">
        <v>398</v>
      </c>
      <c r="C35" s="1906"/>
      <c r="D35" s="1907"/>
      <c r="E35" s="303">
        <v>2</v>
      </c>
      <c r="F35" s="173"/>
      <c r="G35" s="190"/>
    </row>
    <row r="36" spans="1:7" x14ac:dyDescent="0.2">
      <c r="A36" s="190"/>
      <c r="B36" s="1899" t="s">
        <v>98</v>
      </c>
      <c r="C36" s="1900"/>
      <c r="D36" s="1901"/>
      <c r="E36" s="303">
        <v>3</v>
      </c>
      <c r="F36" s="173"/>
      <c r="G36" s="190"/>
    </row>
    <row r="37" spans="1:7" x14ac:dyDescent="0.2">
      <c r="A37" s="190"/>
      <c r="B37" s="1899" t="s">
        <v>99</v>
      </c>
      <c r="C37" s="1900"/>
      <c r="D37" s="1901"/>
      <c r="E37" s="302">
        <v>3.2</v>
      </c>
      <c r="F37" s="173"/>
      <c r="G37" s="190"/>
    </row>
    <row r="38" spans="1:7" x14ac:dyDescent="0.2">
      <c r="A38" s="190"/>
      <c r="B38" s="1899" t="s">
        <v>399</v>
      </c>
      <c r="C38" s="1900"/>
      <c r="D38" s="1901"/>
      <c r="E38" s="302">
        <v>3.3</v>
      </c>
      <c r="F38" s="173"/>
      <c r="G38" s="190"/>
    </row>
    <row r="39" spans="1:7" x14ac:dyDescent="0.2">
      <c r="A39" s="190"/>
      <c r="B39" s="1899" t="s">
        <v>400</v>
      </c>
      <c r="C39" s="1900"/>
      <c r="D39" s="1901"/>
      <c r="E39" s="303">
        <v>5</v>
      </c>
      <c r="F39" s="173"/>
      <c r="G39" s="190"/>
    </row>
    <row r="40" spans="1:7" x14ac:dyDescent="0.2">
      <c r="A40" s="190"/>
      <c r="B40" s="1899" t="s">
        <v>100</v>
      </c>
      <c r="C40" s="1900"/>
      <c r="D40" s="1901"/>
      <c r="E40" s="303">
        <v>6</v>
      </c>
      <c r="F40" s="173"/>
      <c r="G40" s="190"/>
    </row>
    <row r="41" spans="1:7" x14ac:dyDescent="0.2">
      <c r="A41" s="190"/>
      <c r="B41" s="1899" t="s">
        <v>101</v>
      </c>
      <c r="C41" s="1900"/>
      <c r="D41" s="1901"/>
      <c r="E41" s="303">
        <v>7</v>
      </c>
      <c r="F41" s="173"/>
      <c r="G41" s="190"/>
    </row>
    <row r="42" spans="1:7" x14ac:dyDescent="0.2">
      <c r="A42" s="190"/>
      <c r="B42" s="1899" t="s">
        <v>102</v>
      </c>
      <c r="C42" s="1900"/>
      <c r="D42" s="1901"/>
      <c r="E42" s="303">
        <v>8</v>
      </c>
      <c r="F42" s="173"/>
      <c r="G42" s="190"/>
    </row>
    <row r="43" spans="1:7" x14ac:dyDescent="0.2">
      <c r="A43" s="190"/>
      <c r="B43" s="1899" t="s">
        <v>103</v>
      </c>
      <c r="C43" s="1900"/>
      <c r="D43" s="1901"/>
      <c r="E43" s="302">
        <v>9</v>
      </c>
      <c r="F43" s="173"/>
      <c r="G43" s="190"/>
    </row>
    <row r="44" spans="1:7" x14ac:dyDescent="0.2">
      <c r="A44" s="190"/>
      <c r="B44" s="1899" t="s">
        <v>104</v>
      </c>
      <c r="C44" s="1900"/>
      <c r="D44" s="1901"/>
      <c r="E44" s="303">
        <v>10</v>
      </c>
      <c r="F44" s="173"/>
      <c r="G44" s="190"/>
    </row>
    <row r="45" spans="1:7" x14ac:dyDescent="0.2">
      <c r="A45" s="190"/>
      <c r="B45" s="1899" t="s">
        <v>105</v>
      </c>
      <c r="C45" s="1900"/>
      <c r="D45" s="1901"/>
      <c r="E45" s="303">
        <v>11</v>
      </c>
      <c r="F45" s="173"/>
      <c r="G45" s="190"/>
    </row>
    <row r="46" spans="1:7" x14ac:dyDescent="0.2">
      <c r="A46" s="190"/>
      <c r="B46" s="1899" t="s">
        <v>106</v>
      </c>
      <c r="C46" s="1900"/>
      <c r="D46" s="1901"/>
      <c r="E46" s="303">
        <v>12</v>
      </c>
      <c r="F46" s="173"/>
      <c r="G46" s="190"/>
    </row>
    <row r="47" spans="1:7" x14ac:dyDescent="0.2">
      <c r="A47" s="190"/>
      <c r="B47" s="1899" t="s">
        <v>84</v>
      </c>
      <c r="C47" s="1900"/>
      <c r="D47" s="1901"/>
      <c r="E47" s="302"/>
      <c r="F47" s="173"/>
      <c r="G47" s="190"/>
    </row>
    <row r="48" spans="1:7" x14ac:dyDescent="0.2">
      <c r="A48" s="190"/>
      <c r="B48" s="1911" t="s">
        <v>869</v>
      </c>
      <c r="C48" s="1909"/>
      <c r="D48" s="1910"/>
      <c r="E48" s="850"/>
      <c r="F48" s="173"/>
      <c r="G48" s="190"/>
    </row>
    <row r="49" spans="1:7" x14ac:dyDescent="0.2">
      <c r="A49" s="190"/>
      <c r="B49" s="1911" t="s">
        <v>870</v>
      </c>
      <c r="C49" s="1909"/>
      <c r="D49" s="1910"/>
      <c r="E49" s="850"/>
      <c r="F49" s="173"/>
      <c r="G49" s="190"/>
    </row>
    <row r="50" spans="1:7" x14ac:dyDescent="0.2">
      <c r="A50" s="190"/>
      <c r="B50" s="1911" t="s">
        <v>871</v>
      </c>
      <c r="C50" s="1909"/>
      <c r="D50" s="1910"/>
      <c r="E50" s="850"/>
      <c r="F50" s="173"/>
      <c r="G50" s="190"/>
    </row>
    <row r="51" spans="1:7" x14ac:dyDescent="0.2">
      <c r="A51" s="190"/>
      <c r="B51" s="1911" t="s">
        <v>872</v>
      </c>
      <c r="C51" s="1909"/>
      <c r="D51" s="1910"/>
      <c r="E51" s="850"/>
      <c r="F51" s="173"/>
      <c r="G51" s="190"/>
    </row>
    <row r="52" spans="1:7" ht="13.5" thickBot="1" x14ac:dyDescent="0.25">
      <c r="A52" s="190"/>
      <c r="B52" s="1930" t="s">
        <v>85</v>
      </c>
      <c r="C52" s="1919"/>
      <c r="D52" s="1920"/>
      <c r="E52" s="850"/>
      <c r="F52" s="173"/>
      <c r="G52" s="190"/>
    </row>
    <row r="53" spans="1:7" ht="13.5" thickTop="1" x14ac:dyDescent="0.2">
      <c r="A53" s="190"/>
      <c r="B53" s="1911" t="s">
        <v>39</v>
      </c>
      <c r="C53" s="1909"/>
      <c r="D53" s="1910"/>
      <c r="E53" s="174"/>
      <c r="F53" s="173"/>
      <c r="G53" s="190"/>
    </row>
    <row r="54" spans="1:7" x14ac:dyDescent="0.2">
      <c r="A54" s="190"/>
      <c r="B54" s="1911" t="s">
        <v>39</v>
      </c>
      <c r="C54" s="1909"/>
      <c r="D54" s="1910"/>
      <c r="E54" s="174"/>
      <c r="F54" s="173"/>
      <c r="G54" s="190"/>
    </row>
    <row r="55" spans="1:7" x14ac:dyDescent="0.2">
      <c r="A55" s="190"/>
      <c r="B55" s="1911" t="s">
        <v>39</v>
      </c>
      <c r="C55" s="1909"/>
      <c r="D55" s="1910"/>
      <c r="E55" s="174"/>
      <c r="F55" s="173"/>
      <c r="G55" s="190"/>
    </row>
    <row r="56" spans="1:7" x14ac:dyDescent="0.2">
      <c r="A56" s="190"/>
      <c r="B56" s="1911" t="s">
        <v>39</v>
      </c>
      <c r="C56" s="1909"/>
      <c r="D56" s="1910"/>
      <c r="E56" s="174"/>
      <c r="F56" s="173"/>
      <c r="G56" s="190"/>
    </row>
    <row r="57" spans="1:7" ht="13.5" thickBot="1" x14ac:dyDescent="0.25">
      <c r="A57" s="190"/>
      <c r="B57" s="1918" t="s">
        <v>39</v>
      </c>
      <c r="C57" s="1919"/>
      <c r="D57" s="1920"/>
      <c r="E57" s="176"/>
      <c r="F57" s="175"/>
      <c r="G57" s="190"/>
    </row>
    <row r="58" spans="1:7" ht="14.25" thickTop="1" thickBot="1" x14ac:dyDescent="0.25">
      <c r="A58" s="190"/>
      <c r="B58" s="1912" t="s">
        <v>743</v>
      </c>
      <c r="C58" s="1913"/>
      <c r="D58" s="1914"/>
      <c r="E58" s="305"/>
      <c r="F58" s="779">
        <f>SUM(F34:F57)</f>
        <v>0</v>
      </c>
      <c r="G58" s="190"/>
    </row>
    <row r="59" spans="1:7" ht="13.5" thickTop="1" x14ac:dyDescent="0.2">
      <c r="A59" s="190"/>
      <c r="B59" s="306"/>
      <c r="C59" s="306"/>
      <c r="D59" s="307"/>
      <c r="E59" s="190"/>
      <c r="F59" s="190"/>
      <c r="G59" s="278"/>
    </row>
    <row r="60" spans="1:7" ht="13.5" thickBot="1" x14ac:dyDescent="0.25">
      <c r="A60" s="190"/>
      <c r="B60" s="306"/>
      <c r="C60" s="306"/>
      <c r="D60" s="306"/>
      <c r="E60" s="190"/>
      <c r="F60" s="190"/>
      <c r="G60" s="190"/>
    </row>
    <row r="61" spans="1:7" ht="17.25" thickTop="1" thickBot="1" x14ac:dyDescent="0.3">
      <c r="A61" s="190"/>
      <c r="B61" s="9" t="s">
        <v>90</v>
      </c>
      <c r="C61" s="14"/>
      <c r="D61" s="15"/>
      <c r="E61" s="10" t="s">
        <v>82</v>
      </c>
      <c r="F61" s="13" t="s">
        <v>89</v>
      </c>
      <c r="G61" s="190"/>
    </row>
    <row r="62" spans="1:7" x14ac:dyDescent="0.2">
      <c r="A62" s="190"/>
      <c r="B62" s="1899" t="s">
        <v>91</v>
      </c>
      <c r="C62" s="1900"/>
      <c r="D62" s="1901"/>
      <c r="E62" s="302">
        <v>1</v>
      </c>
      <c r="F62" s="1073"/>
      <c r="G62" s="190"/>
    </row>
    <row r="63" spans="1:7" x14ac:dyDescent="0.2">
      <c r="A63" s="190"/>
      <c r="B63" s="1899" t="s">
        <v>92</v>
      </c>
      <c r="C63" s="1900"/>
      <c r="D63" s="1901"/>
      <c r="E63" s="308"/>
      <c r="F63" s="1074"/>
      <c r="G63" s="190"/>
    </row>
    <row r="64" spans="1:7" x14ac:dyDescent="0.2">
      <c r="A64" s="190"/>
      <c r="B64" s="1899" t="s">
        <v>93</v>
      </c>
      <c r="C64" s="1900"/>
      <c r="D64" s="1901"/>
      <c r="E64" s="302"/>
      <c r="F64" s="1073"/>
      <c r="G64" s="190"/>
    </row>
    <row r="65" spans="1:12" x14ac:dyDescent="0.2">
      <c r="A65" s="190"/>
      <c r="B65" s="1911" t="s">
        <v>866</v>
      </c>
      <c r="C65" s="1909"/>
      <c r="D65" s="1910"/>
      <c r="E65" s="174"/>
      <c r="F65" s="173"/>
      <c r="G65" s="190"/>
    </row>
    <row r="66" spans="1:12" ht="16.5" thickBot="1" x14ac:dyDescent="0.3">
      <c r="A66" s="190"/>
      <c r="B66" s="1915" t="s">
        <v>728</v>
      </c>
      <c r="C66" s="1916"/>
      <c r="D66" s="1917"/>
      <c r="E66" s="301"/>
      <c r="F66" s="778">
        <f>SUM(F62:F65)</f>
        <v>0</v>
      </c>
      <c r="G66" s="190"/>
    </row>
    <row r="67" spans="1:12" ht="17.25" thickTop="1" thickBot="1" x14ac:dyDescent="0.3">
      <c r="A67" s="190"/>
      <c r="B67" s="1915" t="s">
        <v>727</v>
      </c>
      <c r="C67" s="1916"/>
      <c r="D67" s="1917"/>
      <c r="E67" s="301"/>
      <c r="F67" s="778">
        <f>+F30+F58+F66</f>
        <v>0</v>
      </c>
      <c r="G67" s="190"/>
    </row>
    <row r="68" spans="1:12" ht="13.5" thickTop="1" x14ac:dyDescent="0.2">
      <c r="A68" s="190"/>
      <c r="B68" s="190"/>
      <c r="C68" s="190"/>
      <c r="D68" s="190"/>
      <c r="E68" s="190"/>
      <c r="F68" s="190"/>
      <c r="G68" s="190"/>
    </row>
    <row r="69" spans="1:12" ht="13.5" thickBot="1" x14ac:dyDescent="0.25">
      <c r="A69" s="190"/>
      <c r="B69" s="190"/>
      <c r="C69" s="190"/>
      <c r="D69" s="190"/>
      <c r="E69" s="190"/>
      <c r="F69" s="190"/>
      <c r="G69" s="190"/>
    </row>
    <row r="70" spans="1:12" x14ac:dyDescent="0.2">
      <c r="A70" s="190"/>
      <c r="B70" s="190"/>
      <c r="C70" s="309" t="s">
        <v>91</v>
      </c>
      <c r="D70" s="310"/>
      <c r="E70" s="311" t="s">
        <v>94</v>
      </c>
      <c r="F70" s="780">
        <f>(SUM($F$34:$F$57)+SUM($F$65:$F$65)+F$30)*0.06</f>
        <v>0</v>
      </c>
      <c r="G70" s="190"/>
    </row>
    <row r="71" spans="1:12" ht="13.5" thickBot="1" x14ac:dyDescent="0.25">
      <c r="A71" s="190"/>
      <c r="B71" s="190"/>
      <c r="C71" s="312"/>
      <c r="D71" s="313"/>
      <c r="E71" s="314" t="s">
        <v>95</v>
      </c>
      <c r="F71" s="781">
        <f>+F62</f>
        <v>0</v>
      </c>
      <c r="G71" s="298" t="str">
        <f>IF(F71&gt;F70,"!","")</f>
        <v/>
      </c>
      <c r="L71" s="732"/>
    </row>
    <row r="72" spans="1:12" x14ac:dyDescent="0.2">
      <c r="A72" s="190"/>
      <c r="B72" s="190"/>
      <c r="C72" s="309" t="s">
        <v>96</v>
      </c>
      <c r="D72" s="310"/>
      <c r="E72" s="311" t="s">
        <v>94</v>
      </c>
      <c r="F72" s="780">
        <f>(SUM($F$34:$F$57)+F71+F30+SUM($F$65:$F$65))*0.02</f>
        <v>0</v>
      </c>
      <c r="G72" s="190"/>
    </row>
    <row r="73" spans="1:12" ht="13.5" thickBot="1" x14ac:dyDescent="0.25">
      <c r="A73" s="190"/>
      <c r="B73" s="190"/>
      <c r="C73" s="312"/>
      <c r="D73" s="313"/>
      <c r="E73" s="315" t="s">
        <v>95</v>
      </c>
      <c r="F73" s="781">
        <f>+F63</f>
        <v>0</v>
      </c>
      <c r="G73" s="298" t="str">
        <f>IF(F73&gt;F72,"!","")</f>
        <v/>
      </c>
    </row>
    <row r="74" spans="1:12" x14ac:dyDescent="0.2">
      <c r="A74" s="190"/>
      <c r="B74" s="190"/>
      <c r="C74" s="309" t="s">
        <v>93</v>
      </c>
      <c r="D74" s="310"/>
      <c r="E74" s="311" t="s">
        <v>94</v>
      </c>
      <c r="F74" s="780">
        <f>(SUM($F$34:$F$57)+F71+F30+SUM($F$65:$F$65))*0.06</f>
        <v>0</v>
      </c>
      <c r="G74" s="190"/>
    </row>
    <row r="75" spans="1:12" ht="13.5" thickBot="1" x14ac:dyDescent="0.25">
      <c r="A75" s="190"/>
      <c r="B75" s="190"/>
      <c r="C75" s="312"/>
      <c r="D75" s="313"/>
      <c r="E75" s="315" t="s">
        <v>95</v>
      </c>
      <c r="F75" s="781">
        <f>+F64</f>
        <v>0</v>
      </c>
      <c r="G75" s="298" t="str">
        <f>IF(F75&gt;F74,"!","")</f>
        <v/>
      </c>
    </row>
    <row r="76" spans="1:12" x14ac:dyDescent="0.2">
      <c r="A76" s="190"/>
      <c r="B76" s="190"/>
      <c r="C76" s="309" t="s">
        <v>97</v>
      </c>
      <c r="D76" s="310"/>
      <c r="E76" s="311" t="s">
        <v>94</v>
      </c>
      <c r="F76" s="780">
        <f>(SUM($F$34:$F$57)+F73+F30+SUM($F$65:$F$65))*0.15</f>
        <v>0</v>
      </c>
      <c r="G76" s="299">
        <v>0</v>
      </c>
    </row>
    <row r="77" spans="1:12" ht="13.5" thickBot="1" x14ac:dyDescent="0.25">
      <c r="A77" s="190"/>
      <c r="B77" s="190"/>
      <c r="C77" s="312"/>
      <c r="D77" s="313"/>
      <c r="E77" s="315" t="s">
        <v>95</v>
      </c>
      <c r="F77" s="781">
        <f>+'Sources and Uses'!I33</f>
        <v>0</v>
      </c>
      <c r="G77" s="298" t="str">
        <f>IF(F77&gt;F76,"!","")</f>
        <v/>
      </c>
    </row>
    <row r="78" spans="1:12" x14ac:dyDescent="0.2">
      <c r="A78" s="190"/>
      <c r="B78" s="190"/>
      <c r="C78" s="190"/>
      <c r="D78" s="190"/>
      <c r="E78" s="190"/>
      <c r="F78" s="190"/>
      <c r="G78" s="300" t="e">
        <f>MAX(#REF!,8)</f>
        <v>#REF!</v>
      </c>
    </row>
    <row r="79" spans="1:12" x14ac:dyDescent="0.2">
      <c r="A79" s="190"/>
      <c r="B79" s="3"/>
      <c r="C79" s="3"/>
      <c r="D79" s="3"/>
      <c r="E79" s="3"/>
      <c r="F79" s="3"/>
      <c r="G79" s="190"/>
    </row>
    <row r="80" spans="1:12" x14ac:dyDescent="0.2">
      <c r="A80" s="190"/>
      <c r="B80" s="3"/>
      <c r="C80" s="3"/>
      <c r="D80" s="3"/>
      <c r="E80" s="3"/>
      <c r="F80" s="3"/>
      <c r="G80" s="190"/>
    </row>
    <row r="81" spans="1:7" x14ac:dyDescent="0.2">
      <c r="A81" s="190"/>
      <c r="B81" s="3"/>
      <c r="C81" s="3"/>
      <c r="D81" s="3"/>
      <c r="E81" s="3"/>
      <c r="F81" s="3"/>
      <c r="G81" s="190"/>
    </row>
    <row r="82" spans="1:7" x14ac:dyDescent="0.2">
      <c r="A82" s="190"/>
      <c r="B82" s="3"/>
      <c r="C82" s="3"/>
      <c r="D82" s="3"/>
      <c r="E82" s="3"/>
      <c r="F82" s="3"/>
      <c r="G82" s="190"/>
    </row>
    <row r="83" spans="1:7" x14ac:dyDescent="0.2">
      <c r="A83" s="190"/>
      <c r="B83" s="3"/>
      <c r="C83" s="3"/>
      <c r="D83" s="3"/>
      <c r="E83" s="3"/>
      <c r="F83" s="3"/>
      <c r="G83" s="190"/>
    </row>
    <row r="84" spans="1:7" x14ac:dyDescent="0.2">
      <c r="A84" s="190"/>
      <c r="B84" s="3"/>
      <c r="C84" s="3"/>
      <c r="D84" s="3"/>
      <c r="E84" s="3"/>
      <c r="F84" s="3"/>
      <c r="G84" s="190"/>
    </row>
    <row r="85" spans="1:7" x14ac:dyDescent="0.2">
      <c r="A85" s="190"/>
      <c r="B85" s="3"/>
      <c r="C85" s="3"/>
      <c r="D85" s="3"/>
      <c r="E85" s="3"/>
      <c r="F85" s="3"/>
      <c r="G85" s="190"/>
    </row>
    <row r="86" spans="1:7" x14ac:dyDescent="0.2">
      <c r="A86" s="190"/>
      <c r="B86" s="3"/>
      <c r="C86" s="3"/>
      <c r="D86" s="3"/>
      <c r="E86" s="3"/>
      <c r="F86" s="3"/>
      <c r="G86" s="190"/>
    </row>
    <row r="87" spans="1:7" x14ac:dyDescent="0.2">
      <c r="A87" s="190"/>
      <c r="B87" s="3"/>
      <c r="C87" s="3"/>
      <c r="D87" s="3"/>
      <c r="E87" s="3"/>
      <c r="F87" s="3"/>
      <c r="G87" s="190"/>
    </row>
    <row r="88" spans="1:7" x14ac:dyDescent="0.2">
      <c r="A88" s="190"/>
      <c r="B88" s="3"/>
      <c r="C88" s="3"/>
      <c r="D88" s="3"/>
      <c r="E88" s="3"/>
      <c r="F88" s="3"/>
      <c r="G88" s="190"/>
    </row>
    <row r="89" spans="1:7" x14ac:dyDescent="0.2">
      <c r="A89" s="190"/>
      <c r="B89" s="3"/>
      <c r="C89" s="3"/>
      <c r="D89" s="3"/>
      <c r="E89" s="3"/>
      <c r="F89" s="3"/>
      <c r="G89" s="190"/>
    </row>
    <row r="90" spans="1:7" x14ac:dyDescent="0.2">
      <c r="A90" s="190"/>
      <c r="B90" s="3"/>
      <c r="C90" s="3"/>
      <c r="D90" s="3"/>
      <c r="E90" s="3"/>
      <c r="F90" s="3"/>
      <c r="G90" s="190"/>
    </row>
    <row r="91" spans="1:7" x14ac:dyDescent="0.2">
      <c r="A91" s="190"/>
      <c r="B91" s="3"/>
      <c r="C91" s="3"/>
      <c r="D91" s="3"/>
      <c r="E91" s="3"/>
      <c r="F91" s="3"/>
      <c r="G91" s="190"/>
    </row>
    <row r="92" spans="1:7" x14ac:dyDescent="0.2">
      <c r="A92" s="190"/>
      <c r="B92" s="3"/>
      <c r="C92" s="3"/>
      <c r="D92" s="3"/>
      <c r="E92" s="3"/>
      <c r="F92" s="3"/>
      <c r="G92" s="190"/>
    </row>
    <row r="93" spans="1:7" x14ac:dyDescent="0.2">
      <c r="A93" s="190"/>
      <c r="B93" s="190"/>
      <c r="C93" s="190"/>
      <c r="D93" s="190"/>
      <c r="E93" s="190"/>
      <c r="F93" s="190"/>
      <c r="G93" s="190"/>
    </row>
    <row r="94" spans="1:7" x14ac:dyDescent="0.2">
      <c r="A94" s="190"/>
      <c r="B94" s="190"/>
      <c r="C94" s="190"/>
      <c r="D94" s="190"/>
      <c r="E94" s="190"/>
      <c r="F94" s="190"/>
      <c r="G94" s="190"/>
    </row>
    <row r="95" spans="1:7" x14ac:dyDescent="0.2">
      <c r="A95" s="3"/>
      <c r="B95" s="3"/>
      <c r="C95" s="3"/>
      <c r="D95" s="3"/>
      <c r="E95" s="3"/>
      <c r="F95" s="3"/>
      <c r="G95" s="3"/>
    </row>
  </sheetData>
  <sheetProtection password="CC14" sheet="1" objects="1" scenarios="1"/>
  <mergeCells count="58">
    <mergeCell ref="B2:F2"/>
    <mergeCell ref="B3:F4"/>
    <mergeCell ref="B52:D52"/>
    <mergeCell ref="B20:D20"/>
    <mergeCell ref="B21:D21"/>
    <mergeCell ref="B22:D22"/>
    <mergeCell ref="B23:D23"/>
    <mergeCell ref="B24:D24"/>
    <mergeCell ref="B36:D36"/>
    <mergeCell ref="B27:D27"/>
    <mergeCell ref="B28:D28"/>
    <mergeCell ref="B29:D29"/>
    <mergeCell ref="B30:D30"/>
    <mergeCell ref="B34:D34"/>
    <mergeCell ref="B35:D35"/>
    <mergeCell ref="B17:D17"/>
    <mergeCell ref="B64:D64"/>
    <mergeCell ref="B65:D65"/>
    <mergeCell ref="B67:D67"/>
    <mergeCell ref="B57:D57"/>
    <mergeCell ref="B66:D66"/>
    <mergeCell ref="B63:D63"/>
    <mergeCell ref="B54:D54"/>
    <mergeCell ref="B55:D55"/>
    <mergeCell ref="B56:D56"/>
    <mergeCell ref="B58:D58"/>
    <mergeCell ref="B62:D62"/>
    <mergeCell ref="B53:D53"/>
    <mergeCell ref="B37:D37"/>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18:D18"/>
    <mergeCell ref="B19:D19"/>
    <mergeCell ref="B25:D25"/>
    <mergeCell ref="B26:D26"/>
    <mergeCell ref="B16:D16"/>
    <mergeCell ref="B6:D6"/>
    <mergeCell ref="B7:D7"/>
    <mergeCell ref="B8:D8"/>
    <mergeCell ref="B9:D9"/>
    <mergeCell ref="B10:D10"/>
    <mergeCell ref="B11:D11"/>
    <mergeCell ref="B12:D12"/>
    <mergeCell ref="B13:D13"/>
    <mergeCell ref="B14:D14"/>
    <mergeCell ref="B15:D15"/>
  </mergeCells>
  <pageMargins left="0.7" right="0.7" top="0.75" bottom="0.75" header="0.3" footer="0.3"/>
  <pageSetup scale="65" orientation="portrait"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6" tint="0.39997558519241921"/>
    <pageSetUpPr fitToPage="1"/>
  </sheetPr>
  <dimension ref="A1:T55"/>
  <sheetViews>
    <sheetView zoomScaleNormal="100" workbookViewId="0">
      <selection activeCell="G27" sqref="G27"/>
    </sheetView>
  </sheetViews>
  <sheetFormatPr defaultColWidth="9.140625" defaultRowHeight="12.75" x14ac:dyDescent="0.2"/>
  <cols>
    <col min="1" max="1" width="3.7109375" style="103" customWidth="1"/>
    <col min="2" max="2" width="17.85546875" style="103" customWidth="1"/>
    <col min="3" max="3" width="9.140625" style="103"/>
    <col min="4" max="4" width="18.140625" style="103" customWidth="1"/>
    <col min="5" max="5" width="38.140625" style="103" customWidth="1"/>
    <col min="6" max="6" width="4.140625" style="103" customWidth="1"/>
    <col min="7" max="7" width="18.28515625" style="103" customWidth="1"/>
    <col min="8" max="8" width="29.42578125" style="103" customWidth="1"/>
    <col min="9" max="10" width="3.7109375" style="103" customWidth="1"/>
    <col min="11" max="18" width="9.140625" style="103"/>
    <col min="19" max="19" width="75" style="103" customWidth="1"/>
    <col min="20" max="16384" width="9.140625" style="103"/>
  </cols>
  <sheetData>
    <row r="1" spans="1:20" ht="15" thickTop="1" thickBot="1" x14ac:dyDescent="0.3">
      <c r="A1" s="316" t="s">
        <v>178</v>
      </c>
      <c r="B1" s="611"/>
      <c r="C1" s="612"/>
      <c r="D1" s="771" t="str">
        <f>+Cover!D7</f>
        <v>02142019.SA1</v>
      </c>
      <c r="E1" s="1939">
        <f>Cover!E10</f>
        <v>0</v>
      </c>
      <c r="F1" s="1940"/>
      <c r="G1" s="613"/>
      <c r="H1" s="613"/>
      <c r="I1" s="613"/>
    </row>
    <row r="2" spans="1:20" ht="14.25" thickTop="1" thickBot="1" x14ac:dyDescent="0.25">
      <c r="A2" s="318"/>
      <c r="B2" s="317" t="s">
        <v>179</v>
      </c>
      <c r="C2" s="614"/>
      <c r="D2" s="614"/>
      <c r="E2" s="615"/>
      <c r="F2" s="616"/>
      <c r="G2" s="613"/>
      <c r="H2" s="613"/>
      <c r="I2" s="613"/>
      <c r="T2" s="103" t="s">
        <v>196</v>
      </c>
    </row>
    <row r="3" spans="1:20" ht="13.5" thickTop="1" x14ac:dyDescent="0.2">
      <c r="A3" s="318"/>
      <c r="B3" s="1945" t="s">
        <v>180</v>
      </c>
      <c r="C3" s="1945"/>
      <c r="D3" s="1945"/>
      <c r="E3" s="164"/>
      <c r="F3" s="616"/>
      <c r="T3" s="103" t="s">
        <v>197</v>
      </c>
    </row>
    <row r="4" spans="1:20" x14ac:dyDescent="0.2">
      <c r="A4" s="318"/>
      <c r="B4" s="1941" t="s">
        <v>181</v>
      </c>
      <c r="C4" s="1941"/>
      <c r="D4" s="1941"/>
      <c r="E4" s="165"/>
      <c r="F4" s="616"/>
      <c r="T4" s="103" t="s">
        <v>198</v>
      </c>
    </row>
    <row r="5" spans="1:20" x14ac:dyDescent="0.2">
      <c r="A5" s="318"/>
      <c r="B5" s="1941" t="s">
        <v>182</v>
      </c>
      <c r="C5" s="1941"/>
      <c r="D5" s="1941"/>
      <c r="E5" s="165"/>
      <c r="F5" s="616"/>
      <c r="T5" s="103" t="s">
        <v>199</v>
      </c>
    </row>
    <row r="6" spans="1:20" x14ac:dyDescent="0.2">
      <c r="A6" s="318"/>
      <c r="B6" s="1941" t="s">
        <v>183</v>
      </c>
      <c r="C6" s="1941"/>
      <c r="D6" s="1941"/>
      <c r="E6" s="166"/>
      <c r="F6" s="616"/>
      <c r="T6" s="103" t="s">
        <v>39</v>
      </c>
    </row>
    <row r="7" spans="1:20" x14ac:dyDescent="0.2">
      <c r="A7" s="318"/>
      <c r="B7" s="1941" t="s">
        <v>184</v>
      </c>
      <c r="C7" s="1941"/>
      <c r="D7" s="1941"/>
      <c r="E7" s="166"/>
      <c r="F7" s="616"/>
    </row>
    <row r="8" spans="1:20" x14ac:dyDescent="0.2">
      <c r="A8" s="318"/>
      <c r="B8" s="1941" t="s">
        <v>185</v>
      </c>
      <c r="C8" s="1941"/>
      <c r="D8" s="1941"/>
      <c r="E8" s="167"/>
      <c r="F8" s="616"/>
    </row>
    <row r="9" spans="1:20" x14ac:dyDescent="0.2">
      <c r="A9" s="318"/>
      <c r="B9" s="1941" t="s">
        <v>186</v>
      </c>
      <c r="C9" s="1941"/>
      <c r="D9" s="1941"/>
      <c r="E9" s="1000"/>
      <c r="F9" s="616"/>
    </row>
    <row r="10" spans="1:20" x14ac:dyDescent="0.2">
      <c r="A10" s="318"/>
      <c r="B10" s="1941" t="s">
        <v>187</v>
      </c>
      <c r="C10" s="1941"/>
      <c r="D10" s="1941"/>
      <c r="E10" s="617">
        <f>+E12/12</f>
        <v>0</v>
      </c>
      <c r="F10" s="616"/>
    </row>
    <row r="11" spans="1:20" x14ac:dyDescent="0.2">
      <c r="A11" s="318"/>
      <c r="B11" s="1946" t="s">
        <v>1647</v>
      </c>
      <c r="C11" s="1947"/>
      <c r="D11" s="1947"/>
      <c r="E11" s="1086"/>
      <c r="F11" s="616"/>
    </row>
    <row r="12" spans="1:20" x14ac:dyDescent="0.2">
      <c r="A12" s="318"/>
      <c r="B12" s="1941" t="s">
        <v>188</v>
      </c>
      <c r="C12" s="1941"/>
      <c r="D12" s="1941"/>
      <c r="E12" s="617">
        <f>IF(E8&gt;0, -PMT(E8/12,E9*12,E4), 0)*12</f>
        <v>0</v>
      </c>
      <c r="F12" s="616"/>
    </row>
    <row r="13" spans="1:20" x14ac:dyDescent="0.2">
      <c r="A13" s="318"/>
      <c r="B13" s="1941" t="s">
        <v>471</v>
      </c>
      <c r="C13" s="1941"/>
      <c r="D13" s="1941"/>
      <c r="E13" s="168"/>
      <c r="F13" s="616"/>
    </row>
    <row r="14" spans="1:20" x14ac:dyDescent="0.2">
      <c r="A14" s="318"/>
      <c r="B14" s="1941" t="s">
        <v>189</v>
      </c>
      <c r="C14" s="1941"/>
      <c r="D14" s="1941"/>
      <c r="E14" s="167"/>
      <c r="F14" s="616"/>
    </row>
    <row r="15" spans="1:20" x14ac:dyDescent="0.2">
      <c r="A15" s="318"/>
      <c r="B15" s="1941" t="s">
        <v>190</v>
      </c>
      <c r="C15" s="1941"/>
      <c r="D15" s="1941"/>
      <c r="E15" s="166"/>
      <c r="F15" s="616"/>
    </row>
    <row r="16" spans="1:20" x14ac:dyDescent="0.2">
      <c r="A16" s="318"/>
      <c r="B16" s="1941" t="s">
        <v>191</v>
      </c>
      <c r="C16" s="1941"/>
      <c r="D16" s="1941"/>
      <c r="E16" s="168"/>
      <c r="F16" s="616"/>
    </row>
    <row r="17" spans="1:6" x14ac:dyDescent="0.2">
      <c r="A17" s="318"/>
      <c r="B17" s="1941" t="s">
        <v>192</v>
      </c>
      <c r="C17" s="1941"/>
      <c r="D17" s="1941"/>
      <c r="E17" s="166"/>
      <c r="F17" s="616"/>
    </row>
    <row r="18" spans="1:6" ht="13.5" thickBot="1" x14ac:dyDescent="0.25">
      <c r="A18" s="318"/>
      <c r="B18" s="618"/>
      <c r="C18" s="618"/>
      <c r="D18" s="618"/>
      <c r="E18" s="618"/>
      <c r="F18" s="616"/>
    </row>
    <row r="19" spans="1:6" ht="14.25" thickTop="1" thickBot="1" x14ac:dyDescent="0.25">
      <c r="A19" s="318"/>
      <c r="B19" s="317" t="s">
        <v>193</v>
      </c>
      <c r="C19" s="614"/>
      <c r="D19" s="614"/>
      <c r="E19" s="615"/>
      <c r="F19" s="616"/>
    </row>
    <row r="20" spans="1:6" ht="13.5" thickTop="1" x14ac:dyDescent="0.2">
      <c r="A20" s="318"/>
      <c r="B20" s="1945" t="s">
        <v>180</v>
      </c>
      <c r="C20" s="1945"/>
      <c r="D20" s="1945"/>
      <c r="E20" s="164"/>
      <c r="F20" s="616"/>
    </row>
    <row r="21" spans="1:6" x14ac:dyDescent="0.2">
      <c r="A21" s="318"/>
      <c r="B21" s="1941" t="s">
        <v>181</v>
      </c>
      <c r="C21" s="1941"/>
      <c r="D21" s="1941"/>
      <c r="E21" s="165"/>
      <c r="F21" s="616"/>
    </row>
    <row r="22" spans="1:6" x14ac:dyDescent="0.2">
      <c r="A22" s="318"/>
      <c r="B22" s="1941" t="s">
        <v>182</v>
      </c>
      <c r="C22" s="1941"/>
      <c r="D22" s="1941"/>
      <c r="E22" s="165"/>
      <c r="F22" s="616"/>
    </row>
    <row r="23" spans="1:6" x14ac:dyDescent="0.2">
      <c r="A23" s="318"/>
      <c r="B23" s="1941" t="s">
        <v>183</v>
      </c>
      <c r="C23" s="1941"/>
      <c r="D23" s="1941"/>
      <c r="E23" s="166"/>
      <c r="F23" s="616"/>
    </row>
    <row r="24" spans="1:6" x14ac:dyDescent="0.2">
      <c r="A24" s="318"/>
      <c r="B24" s="1941" t="s">
        <v>184</v>
      </c>
      <c r="C24" s="1941"/>
      <c r="D24" s="1941"/>
      <c r="E24" s="166"/>
      <c r="F24" s="616"/>
    </row>
    <row r="25" spans="1:6" x14ac:dyDescent="0.2">
      <c r="A25" s="318"/>
      <c r="B25" s="1941" t="s">
        <v>185</v>
      </c>
      <c r="C25" s="1941"/>
      <c r="D25" s="1941"/>
      <c r="E25" s="167"/>
      <c r="F25" s="616"/>
    </row>
    <row r="26" spans="1:6" x14ac:dyDescent="0.2">
      <c r="A26" s="318"/>
      <c r="B26" s="1941" t="s">
        <v>186</v>
      </c>
      <c r="C26" s="1941"/>
      <c r="D26" s="1941"/>
      <c r="E26" s="168"/>
      <c r="F26" s="616"/>
    </row>
    <row r="27" spans="1:6" x14ac:dyDescent="0.2">
      <c r="A27" s="318"/>
      <c r="B27" s="1941" t="s">
        <v>187</v>
      </c>
      <c r="C27" s="1941"/>
      <c r="D27" s="1941"/>
      <c r="E27" s="617">
        <f>+E29/12</f>
        <v>0</v>
      </c>
      <c r="F27" s="616"/>
    </row>
    <row r="28" spans="1:6" x14ac:dyDescent="0.2">
      <c r="A28" s="318"/>
      <c r="B28" s="1946" t="s">
        <v>1648</v>
      </c>
      <c r="C28" s="1947"/>
      <c r="D28" s="1947"/>
      <c r="E28" s="1001"/>
      <c r="F28" s="616"/>
    </row>
    <row r="29" spans="1:6" x14ac:dyDescent="0.2">
      <c r="A29" s="318"/>
      <c r="B29" s="1941" t="s">
        <v>188</v>
      </c>
      <c r="C29" s="1941"/>
      <c r="D29" s="1941"/>
      <c r="E29" s="617">
        <f>IF(E25&gt;0, -PMT(E25/12,E26*12,E21), 0)*12</f>
        <v>0</v>
      </c>
      <c r="F29" s="616"/>
    </row>
    <row r="30" spans="1:6" x14ac:dyDescent="0.2">
      <c r="A30" s="318"/>
      <c r="B30" s="1941" t="s">
        <v>471</v>
      </c>
      <c r="C30" s="1941"/>
      <c r="D30" s="1941"/>
      <c r="E30" s="168"/>
      <c r="F30" s="616"/>
    </row>
    <row r="31" spans="1:6" x14ac:dyDescent="0.2">
      <c r="A31" s="318"/>
      <c r="B31" s="1941" t="s">
        <v>189</v>
      </c>
      <c r="C31" s="1941"/>
      <c r="D31" s="1941"/>
      <c r="E31" s="167"/>
      <c r="F31" s="616"/>
    </row>
    <row r="32" spans="1:6" x14ac:dyDescent="0.2">
      <c r="A32" s="318"/>
      <c r="B32" s="1941" t="s">
        <v>190</v>
      </c>
      <c r="C32" s="1941"/>
      <c r="D32" s="1941"/>
      <c r="E32" s="166"/>
      <c r="F32" s="616"/>
    </row>
    <row r="33" spans="1:6" x14ac:dyDescent="0.2">
      <c r="A33" s="318"/>
      <c r="B33" s="1941" t="s">
        <v>191</v>
      </c>
      <c r="C33" s="1941"/>
      <c r="D33" s="1941"/>
      <c r="E33" s="168"/>
      <c r="F33" s="616"/>
    </row>
    <row r="34" spans="1:6" x14ac:dyDescent="0.2">
      <c r="A34" s="318"/>
      <c r="B34" s="1941" t="s">
        <v>192</v>
      </c>
      <c r="C34" s="1941"/>
      <c r="D34" s="1941"/>
      <c r="E34" s="166"/>
      <c r="F34" s="616"/>
    </row>
    <row r="35" spans="1:6" ht="13.5" thickBot="1" x14ac:dyDescent="0.25">
      <c r="A35" s="318"/>
      <c r="B35" s="619"/>
      <c r="C35" s="619"/>
      <c r="D35" s="1938"/>
      <c r="E35" s="1938"/>
      <c r="F35" s="616"/>
    </row>
    <row r="36" spans="1:6" ht="14.25" thickTop="1" thickBot="1" x14ac:dyDescent="0.25">
      <c r="A36" s="318"/>
      <c r="B36" s="317" t="s">
        <v>614</v>
      </c>
      <c r="C36" s="614"/>
      <c r="D36" s="614"/>
      <c r="E36" s="615"/>
      <c r="F36" s="616"/>
    </row>
    <row r="37" spans="1:6" ht="13.5" thickTop="1" x14ac:dyDescent="0.2">
      <c r="A37" s="318"/>
      <c r="B37" s="1945" t="s">
        <v>180</v>
      </c>
      <c r="C37" s="1945"/>
      <c r="D37" s="1945"/>
      <c r="E37" s="1364" t="s">
        <v>613</v>
      </c>
      <c r="F37" s="616"/>
    </row>
    <row r="38" spans="1:6" x14ac:dyDescent="0.2">
      <c r="A38" s="318"/>
      <c r="B38" s="1941" t="s">
        <v>181</v>
      </c>
      <c r="C38" s="1941"/>
      <c r="D38" s="1941"/>
      <c r="E38" s="1365">
        <f>+'Primary Input'!E37:G37</f>
        <v>0</v>
      </c>
      <c r="F38" s="616"/>
    </row>
    <row r="39" spans="1:6" x14ac:dyDescent="0.2">
      <c r="A39" s="620"/>
      <c r="B39" s="1941" t="s">
        <v>185</v>
      </c>
      <c r="C39" s="1941"/>
      <c r="D39" s="1941"/>
      <c r="E39" s="1366" t="s">
        <v>1940</v>
      </c>
      <c r="F39" s="616"/>
    </row>
    <row r="40" spans="1:6" x14ac:dyDescent="0.2">
      <c r="A40" s="620"/>
      <c r="B40" s="1941" t="s">
        <v>194</v>
      </c>
      <c r="C40" s="1941"/>
      <c r="D40" s="1941"/>
      <c r="E40" s="1367" t="e">
        <f>+Amortization!G23</f>
        <v>#VALUE!</v>
      </c>
      <c r="F40" s="616"/>
    </row>
    <row r="41" spans="1:6" x14ac:dyDescent="0.2">
      <c r="A41" s="620"/>
      <c r="B41" s="1942" t="s">
        <v>195</v>
      </c>
      <c r="C41" s="1943"/>
      <c r="D41" s="1944"/>
      <c r="E41" s="1368" t="e">
        <f>+E38-E40</f>
        <v>#VALUE!</v>
      </c>
      <c r="F41" s="616"/>
    </row>
    <row r="42" spans="1:6" x14ac:dyDescent="0.2">
      <c r="A42" s="621"/>
      <c r="B42" s="619"/>
      <c r="C42" s="619"/>
      <c r="D42" s="619"/>
      <c r="E42" s="619"/>
      <c r="F42" s="622"/>
    </row>
    <row r="43" spans="1:6" x14ac:dyDescent="0.2">
      <c r="A43" s="621"/>
      <c r="B43" s="619"/>
      <c r="C43" s="619"/>
      <c r="D43" s="619"/>
      <c r="E43" s="619"/>
      <c r="F43" s="622"/>
    </row>
    <row r="44" spans="1:6" x14ac:dyDescent="0.2">
      <c r="A44" s="621"/>
      <c r="B44" s="623"/>
      <c r="C44" s="623"/>
      <c r="D44" s="623"/>
      <c r="E44" s="623"/>
      <c r="F44" s="622"/>
    </row>
    <row r="45" spans="1:6" x14ac:dyDescent="0.2">
      <c r="A45" s="621"/>
      <c r="B45" s="623"/>
      <c r="C45" s="623"/>
      <c r="D45" s="623"/>
      <c r="E45" s="623"/>
      <c r="F45" s="622"/>
    </row>
    <row r="46" spans="1:6" x14ac:dyDescent="0.2">
      <c r="A46" s="621"/>
      <c r="B46" s="623"/>
      <c r="C46" s="623"/>
      <c r="D46" s="623"/>
      <c r="E46" s="623"/>
      <c r="F46" s="622"/>
    </row>
    <row r="47" spans="1:6" x14ac:dyDescent="0.2">
      <c r="A47" s="621"/>
      <c r="B47" s="623"/>
      <c r="C47" s="623"/>
      <c r="D47" s="623"/>
      <c r="E47" s="623"/>
      <c r="F47" s="622"/>
    </row>
    <row r="48" spans="1:6" x14ac:dyDescent="0.2">
      <c r="A48" s="621"/>
      <c r="B48" s="623"/>
      <c r="C48" s="623"/>
      <c r="D48" s="623"/>
      <c r="E48" s="623"/>
      <c r="F48" s="622"/>
    </row>
    <row r="49" spans="1:6" x14ac:dyDescent="0.2">
      <c r="A49" s="621"/>
      <c r="B49" s="623"/>
      <c r="C49" s="623"/>
      <c r="D49" s="623"/>
      <c r="E49" s="623"/>
      <c r="F49" s="622"/>
    </row>
    <row r="50" spans="1:6" x14ac:dyDescent="0.2">
      <c r="A50" s="621"/>
      <c r="B50" s="623"/>
      <c r="C50" s="623"/>
      <c r="D50" s="623"/>
      <c r="E50" s="623"/>
      <c r="F50" s="622"/>
    </row>
    <row r="51" spans="1:6" x14ac:dyDescent="0.2">
      <c r="A51" s="621"/>
      <c r="B51" s="623"/>
      <c r="C51" s="623"/>
      <c r="D51" s="623"/>
      <c r="E51" s="623"/>
      <c r="F51" s="622"/>
    </row>
    <row r="52" spans="1:6" x14ac:dyDescent="0.2">
      <c r="A52" s="621"/>
      <c r="B52" s="623"/>
      <c r="C52" s="623"/>
      <c r="D52" s="623"/>
      <c r="E52" s="623"/>
      <c r="F52" s="622"/>
    </row>
    <row r="53" spans="1:6" x14ac:dyDescent="0.2">
      <c r="A53" s="621"/>
      <c r="B53" s="623"/>
      <c r="C53" s="623"/>
      <c r="D53" s="623"/>
      <c r="E53" s="623"/>
      <c r="F53" s="622"/>
    </row>
    <row r="54" spans="1:6" ht="13.5" thickBot="1" x14ac:dyDescent="0.25">
      <c r="A54" s="624"/>
      <c r="B54" s="625"/>
      <c r="C54" s="625"/>
      <c r="D54" s="625"/>
      <c r="E54" s="625"/>
      <c r="F54" s="626"/>
    </row>
    <row r="55" spans="1:6" ht="13.5" thickTop="1" x14ac:dyDescent="0.2"/>
  </sheetData>
  <sheetProtection password="CC14" sheet="1" objects="1" scenarios="1"/>
  <mergeCells count="37">
    <mergeCell ref="B3:D3"/>
    <mergeCell ref="B4:D4"/>
    <mergeCell ref="B5:D5"/>
    <mergeCell ref="B6:D6"/>
    <mergeCell ref="B7:D7"/>
    <mergeCell ref="B8:D8"/>
    <mergeCell ref="B9:D9"/>
    <mergeCell ref="B10:D10"/>
    <mergeCell ref="B12:D12"/>
    <mergeCell ref="B13:D13"/>
    <mergeCell ref="B14:D14"/>
    <mergeCell ref="B15:D15"/>
    <mergeCell ref="B16:D16"/>
    <mergeCell ref="B17:D17"/>
    <mergeCell ref="B11:D11"/>
    <mergeCell ref="B21:D21"/>
    <mergeCell ref="B22:D22"/>
    <mergeCell ref="B30:D30"/>
    <mergeCell ref="B23:D23"/>
    <mergeCell ref="B24:D24"/>
    <mergeCell ref="B28:D28"/>
    <mergeCell ref="D35:E35"/>
    <mergeCell ref="E1:F1"/>
    <mergeCell ref="B33:D33"/>
    <mergeCell ref="B34:D34"/>
    <mergeCell ref="B41:D41"/>
    <mergeCell ref="B37:D37"/>
    <mergeCell ref="B38:D38"/>
    <mergeCell ref="B39:D39"/>
    <mergeCell ref="B40:D40"/>
    <mergeCell ref="B29:D29"/>
    <mergeCell ref="B31:D31"/>
    <mergeCell ref="B32:D32"/>
    <mergeCell ref="B25:D25"/>
    <mergeCell ref="B26:D26"/>
    <mergeCell ref="B27:D27"/>
    <mergeCell ref="B20:D20"/>
  </mergeCells>
  <phoneticPr fontId="0" type="noConversion"/>
  <dataValidations disablePrompts="1" count="1">
    <dataValidation type="list" allowBlank="1" showInputMessage="1" showErrorMessage="1" promptTitle="Loan Type" prompt="If selection is &quot;Other&quot;, please explain in text box." sqref="E17 E34">
      <formula1>$T$1:$T$6</formula1>
    </dataValidation>
  </dataValidations>
  <printOptions horizontalCentered="1"/>
  <pageMargins left="0.75" right="0.75" top="1" bottom="1" header="0.5" footer="0.5"/>
  <pageSetup scale="93" orientation="portrait" r:id="rId1"/>
  <headerFooter alignWithMargins="0">
    <oddFooter>&amp;C&amp;P</oddFooter>
  </headerFooter>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election activeCell="G23" sqref="G23"/>
    </sheetView>
  </sheetViews>
  <sheetFormatPr defaultColWidth="9.140625" defaultRowHeight="12.75" x14ac:dyDescent="0.2"/>
  <cols>
    <col min="1" max="1" width="3.7109375" style="3" customWidth="1"/>
    <col min="2" max="2" width="4.7109375" style="3" customWidth="1"/>
    <col min="3" max="3" width="9.28515625" style="3" bestFit="1" customWidth="1"/>
    <col min="4" max="6" width="8.7109375" style="3" customWidth="1"/>
    <col min="7" max="7" width="9.28515625" style="3" bestFit="1" customWidth="1"/>
    <col min="8" max="8" width="5.42578125" style="3" customWidth="1"/>
    <col min="9" max="9" width="4.85546875" style="3" customWidth="1"/>
    <col min="10" max="13" width="8.7109375" style="3" customWidth="1"/>
    <col min="14" max="14" width="2.85546875" style="3" customWidth="1"/>
    <col min="15" max="16384" width="9.140625" style="3"/>
  </cols>
  <sheetData>
    <row r="1" spans="1:14" ht="13.5" x14ac:dyDescent="0.25">
      <c r="A1" s="1" t="s">
        <v>430</v>
      </c>
      <c r="B1" s="22"/>
      <c r="C1" s="22"/>
      <c r="D1" s="22"/>
      <c r="E1" s="22"/>
      <c r="F1" s="22"/>
      <c r="G1" s="22"/>
      <c r="H1" s="22"/>
      <c r="I1" s="22"/>
      <c r="J1" s="22"/>
      <c r="K1" s="1632">
        <f>+Cover!$H$7</f>
        <v>0</v>
      </c>
      <c r="L1" s="1632"/>
      <c r="M1" s="8"/>
      <c r="N1" s="22"/>
    </row>
    <row r="2" spans="1:14" x14ac:dyDescent="0.2">
      <c r="A2" s="73"/>
      <c r="B2" s="74" t="s">
        <v>615</v>
      </c>
      <c r="C2" s="75"/>
      <c r="D2" s="75"/>
      <c r="E2" s="76"/>
      <c r="F2" s="76"/>
      <c r="G2" s="77"/>
      <c r="H2" s="22"/>
      <c r="I2" s="74" t="s">
        <v>431</v>
      </c>
      <c r="J2" s="75"/>
      <c r="K2" s="75"/>
      <c r="L2" s="76"/>
      <c r="M2" s="77"/>
      <c r="N2" s="22"/>
    </row>
    <row r="3" spans="1:14" ht="12.75" customHeight="1" x14ac:dyDescent="0.2">
      <c r="A3" s="78"/>
      <c r="B3" s="79" t="s">
        <v>432</v>
      </c>
      <c r="C3" s="79" t="s">
        <v>433</v>
      </c>
      <c r="D3" s="79" t="s">
        <v>434</v>
      </c>
      <c r="E3" s="79" t="s">
        <v>435</v>
      </c>
      <c r="F3" s="79" t="s">
        <v>436</v>
      </c>
      <c r="G3" s="79" t="s">
        <v>437</v>
      </c>
      <c r="H3" s="22"/>
      <c r="I3" s="79" t="s">
        <v>432</v>
      </c>
      <c r="J3" s="79" t="s">
        <v>433</v>
      </c>
      <c r="K3" s="79" t="s">
        <v>438</v>
      </c>
      <c r="L3" s="84">
        <v>0.11</v>
      </c>
      <c r="M3" s="79" t="s">
        <v>546</v>
      </c>
      <c r="N3" s="22"/>
    </row>
    <row r="4" spans="1:14" x14ac:dyDescent="0.2">
      <c r="A4" s="73"/>
      <c r="B4" s="80">
        <v>1</v>
      </c>
      <c r="C4" s="81">
        <f>+'Primary Input'!E37</f>
        <v>0</v>
      </c>
      <c r="D4" s="81" t="e">
        <f>+'Loan Information'!E$39*C4</f>
        <v>#VALUE!</v>
      </c>
      <c r="E4" s="81">
        <f>+'Pro Forma'!D38</f>
        <v>0</v>
      </c>
      <c r="F4" s="81">
        <f>MAX(E4,0)</f>
        <v>0</v>
      </c>
      <c r="G4" s="81" t="e">
        <f>IF((C4+D4-E4)&lt;0,0,(C4+D4-F4))</f>
        <v>#VALUE!</v>
      </c>
      <c r="H4" s="22"/>
      <c r="I4" s="80">
        <v>1</v>
      </c>
      <c r="J4" s="82">
        <f>+E4</f>
        <v>0</v>
      </c>
      <c r="K4" s="81">
        <f>MAX(J4,0)</f>
        <v>0</v>
      </c>
      <c r="L4" s="83">
        <f>1/(1+L$3)^(I4-1)</f>
        <v>1</v>
      </c>
      <c r="M4" s="81">
        <f>+K4*L4</f>
        <v>0</v>
      </c>
      <c r="N4" s="22"/>
    </row>
    <row r="5" spans="1:14" x14ac:dyDescent="0.2">
      <c r="A5" s="73"/>
      <c r="B5" s="80">
        <v>2</v>
      </c>
      <c r="C5" s="81" t="e">
        <f>+G4</f>
        <v>#VALUE!</v>
      </c>
      <c r="D5" s="81" t="e">
        <f>+'Loan Information'!E$39*C5</f>
        <v>#VALUE!</v>
      </c>
      <c r="E5" s="81">
        <f>+'Pro Forma'!F38</f>
        <v>0</v>
      </c>
      <c r="F5" s="81">
        <f t="shared" ref="F5:F18" si="0">MAX(E5,0)</f>
        <v>0</v>
      </c>
      <c r="G5" s="81" t="e">
        <f t="shared" ref="G5:G18" si="1">IF((C5+D5-E5)&lt;0,0,(C5+D5-F5))</f>
        <v>#VALUE!</v>
      </c>
      <c r="H5" s="22"/>
      <c r="I5" s="80">
        <f>+B5</f>
        <v>2</v>
      </c>
      <c r="J5" s="82">
        <f>+E5</f>
        <v>0</v>
      </c>
      <c r="K5" s="81">
        <f t="shared" ref="K5:K18" si="2">MAX(J5,0)</f>
        <v>0</v>
      </c>
      <c r="L5" s="83">
        <f t="shared" ref="L5:L18" si="3">1/(1+L$3)^(I5-1)</f>
        <v>0.9009009009009008</v>
      </c>
      <c r="M5" s="81">
        <f t="shared" ref="M5:M18" si="4">+K5*L5</f>
        <v>0</v>
      </c>
      <c r="N5" s="22"/>
    </row>
    <row r="6" spans="1:14" x14ac:dyDescent="0.2">
      <c r="A6" s="73"/>
      <c r="B6" s="80">
        <v>3</v>
      </c>
      <c r="C6" s="81" t="e">
        <f t="shared" ref="C6:C18" si="5">+G5</f>
        <v>#VALUE!</v>
      </c>
      <c r="D6" s="81" t="e">
        <f>+'Loan Information'!E$39*C6</f>
        <v>#VALUE!</v>
      </c>
      <c r="E6" s="81">
        <f>+'Pro Forma'!H38</f>
        <v>0</v>
      </c>
      <c r="F6" s="81">
        <f t="shared" si="0"/>
        <v>0</v>
      </c>
      <c r="G6" s="81" t="e">
        <f t="shared" si="1"/>
        <v>#VALUE!</v>
      </c>
      <c r="H6" s="22"/>
      <c r="I6" s="80">
        <f t="shared" ref="I6:I18" si="6">+B6</f>
        <v>3</v>
      </c>
      <c r="J6" s="82">
        <f t="shared" ref="J6:J18" si="7">+E6</f>
        <v>0</v>
      </c>
      <c r="K6" s="81">
        <f t="shared" si="2"/>
        <v>0</v>
      </c>
      <c r="L6" s="83">
        <f t="shared" si="3"/>
        <v>0.8116224332440547</v>
      </c>
      <c r="M6" s="81">
        <f t="shared" si="4"/>
        <v>0</v>
      </c>
      <c r="N6" s="22"/>
    </row>
    <row r="7" spans="1:14" x14ac:dyDescent="0.2">
      <c r="A7" s="73"/>
      <c r="B7" s="80">
        <v>4</v>
      </c>
      <c r="C7" s="81" t="e">
        <f t="shared" si="5"/>
        <v>#VALUE!</v>
      </c>
      <c r="D7" s="81" t="e">
        <f>+'Loan Information'!E$39*C7</f>
        <v>#VALUE!</v>
      </c>
      <c r="E7" s="81">
        <f>+'Pro Forma'!J38</f>
        <v>0</v>
      </c>
      <c r="F7" s="81">
        <f t="shared" si="0"/>
        <v>0</v>
      </c>
      <c r="G7" s="81" t="e">
        <f t="shared" si="1"/>
        <v>#VALUE!</v>
      </c>
      <c r="H7" s="22"/>
      <c r="I7" s="80">
        <f t="shared" si="6"/>
        <v>4</v>
      </c>
      <c r="J7" s="82">
        <f t="shared" si="7"/>
        <v>0</v>
      </c>
      <c r="K7" s="81">
        <f t="shared" si="2"/>
        <v>0</v>
      </c>
      <c r="L7" s="83">
        <f t="shared" si="3"/>
        <v>0.73119138130095018</v>
      </c>
      <c r="M7" s="81">
        <f t="shared" si="4"/>
        <v>0</v>
      </c>
      <c r="N7" s="22"/>
    </row>
    <row r="8" spans="1:14" x14ac:dyDescent="0.2">
      <c r="A8" s="73"/>
      <c r="B8" s="80">
        <v>5</v>
      </c>
      <c r="C8" s="81" t="e">
        <f t="shared" si="5"/>
        <v>#VALUE!</v>
      </c>
      <c r="D8" s="81" t="e">
        <f>+'Loan Information'!E$39*C8</f>
        <v>#VALUE!</v>
      </c>
      <c r="E8" s="81">
        <f>+'Pro Forma'!L38</f>
        <v>0</v>
      </c>
      <c r="F8" s="81">
        <f t="shared" si="0"/>
        <v>0</v>
      </c>
      <c r="G8" s="81" t="e">
        <f t="shared" si="1"/>
        <v>#VALUE!</v>
      </c>
      <c r="H8" s="22"/>
      <c r="I8" s="80">
        <f t="shared" si="6"/>
        <v>5</v>
      </c>
      <c r="J8" s="82">
        <f t="shared" si="7"/>
        <v>0</v>
      </c>
      <c r="K8" s="81">
        <f t="shared" si="2"/>
        <v>0</v>
      </c>
      <c r="L8" s="83">
        <f t="shared" si="3"/>
        <v>0.65873097414500015</v>
      </c>
      <c r="M8" s="81">
        <f t="shared" si="4"/>
        <v>0</v>
      </c>
      <c r="N8" s="22"/>
    </row>
    <row r="9" spans="1:14" x14ac:dyDescent="0.2">
      <c r="A9" s="73"/>
      <c r="B9" s="80">
        <v>6</v>
      </c>
      <c r="C9" s="81" t="e">
        <f t="shared" si="5"/>
        <v>#VALUE!</v>
      </c>
      <c r="D9" s="81" t="e">
        <f>+'Loan Information'!E$39*C9</f>
        <v>#VALUE!</v>
      </c>
      <c r="E9" s="81">
        <f>+'Pro Forma'!N38</f>
        <v>0</v>
      </c>
      <c r="F9" s="81">
        <f t="shared" si="0"/>
        <v>0</v>
      </c>
      <c r="G9" s="81" t="e">
        <f t="shared" si="1"/>
        <v>#VALUE!</v>
      </c>
      <c r="H9" s="22"/>
      <c r="I9" s="80">
        <f t="shared" si="6"/>
        <v>6</v>
      </c>
      <c r="J9" s="82">
        <f t="shared" si="7"/>
        <v>0</v>
      </c>
      <c r="K9" s="81">
        <f t="shared" si="2"/>
        <v>0</v>
      </c>
      <c r="L9" s="83">
        <f t="shared" si="3"/>
        <v>0.5934513280585586</v>
      </c>
      <c r="M9" s="81">
        <f t="shared" si="4"/>
        <v>0</v>
      </c>
      <c r="N9" s="22"/>
    </row>
    <row r="10" spans="1:14" x14ac:dyDescent="0.2">
      <c r="A10" s="73"/>
      <c r="B10" s="80">
        <v>7</v>
      </c>
      <c r="C10" s="81" t="e">
        <f t="shared" si="5"/>
        <v>#VALUE!</v>
      </c>
      <c r="D10" s="81" t="e">
        <f>+'Loan Information'!E$39*C10</f>
        <v>#VALUE!</v>
      </c>
      <c r="E10" s="81">
        <f>+'Pro Forma'!P38</f>
        <v>0</v>
      </c>
      <c r="F10" s="81">
        <f t="shared" si="0"/>
        <v>0</v>
      </c>
      <c r="G10" s="81" t="e">
        <f t="shared" si="1"/>
        <v>#VALUE!</v>
      </c>
      <c r="H10" s="22"/>
      <c r="I10" s="80">
        <f t="shared" si="6"/>
        <v>7</v>
      </c>
      <c r="J10" s="82">
        <f t="shared" si="7"/>
        <v>0</v>
      </c>
      <c r="K10" s="81">
        <f t="shared" si="2"/>
        <v>0</v>
      </c>
      <c r="L10" s="83">
        <f t="shared" si="3"/>
        <v>0.53464083608879154</v>
      </c>
      <c r="M10" s="81">
        <f t="shared" si="4"/>
        <v>0</v>
      </c>
      <c r="N10" s="22"/>
    </row>
    <row r="11" spans="1:14" x14ac:dyDescent="0.2">
      <c r="A11" s="73"/>
      <c r="B11" s="80">
        <v>8</v>
      </c>
      <c r="C11" s="81" t="e">
        <f t="shared" si="5"/>
        <v>#VALUE!</v>
      </c>
      <c r="D11" s="81" t="e">
        <f>+'Loan Information'!E$39*C11</f>
        <v>#VALUE!</v>
      </c>
      <c r="E11" s="81">
        <f>+'Pro Forma'!R38</f>
        <v>0</v>
      </c>
      <c r="F11" s="81">
        <f t="shared" si="0"/>
        <v>0</v>
      </c>
      <c r="G11" s="81" t="e">
        <f t="shared" si="1"/>
        <v>#VALUE!</v>
      </c>
      <c r="H11" s="22"/>
      <c r="I11" s="80">
        <f t="shared" si="6"/>
        <v>8</v>
      </c>
      <c r="J11" s="82">
        <f t="shared" si="7"/>
        <v>0</v>
      </c>
      <c r="K11" s="81">
        <f t="shared" si="2"/>
        <v>0</v>
      </c>
      <c r="L11" s="83">
        <f t="shared" si="3"/>
        <v>0.48165841089080319</v>
      </c>
      <c r="M11" s="81">
        <f t="shared" si="4"/>
        <v>0</v>
      </c>
      <c r="N11" s="22"/>
    </row>
    <row r="12" spans="1:14" x14ac:dyDescent="0.2">
      <c r="A12" s="73"/>
      <c r="B12" s="80">
        <v>9</v>
      </c>
      <c r="C12" s="81" t="e">
        <f t="shared" si="5"/>
        <v>#VALUE!</v>
      </c>
      <c r="D12" s="81" t="e">
        <f>+'Loan Information'!E$39*C12</f>
        <v>#VALUE!</v>
      </c>
      <c r="E12" s="81">
        <f>+'Pro Forma'!T38</f>
        <v>0</v>
      </c>
      <c r="F12" s="81">
        <f t="shared" si="0"/>
        <v>0</v>
      </c>
      <c r="G12" s="81" t="e">
        <f t="shared" si="1"/>
        <v>#VALUE!</v>
      </c>
      <c r="H12" s="22"/>
      <c r="I12" s="80">
        <f t="shared" si="6"/>
        <v>9</v>
      </c>
      <c r="J12" s="82">
        <f t="shared" si="7"/>
        <v>0</v>
      </c>
      <c r="K12" s="81">
        <f t="shared" si="2"/>
        <v>0</v>
      </c>
      <c r="L12" s="83">
        <f t="shared" si="3"/>
        <v>0.43392649629802077</v>
      </c>
      <c r="M12" s="81">
        <f t="shared" si="4"/>
        <v>0</v>
      </c>
      <c r="N12" s="22"/>
    </row>
    <row r="13" spans="1:14" x14ac:dyDescent="0.2">
      <c r="A13" s="73"/>
      <c r="B13" s="80">
        <v>10</v>
      </c>
      <c r="C13" s="81" t="e">
        <f t="shared" si="5"/>
        <v>#VALUE!</v>
      </c>
      <c r="D13" s="81" t="e">
        <f>+'Loan Information'!E$39*C13</f>
        <v>#VALUE!</v>
      </c>
      <c r="E13" s="81">
        <f>+'Pro Forma'!V38</f>
        <v>0</v>
      </c>
      <c r="F13" s="81">
        <f t="shared" si="0"/>
        <v>0</v>
      </c>
      <c r="G13" s="81" t="e">
        <f t="shared" si="1"/>
        <v>#VALUE!</v>
      </c>
      <c r="H13" s="22"/>
      <c r="I13" s="80">
        <f t="shared" si="6"/>
        <v>10</v>
      </c>
      <c r="J13" s="82">
        <f t="shared" si="7"/>
        <v>0</v>
      </c>
      <c r="K13" s="81">
        <f t="shared" si="2"/>
        <v>0</v>
      </c>
      <c r="L13" s="83">
        <f t="shared" si="3"/>
        <v>0.39092477143965831</v>
      </c>
      <c r="M13" s="81">
        <f t="shared" si="4"/>
        <v>0</v>
      </c>
      <c r="N13" s="22"/>
    </row>
    <row r="14" spans="1:14" x14ac:dyDescent="0.2">
      <c r="A14" s="73"/>
      <c r="B14" s="80">
        <v>11</v>
      </c>
      <c r="C14" s="81" t="e">
        <f t="shared" si="5"/>
        <v>#VALUE!</v>
      </c>
      <c r="D14" s="81" t="e">
        <f>+'Loan Information'!E$39*C14</f>
        <v>#VALUE!</v>
      </c>
      <c r="E14" s="81">
        <f>+'Pro Forma'!X38</f>
        <v>0</v>
      </c>
      <c r="F14" s="81">
        <f t="shared" si="0"/>
        <v>0</v>
      </c>
      <c r="G14" s="81" t="e">
        <f t="shared" si="1"/>
        <v>#VALUE!</v>
      </c>
      <c r="H14" s="22"/>
      <c r="I14" s="80">
        <f t="shared" si="6"/>
        <v>11</v>
      </c>
      <c r="J14" s="82">
        <f t="shared" si="7"/>
        <v>0</v>
      </c>
      <c r="K14" s="81">
        <f t="shared" si="2"/>
        <v>0</v>
      </c>
      <c r="L14" s="83">
        <f t="shared" si="3"/>
        <v>0.3521844787744669</v>
      </c>
      <c r="M14" s="81">
        <f t="shared" si="4"/>
        <v>0</v>
      </c>
      <c r="N14" s="22"/>
    </row>
    <row r="15" spans="1:14" x14ac:dyDescent="0.2">
      <c r="A15" s="73"/>
      <c r="B15" s="80">
        <v>12</v>
      </c>
      <c r="C15" s="81" t="e">
        <f t="shared" si="5"/>
        <v>#VALUE!</v>
      </c>
      <c r="D15" s="81" t="e">
        <f>+'Loan Information'!E$39*C15</f>
        <v>#VALUE!</v>
      </c>
      <c r="E15" s="81">
        <f>+'Pro Forma'!Z38</f>
        <v>0</v>
      </c>
      <c r="F15" s="81">
        <f t="shared" si="0"/>
        <v>0</v>
      </c>
      <c r="G15" s="81" t="e">
        <f t="shared" si="1"/>
        <v>#VALUE!</v>
      </c>
      <c r="H15" s="22"/>
      <c r="I15" s="80">
        <f t="shared" si="6"/>
        <v>12</v>
      </c>
      <c r="J15" s="82">
        <f t="shared" si="7"/>
        <v>0</v>
      </c>
      <c r="K15" s="81">
        <f t="shared" si="2"/>
        <v>0</v>
      </c>
      <c r="L15" s="83">
        <f t="shared" si="3"/>
        <v>0.31728331421123146</v>
      </c>
      <c r="M15" s="81">
        <f t="shared" si="4"/>
        <v>0</v>
      </c>
      <c r="N15" s="22"/>
    </row>
    <row r="16" spans="1:14" x14ac:dyDescent="0.2">
      <c r="A16" s="73"/>
      <c r="B16" s="80">
        <v>13</v>
      </c>
      <c r="C16" s="81" t="e">
        <f t="shared" si="5"/>
        <v>#VALUE!</v>
      </c>
      <c r="D16" s="81" t="e">
        <f>+'Loan Information'!E$39*C16</f>
        <v>#VALUE!</v>
      </c>
      <c r="E16" s="81">
        <f>+'Pro Forma'!AB38</f>
        <v>0</v>
      </c>
      <c r="F16" s="81">
        <f t="shared" si="0"/>
        <v>0</v>
      </c>
      <c r="G16" s="81" t="e">
        <f t="shared" si="1"/>
        <v>#VALUE!</v>
      </c>
      <c r="H16" s="22"/>
      <c r="I16" s="80">
        <f t="shared" si="6"/>
        <v>13</v>
      </c>
      <c r="J16" s="82">
        <f t="shared" si="7"/>
        <v>0</v>
      </c>
      <c r="K16" s="81">
        <f t="shared" si="2"/>
        <v>0</v>
      </c>
      <c r="L16" s="83">
        <f t="shared" si="3"/>
        <v>0.28584082361372198</v>
      </c>
      <c r="M16" s="81">
        <f t="shared" si="4"/>
        <v>0</v>
      </c>
      <c r="N16" s="22"/>
    </row>
    <row r="17" spans="1:14" x14ac:dyDescent="0.2">
      <c r="A17" s="73"/>
      <c r="B17" s="80">
        <v>14</v>
      </c>
      <c r="C17" s="81" t="e">
        <f t="shared" si="5"/>
        <v>#VALUE!</v>
      </c>
      <c r="D17" s="81" t="e">
        <f>+'Loan Information'!E$39*C17</f>
        <v>#VALUE!</v>
      </c>
      <c r="E17" s="81">
        <f>+'Pro Forma'!AD38</f>
        <v>0</v>
      </c>
      <c r="F17" s="81">
        <f t="shared" si="0"/>
        <v>0</v>
      </c>
      <c r="G17" s="81" t="e">
        <f t="shared" si="1"/>
        <v>#VALUE!</v>
      </c>
      <c r="H17" s="22"/>
      <c r="I17" s="80">
        <f t="shared" si="6"/>
        <v>14</v>
      </c>
      <c r="J17" s="82">
        <f t="shared" si="7"/>
        <v>0</v>
      </c>
      <c r="K17" s="81">
        <f t="shared" si="2"/>
        <v>0</v>
      </c>
      <c r="L17" s="83">
        <f t="shared" si="3"/>
        <v>0.25751425550785767</v>
      </c>
      <c r="M17" s="81">
        <f t="shared" si="4"/>
        <v>0</v>
      </c>
      <c r="N17" s="22"/>
    </row>
    <row r="18" spans="1:14" x14ac:dyDescent="0.2">
      <c r="A18" s="73"/>
      <c r="B18" s="80">
        <v>15</v>
      </c>
      <c r="C18" s="81" t="e">
        <f t="shared" si="5"/>
        <v>#VALUE!</v>
      </c>
      <c r="D18" s="81" t="e">
        <f>+'Loan Information'!E$39*C18</f>
        <v>#VALUE!</v>
      </c>
      <c r="E18" s="81">
        <f>+'Pro Forma'!AF38</f>
        <v>0</v>
      </c>
      <c r="F18" s="81">
        <f t="shared" si="0"/>
        <v>0</v>
      </c>
      <c r="G18" s="81" t="e">
        <f t="shared" si="1"/>
        <v>#VALUE!</v>
      </c>
      <c r="H18" s="22"/>
      <c r="I18" s="80">
        <f t="shared" si="6"/>
        <v>15</v>
      </c>
      <c r="J18" s="82">
        <f t="shared" si="7"/>
        <v>0</v>
      </c>
      <c r="K18" s="81">
        <f t="shared" si="2"/>
        <v>0</v>
      </c>
      <c r="L18" s="83">
        <f t="shared" si="3"/>
        <v>0.23199482478185374</v>
      </c>
      <c r="M18" s="81">
        <f t="shared" si="4"/>
        <v>0</v>
      </c>
      <c r="N18" s="22"/>
    </row>
    <row r="19" spans="1:14" x14ac:dyDescent="0.2">
      <c r="A19" s="73"/>
      <c r="B19" s="80">
        <v>16</v>
      </c>
      <c r="C19" s="81" t="e">
        <f t="shared" ref="C19:C23" si="8">+G18</f>
        <v>#VALUE!</v>
      </c>
      <c r="D19" s="81" t="e">
        <f>+'Loan Information'!E$39*C19</f>
        <v>#VALUE!</v>
      </c>
      <c r="E19" s="81">
        <f>+'Pro Forma'!AF39</f>
        <v>0</v>
      </c>
      <c r="F19" s="81">
        <f t="shared" ref="F19:F23" si="9">MAX(E19,0)</f>
        <v>0</v>
      </c>
      <c r="G19" s="81" t="e">
        <f t="shared" ref="G19:G23" si="10">IF((C19+D19-E19)&lt;0,0,(C19+D19-F19))</f>
        <v>#VALUE!</v>
      </c>
      <c r="H19" s="22"/>
      <c r="I19" s="80">
        <f t="shared" ref="I19:I23" si="11">+B19</f>
        <v>16</v>
      </c>
      <c r="J19" s="82">
        <f t="shared" ref="J19:J23" si="12">+E19</f>
        <v>0</v>
      </c>
      <c r="K19" s="81">
        <f t="shared" ref="K19:K23" si="13">MAX(J19,0)</f>
        <v>0</v>
      </c>
      <c r="L19" s="83">
        <f t="shared" ref="L19:L23" si="14">1/(1+L$3)^(I19-1)</f>
        <v>0.2090043466503187</v>
      </c>
      <c r="M19" s="81">
        <f t="shared" ref="M19:M23" si="15">+K19*L19</f>
        <v>0</v>
      </c>
      <c r="N19" s="22"/>
    </row>
    <row r="20" spans="1:14" x14ac:dyDescent="0.2">
      <c r="A20" s="73"/>
      <c r="B20" s="80">
        <v>17</v>
      </c>
      <c r="C20" s="81" t="e">
        <f t="shared" si="8"/>
        <v>#VALUE!</v>
      </c>
      <c r="D20" s="81" t="e">
        <f>+'Loan Information'!E$39*C20</f>
        <v>#VALUE!</v>
      </c>
      <c r="E20" s="81">
        <f>+'Pro Forma'!AJ38</f>
        <v>0</v>
      </c>
      <c r="F20" s="81">
        <f t="shared" si="9"/>
        <v>0</v>
      </c>
      <c r="G20" s="81" t="e">
        <f t="shared" si="10"/>
        <v>#VALUE!</v>
      </c>
      <c r="H20" s="22"/>
      <c r="I20" s="80">
        <f t="shared" si="11"/>
        <v>17</v>
      </c>
      <c r="J20" s="82">
        <f t="shared" si="12"/>
        <v>0</v>
      </c>
      <c r="K20" s="81">
        <f t="shared" si="13"/>
        <v>0</v>
      </c>
      <c r="L20" s="83">
        <f t="shared" si="14"/>
        <v>0.18829220418947626</v>
      </c>
      <c r="M20" s="81">
        <f t="shared" si="15"/>
        <v>0</v>
      </c>
      <c r="N20" s="22"/>
    </row>
    <row r="21" spans="1:14" x14ac:dyDescent="0.2">
      <c r="A21" s="73"/>
      <c r="B21" s="80">
        <v>18</v>
      </c>
      <c r="C21" s="81" t="e">
        <f t="shared" si="8"/>
        <v>#VALUE!</v>
      </c>
      <c r="D21" s="81" t="e">
        <f>+'Loan Information'!E$39*C21</f>
        <v>#VALUE!</v>
      </c>
      <c r="E21" s="81">
        <f>+'Pro Forma'!AL38</f>
        <v>0</v>
      </c>
      <c r="F21" s="81">
        <f t="shared" si="9"/>
        <v>0</v>
      </c>
      <c r="G21" s="81" t="e">
        <f t="shared" si="10"/>
        <v>#VALUE!</v>
      </c>
      <c r="H21" s="22"/>
      <c r="I21" s="80">
        <f t="shared" si="11"/>
        <v>18</v>
      </c>
      <c r="J21" s="82">
        <f t="shared" si="12"/>
        <v>0</v>
      </c>
      <c r="K21" s="81">
        <f t="shared" si="13"/>
        <v>0</v>
      </c>
      <c r="L21" s="83">
        <f t="shared" si="14"/>
        <v>0.16963261638691554</v>
      </c>
      <c r="M21" s="81">
        <f t="shared" si="15"/>
        <v>0</v>
      </c>
      <c r="N21" s="22"/>
    </row>
    <row r="22" spans="1:14" x14ac:dyDescent="0.2">
      <c r="A22" s="73"/>
      <c r="B22" s="80">
        <v>19</v>
      </c>
      <c r="C22" s="81" t="e">
        <f t="shared" si="8"/>
        <v>#VALUE!</v>
      </c>
      <c r="D22" s="81" t="e">
        <f>+'Loan Information'!E$39*C22</f>
        <v>#VALUE!</v>
      </c>
      <c r="E22" s="81">
        <f>+'Pro Forma'!AN38</f>
        <v>0</v>
      </c>
      <c r="F22" s="81">
        <f t="shared" si="9"/>
        <v>0</v>
      </c>
      <c r="G22" s="81" t="e">
        <f t="shared" si="10"/>
        <v>#VALUE!</v>
      </c>
      <c r="H22" s="22"/>
      <c r="I22" s="80">
        <f t="shared" si="11"/>
        <v>19</v>
      </c>
      <c r="J22" s="82">
        <f t="shared" si="12"/>
        <v>0</v>
      </c>
      <c r="K22" s="81">
        <f t="shared" si="13"/>
        <v>0</v>
      </c>
      <c r="L22" s="83">
        <f t="shared" si="14"/>
        <v>0.15282217692514913</v>
      </c>
      <c r="M22" s="81">
        <f t="shared" si="15"/>
        <v>0</v>
      </c>
      <c r="N22" s="22"/>
    </row>
    <row r="23" spans="1:14" x14ac:dyDescent="0.2">
      <c r="A23" s="73"/>
      <c r="B23" s="80">
        <v>20</v>
      </c>
      <c r="C23" s="81" t="e">
        <f t="shared" si="8"/>
        <v>#VALUE!</v>
      </c>
      <c r="D23" s="81" t="e">
        <f>+'Loan Information'!E$39*C23</f>
        <v>#VALUE!</v>
      </c>
      <c r="E23" s="81">
        <f>+'Pro Forma'!AP38</f>
        <v>0</v>
      </c>
      <c r="F23" s="81">
        <f t="shared" si="9"/>
        <v>0</v>
      </c>
      <c r="G23" s="81" t="e">
        <f t="shared" si="10"/>
        <v>#VALUE!</v>
      </c>
      <c r="H23" s="22"/>
      <c r="I23" s="80">
        <f t="shared" si="11"/>
        <v>20</v>
      </c>
      <c r="J23" s="82">
        <f t="shared" si="12"/>
        <v>0</v>
      </c>
      <c r="K23" s="81">
        <f t="shared" si="13"/>
        <v>0</v>
      </c>
      <c r="L23" s="83">
        <f t="shared" si="14"/>
        <v>0.13767763686950371</v>
      </c>
      <c r="M23" s="81">
        <f t="shared" si="15"/>
        <v>0</v>
      </c>
      <c r="N23" s="22"/>
    </row>
    <row r="24" spans="1:14" x14ac:dyDescent="0.2">
      <c r="A24" s="22"/>
      <c r="B24" s="22"/>
      <c r="C24" s="22"/>
      <c r="D24" s="22"/>
      <c r="E24" s="22"/>
      <c r="F24" s="22"/>
      <c r="G24" s="22"/>
      <c r="H24" s="22"/>
      <c r="I24" s="22"/>
      <c r="J24" s="22"/>
      <c r="K24" s="22"/>
      <c r="L24" s="22"/>
      <c r="M24" s="22"/>
      <c r="N24" s="22"/>
    </row>
    <row r="25" spans="1:14" x14ac:dyDescent="0.2">
      <c r="A25" s="22"/>
      <c r="B25" s="22"/>
      <c r="C25" s="22"/>
      <c r="D25" s="22"/>
      <c r="E25" s="22"/>
      <c r="F25" s="22"/>
      <c r="G25" s="22"/>
      <c r="H25" s="22"/>
      <c r="I25" s="22"/>
      <c r="J25" s="22"/>
      <c r="K25" s="22"/>
      <c r="L25" s="22"/>
      <c r="M25" s="22"/>
      <c r="N25" s="22"/>
    </row>
    <row r="26" spans="1:14" x14ac:dyDescent="0.2">
      <c r="A26" s="22"/>
      <c r="B26" s="22"/>
      <c r="C26" s="22"/>
      <c r="D26" s="22"/>
      <c r="E26" s="22"/>
      <c r="F26" s="22"/>
      <c r="G26" s="22"/>
      <c r="H26" s="22"/>
      <c r="I26" s="22"/>
      <c r="J26" s="22"/>
      <c r="K26" s="22"/>
      <c r="L26" s="22"/>
      <c r="M26" s="22"/>
      <c r="N26" s="22"/>
    </row>
    <row r="27" spans="1:14" x14ac:dyDescent="0.2">
      <c r="A27" s="22"/>
      <c r="B27" s="3" t="s">
        <v>439</v>
      </c>
      <c r="C27" s="22"/>
      <c r="D27" s="22"/>
      <c r="E27" s="22"/>
      <c r="F27" s="22"/>
      <c r="G27" s="22"/>
      <c r="H27" s="22"/>
      <c r="I27" s="22"/>
      <c r="J27" s="22"/>
      <c r="K27" s="22"/>
      <c r="L27" s="1948">
        <f>SUM(K4:K18)</f>
        <v>0</v>
      </c>
      <c r="M27" s="1949"/>
      <c r="N27" s="22"/>
    </row>
    <row r="28" spans="1:14" x14ac:dyDescent="0.2">
      <c r="A28" s="22"/>
      <c r="B28" s="3" t="s">
        <v>440</v>
      </c>
      <c r="C28" s="22"/>
      <c r="D28" s="22"/>
      <c r="E28" s="22"/>
      <c r="F28" s="22"/>
      <c r="G28" s="22"/>
      <c r="H28" s="22"/>
      <c r="I28" s="22"/>
      <c r="J28" s="22"/>
      <c r="K28" s="22"/>
      <c r="L28" s="1948">
        <f>SUM(M4:M18)</f>
        <v>0</v>
      </c>
      <c r="M28" s="1949"/>
      <c r="N28" s="22"/>
    </row>
    <row r="29" spans="1:14" x14ac:dyDescent="0.2">
      <c r="A29" s="22"/>
      <c r="B29" s="22"/>
      <c r="C29" s="22"/>
      <c r="D29" s="22"/>
      <c r="E29" s="22"/>
      <c r="F29" s="22"/>
      <c r="G29" s="22"/>
      <c r="H29" s="22"/>
      <c r="I29" s="22"/>
      <c r="J29" s="22"/>
      <c r="K29" s="22"/>
      <c r="L29" s="22"/>
      <c r="M29" s="22"/>
      <c r="N29" s="22"/>
    </row>
    <row r="30" spans="1:14" x14ac:dyDescent="0.2">
      <c r="A30" s="22"/>
      <c r="B30" s="22"/>
      <c r="C30" s="22"/>
      <c r="D30" s="22"/>
      <c r="E30" s="22"/>
      <c r="F30" s="22"/>
      <c r="G30" s="22"/>
      <c r="H30" s="22"/>
      <c r="I30" s="22"/>
      <c r="J30" s="22"/>
      <c r="K30" s="22"/>
      <c r="L30" s="22"/>
      <c r="M30" s="22"/>
      <c r="N30" s="22"/>
    </row>
  </sheetData>
  <mergeCells count="3">
    <mergeCell ref="K1:L1"/>
    <mergeCell ref="L27:M27"/>
    <mergeCell ref="L28:M2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39997558519241921"/>
    <pageSetUpPr fitToPage="1"/>
  </sheetPr>
  <dimension ref="A1:M65"/>
  <sheetViews>
    <sheetView zoomScaleNormal="100" workbookViewId="0">
      <selection activeCell="F36" sqref="F36"/>
    </sheetView>
  </sheetViews>
  <sheetFormatPr defaultColWidth="9.140625" defaultRowHeight="12.75" x14ac:dyDescent="0.2"/>
  <cols>
    <col min="1" max="2" width="3.7109375" style="3" customWidth="1"/>
    <col min="3" max="4" width="9.140625" style="3"/>
    <col min="5" max="5" width="16.140625" style="3" customWidth="1"/>
    <col min="6" max="6" width="11.42578125" style="3" customWidth="1"/>
    <col min="7" max="7" width="5" style="3" customWidth="1"/>
    <col min="8" max="8" width="34.28515625" style="3" customWidth="1"/>
    <col min="9" max="9" width="11.42578125" style="3" customWidth="1"/>
    <col min="10" max="10" width="3.7109375" style="3" customWidth="1"/>
    <col min="11" max="12" width="9.140625" style="3"/>
    <col min="13" max="13" width="11.7109375" style="3" bestFit="1" customWidth="1"/>
    <col min="14" max="16384" width="9.140625" style="3"/>
  </cols>
  <sheetData>
    <row r="1" spans="1:10" ht="19.5" customHeight="1" thickTop="1" thickBot="1" x14ac:dyDescent="0.3">
      <c r="A1" s="319" t="s">
        <v>200</v>
      </c>
      <c r="B1" s="320"/>
      <c r="C1" s="320"/>
      <c r="D1" s="320"/>
      <c r="E1" s="775" t="str">
        <f>+Cover!D7</f>
        <v>02142019.SA1</v>
      </c>
      <c r="F1" s="320"/>
      <c r="G1" s="1939">
        <f>+Cover!E10</f>
        <v>0</v>
      </c>
      <c r="H1" s="1939"/>
      <c r="I1" s="321"/>
      <c r="J1" s="138"/>
    </row>
    <row r="2" spans="1:10" ht="16.5" thickTop="1" x14ac:dyDescent="0.25">
      <c r="A2" s="322"/>
      <c r="B2" s="323" t="s">
        <v>201</v>
      </c>
      <c r="C2" s="324"/>
      <c r="D2" s="324"/>
      <c r="E2" s="774"/>
      <c r="F2" s="325"/>
      <c r="G2" s="326"/>
      <c r="H2" s="326"/>
      <c r="I2" s="327"/>
      <c r="J2" s="137"/>
    </row>
    <row r="3" spans="1:10" x14ac:dyDescent="0.2">
      <c r="A3" s="322"/>
      <c r="B3" s="322"/>
      <c r="C3" s="326"/>
      <c r="D3" s="326"/>
      <c r="E3" s="328"/>
      <c r="F3" s="329" t="s">
        <v>202</v>
      </c>
      <c r="G3" s="330"/>
      <c r="H3" s="330"/>
      <c r="I3" s="331"/>
      <c r="J3" s="21"/>
    </row>
    <row r="4" spans="1:10" x14ac:dyDescent="0.2">
      <c r="A4" s="322"/>
      <c r="B4" s="332" t="s">
        <v>203</v>
      </c>
      <c r="C4" s="333"/>
      <c r="D4" s="333"/>
      <c r="E4" s="333"/>
      <c r="F4" s="1049">
        <f>+'Loan Information'!E4</f>
        <v>0</v>
      </c>
      <c r="G4" s="330"/>
      <c r="H4" s="139"/>
      <c r="I4" s="140"/>
      <c r="J4" s="21"/>
    </row>
    <row r="5" spans="1:10" x14ac:dyDescent="0.2">
      <c r="A5" s="322"/>
      <c r="B5" s="332" t="s">
        <v>204</v>
      </c>
      <c r="C5" s="333"/>
      <c r="D5" s="333"/>
      <c r="E5" s="333"/>
      <c r="F5" s="1049">
        <f>+'Loan Information'!E21</f>
        <v>0</v>
      </c>
      <c r="G5" s="330"/>
      <c r="H5" s="139"/>
      <c r="I5" s="140"/>
      <c r="J5" s="21"/>
    </row>
    <row r="6" spans="1:10" x14ac:dyDescent="0.2">
      <c r="A6" s="322"/>
      <c r="B6" s="332" t="s">
        <v>205</v>
      </c>
      <c r="C6" s="333"/>
      <c r="D6" s="333"/>
      <c r="E6" s="333"/>
      <c r="F6" s="141"/>
      <c r="G6" s="330"/>
      <c r="H6" s="139"/>
      <c r="I6" s="140"/>
      <c r="J6" s="21"/>
    </row>
    <row r="7" spans="1:10" x14ac:dyDescent="0.2">
      <c r="A7" s="322"/>
      <c r="B7" s="334" t="s">
        <v>1192</v>
      </c>
      <c r="C7" s="333"/>
      <c r="D7" s="333"/>
      <c r="E7" s="333"/>
      <c r="F7" s="1049">
        <f>+'Primary Input'!E37</f>
        <v>0</v>
      </c>
      <c r="G7" s="330"/>
      <c r="H7" s="139"/>
      <c r="I7" s="140"/>
      <c r="J7" s="21"/>
    </row>
    <row r="8" spans="1:10" x14ac:dyDescent="0.2">
      <c r="A8" s="322"/>
      <c r="B8" s="1967" t="s">
        <v>1193</v>
      </c>
      <c r="C8" s="1968"/>
      <c r="D8" s="1968"/>
      <c r="E8" s="1969"/>
      <c r="F8" s="1049">
        <f>+'Primary Input'!E38</f>
        <v>0</v>
      </c>
      <c r="G8" s="330"/>
      <c r="H8" s="139"/>
      <c r="I8" s="140"/>
      <c r="J8" s="21"/>
    </row>
    <row r="9" spans="1:10" x14ac:dyDescent="0.2">
      <c r="A9" s="322"/>
      <c r="B9" s="332" t="s">
        <v>551</v>
      </c>
      <c r="C9" s="333"/>
      <c r="D9" s="333"/>
      <c r="E9" s="333"/>
      <c r="F9" s="1049">
        <f>SUM(Leverage!D12:D18)</f>
        <v>0</v>
      </c>
      <c r="G9" s="330"/>
      <c r="H9" s="139"/>
      <c r="I9" s="140"/>
      <c r="J9" s="21"/>
    </row>
    <row r="10" spans="1:10" x14ac:dyDescent="0.2">
      <c r="A10" s="322"/>
      <c r="B10" s="332"/>
      <c r="C10" s="333"/>
      <c r="D10" s="333"/>
      <c r="E10" s="1965"/>
      <c r="F10" s="1966"/>
      <c r="G10" s="330"/>
      <c r="H10" s="139"/>
      <c r="I10" s="140"/>
      <c r="J10" s="21"/>
    </row>
    <row r="11" spans="1:10" x14ac:dyDescent="0.2">
      <c r="A11" s="322"/>
      <c r="B11" s="332" t="s">
        <v>206</v>
      </c>
      <c r="C11" s="333"/>
      <c r="D11" s="333"/>
      <c r="E11" s="1959"/>
      <c r="F11" s="1960"/>
      <c r="G11" s="330"/>
      <c r="H11" s="139"/>
      <c r="I11" s="140"/>
      <c r="J11" s="21"/>
    </row>
    <row r="12" spans="1:10" x14ac:dyDescent="0.2">
      <c r="A12" s="322"/>
      <c r="B12" s="332" t="s">
        <v>207</v>
      </c>
      <c r="C12" s="333"/>
      <c r="D12" s="333"/>
      <c r="E12" s="335"/>
      <c r="F12" s="141"/>
      <c r="G12" s="330"/>
      <c r="H12" s="139"/>
      <c r="I12" s="140"/>
      <c r="J12" s="21"/>
    </row>
    <row r="13" spans="1:10" x14ac:dyDescent="0.2">
      <c r="A13" s="322"/>
      <c r="B13" s="332" t="s">
        <v>208</v>
      </c>
      <c r="C13" s="333"/>
      <c r="D13" s="333"/>
      <c r="E13" s="1959"/>
      <c r="F13" s="1960"/>
      <c r="G13" s="330"/>
      <c r="H13" s="339"/>
      <c r="I13" s="331"/>
      <c r="J13" s="21"/>
    </row>
    <row r="14" spans="1:10" ht="13.5" thickBot="1" x14ac:dyDescent="0.25">
      <c r="A14" s="322"/>
      <c r="B14" s="332" t="s">
        <v>209</v>
      </c>
      <c r="C14" s="333"/>
      <c r="D14" s="333"/>
      <c r="E14" s="333"/>
      <c r="F14" s="141"/>
      <c r="G14" s="330"/>
      <c r="H14" s="339"/>
      <c r="I14" s="331"/>
      <c r="J14" s="21"/>
    </row>
    <row r="15" spans="1:10" ht="16.5" thickTop="1" x14ac:dyDescent="0.25">
      <c r="A15" s="322"/>
      <c r="B15" s="332" t="s">
        <v>210</v>
      </c>
      <c r="C15" s="333"/>
      <c r="D15" s="333"/>
      <c r="E15" s="333"/>
      <c r="F15" s="141"/>
      <c r="G15" s="330"/>
      <c r="H15" s="323" t="s">
        <v>472</v>
      </c>
      <c r="I15" s="354"/>
      <c r="J15" s="21"/>
    </row>
    <row r="16" spans="1:10" x14ac:dyDescent="0.2">
      <c r="A16" s="322"/>
      <c r="B16" s="336" t="s">
        <v>211</v>
      </c>
      <c r="C16" s="333"/>
      <c r="D16" s="333"/>
      <c r="E16" s="333"/>
      <c r="F16" s="141"/>
      <c r="G16" s="330"/>
      <c r="H16" s="355"/>
      <c r="I16" s="356" t="s">
        <v>202</v>
      </c>
      <c r="J16" s="26"/>
    </row>
    <row r="17" spans="1:13" x14ac:dyDescent="0.2">
      <c r="A17" s="322"/>
      <c r="B17" s="332" t="s">
        <v>550</v>
      </c>
      <c r="C17" s="333"/>
      <c r="D17" s="333"/>
      <c r="E17" s="333"/>
      <c r="F17" s="141"/>
      <c r="G17" s="330"/>
      <c r="H17" s="357" t="s">
        <v>212</v>
      </c>
      <c r="I17" s="845"/>
      <c r="J17" s="21"/>
    </row>
    <row r="18" spans="1:13" x14ac:dyDescent="0.2">
      <c r="A18" s="322"/>
      <c r="B18" s="1970" t="s">
        <v>1810</v>
      </c>
      <c r="C18" s="1971"/>
      <c r="D18" s="1971"/>
      <c r="E18" s="1972"/>
      <c r="F18" s="141"/>
      <c r="G18" s="330"/>
      <c r="H18" s="357" t="s">
        <v>214</v>
      </c>
      <c r="I18" s="845"/>
      <c r="J18" s="21"/>
    </row>
    <row r="19" spans="1:13" x14ac:dyDescent="0.2">
      <c r="A19" s="322"/>
      <c r="B19" s="1973"/>
      <c r="C19" s="1974"/>
      <c r="D19" s="1974"/>
      <c r="E19" s="1975"/>
      <c r="F19" s="141"/>
      <c r="G19" s="330"/>
      <c r="H19" s="357" t="s">
        <v>216</v>
      </c>
      <c r="I19" s="845"/>
      <c r="J19" s="21"/>
    </row>
    <row r="20" spans="1:13" x14ac:dyDescent="0.2">
      <c r="A20" s="322"/>
      <c r="B20" s="1973"/>
      <c r="C20" s="1974"/>
      <c r="D20" s="1974"/>
      <c r="E20" s="1975"/>
      <c r="F20" s="141"/>
      <c r="G20" s="330"/>
      <c r="H20" s="357" t="s">
        <v>217</v>
      </c>
      <c r="I20" s="848"/>
      <c r="J20" s="21"/>
    </row>
    <row r="21" spans="1:13" x14ac:dyDescent="0.2">
      <c r="A21" s="322"/>
      <c r="B21" s="1973"/>
      <c r="C21" s="1974"/>
      <c r="D21" s="1974"/>
      <c r="E21" s="1975"/>
      <c r="F21" s="141"/>
      <c r="G21" s="330"/>
      <c r="H21" s="357" t="s">
        <v>218</v>
      </c>
      <c r="I21" s="845"/>
      <c r="J21" s="21"/>
    </row>
    <row r="22" spans="1:13" x14ac:dyDescent="0.2">
      <c r="A22" s="322"/>
      <c r="B22" s="1973"/>
      <c r="C22" s="1974"/>
      <c r="D22" s="1974"/>
      <c r="E22" s="1975"/>
      <c r="F22" s="141"/>
      <c r="G22" s="330"/>
      <c r="H22" s="357" t="s">
        <v>616</v>
      </c>
      <c r="I22" s="845"/>
      <c r="J22" s="27"/>
    </row>
    <row r="23" spans="1:13" x14ac:dyDescent="0.2">
      <c r="A23" s="322"/>
      <c r="B23" s="332" t="s">
        <v>219</v>
      </c>
      <c r="C23" s="333"/>
      <c r="D23" s="333"/>
      <c r="E23" s="335"/>
      <c r="F23" s="1049">
        <f>+F48-F24</f>
        <v>0</v>
      </c>
      <c r="G23" s="330"/>
      <c r="H23" s="357" t="s">
        <v>220</v>
      </c>
      <c r="I23" s="845"/>
      <c r="J23" s="21"/>
    </row>
    <row r="24" spans="1:13" ht="13.5" thickBot="1" x14ac:dyDescent="0.25">
      <c r="A24" s="322"/>
      <c r="B24" s="337" t="s">
        <v>221</v>
      </c>
      <c r="C24" s="338"/>
      <c r="D24" s="338"/>
      <c r="E24" s="338"/>
      <c r="F24" s="1050">
        <f>SUM(F4:F8)+SUM(F14:F22)+F12</f>
        <v>0</v>
      </c>
      <c r="G24" s="330"/>
      <c r="H24" s="357" t="s">
        <v>222</v>
      </c>
      <c r="I24" s="845"/>
      <c r="J24" s="21"/>
      <c r="M24" s="1142"/>
    </row>
    <row r="25" spans="1:13" ht="13.5" thickTop="1" x14ac:dyDescent="0.2">
      <c r="A25" s="322"/>
      <c r="B25" s="326"/>
      <c r="C25" s="326"/>
      <c r="D25" s="326"/>
      <c r="E25" s="326"/>
      <c r="F25" s="326"/>
      <c r="G25" s="330"/>
      <c r="H25" s="357" t="s">
        <v>223</v>
      </c>
      <c r="I25" s="845"/>
      <c r="J25" s="21"/>
    </row>
    <row r="26" spans="1:13" x14ac:dyDescent="0.2">
      <c r="A26" s="352"/>
      <c r="B26" s="326"/>
      <c r="C26" s="326"/>
      <c r="D26" s="326"/>
      <c r="E26" s="326"/>
      <c r="F26" s="330"/>
      <c r="G26" s="330"/>
      <c r="H26" s="357" t="s">
        <v>224</v>
      </c>
      <c r="I26" s="845"/>
      <c r="J26" s="21"/>
      <c r="M26" s="1142"/>
    </row>
    <row r="27" spans="1:13" x14ac:dyDescent="0.2">
      <c r="A27" s="352"/>
      <c r="B27" s="326"/>
      <c r="C27" s="326"/>
      <c r="D27" s="326"/>
      <c r="E27" s="326"/>
      <c r="F27" s="330"/>
      <c r="G27" s="330"/>
      <c r="H27" s="357" t="s">
        <v>225</v>
      </c>
      <c r="I27" s="845"/>
      <c r="J27" s="21"/>
    </row>
    <row r="28" spans="1:13" x14ac:dyDescent="0.2">
      <c r="A28" s="322"/>
      <c r="B28" s="339"/>
      <c r="C28" s="326"/>
      <c r="D28" s="326"/>
      <c r="E28" s="326"/>
      <c r="F28" s="330"/>
      <c r="G28" s="330"/>
      <c r="H28" s="357" t="s">
        <v>226</v>
      </c>
      <c r="I28" s="845"/>
      <c r="J28" s="21"/>
    </row>
    <row r="29" spans="1:13" ht="13.5" thickBot="1" x14ac:dyDescent="0.25">
      <c r="A29" s="322"/>
      <c r="B29" s="339"/>
      <c r="C29" s="326"/>
      <c r="D29" s="326"/>
      <c r="E29" s="326"/>
      <c r="F29" s="326"/>
      <c r="G29" s="330"/>
      <c r="H29" s="357" t="s">
        <v>227</v>
      </c>
      <c r="I29" s="845"/>
      <c r="J29" s="21"/>
      <c r="M29" s="1142"/>
    </row>
    <row r="30" spans="1:13" ht="16.5" thickTop="1" x14ac:dyDescent="0.25">
      <c r="A30" s="322"/>
      <c r="B30" s="323" t="s">
        <v>228</v>
      </c>
      <c r="C30" s="324"/>
      <c r="D30" s="324"/>
      <c r="E30" s="324"/>
      <c r="F30" s="325"/>
      <c r="G30" s="330"/>
      <c r="H30" s="357" t="s">
        <v>466</v>
      </c>
      <c r="I30" s="845"/>
      <c r="J30" s="21"/>
    </row>
    <row r="31" spans="1:13" x14ac:dyDescent="0.2">
      <c r="A31" s="322"/>
      <c r="B31" s="322"/>
      <c r="C31" s="326"/>
      <c r="D31" s="326"/>
      <c r="E31" s="340"/>
      <c r="F31" s="142" t="s">
        <v>202</v>
      </c>
      <c r="G31" s="330"/>
      <c r="H31" s="357" t="s">
        <v>229</v>
      </c>
      <c r="I31" s="845"/>
      <c r="J31" s="21"/>
    </row>
    <row r="32" spans="1:13" x14ac:dyDescent="0.2">
      <c r="A32" s="322"/>
      <c r="B32" s="341" t="s">
        <v>230</v>
      </c>
      <c r="C32" s="342"/>
      <c r="D32" s="333"/>
      <c r="E32" s="343"/>
      <c r="F32" s="1051">
        <f>IF('Rehab or New Construction'!F30&gt;0, 'Rehab or New Construction'!F30+'Rehab or New Construction'!F66, 0)</f>
        <v>0</v>
      </c>
      <c r="G32" s="330"/>
      <c r="H32" s="1963"/>
      <c r="I32" s="1964"/>
      <c r="J32" s="21"/>
    </row>
    <row r="33" spans="1:10" x14ac:dyDescent="0.2">
      <c r="A33" s="322"/>
      <c r="B33" s="344" t="s">
        <v>729</v>
      </c>
      <c r="C33" s="333"/>
      <c r="D33" s="333"/>
      <c r="E33" s="343"/>
      <c r="F33" s="1051">
        <f>IF('Rehab or New Construction'!F58&gt; 0, 'Rehab or New Construction'!F58+'Rehab or New Construction'!F66, 0)</f>
        <v>0</v>
      </c>
      <c r="G33" s="330"/>
      <c r="H33" s="358" t="s">
        <v>231</v>
      </c>
      <c r="I33" s="849"/>
      <c r="J33" s="21"/>
    </row>
    <row r="34" spans="1:10" x14ac:dyDescent="0.2">
      <c r="A34" s="322"/>
      <c r="B34" s="341" t="s">
        <v>232</v>
      </c>
      <c r="C34" s="333"/>
      <c r="D34" s="333"/>
      <c r="E34" s="343"/>
      <c r="F34" s="1051">
        <f>+I48</f>
        <v>0</v>
      </c>
      <c r="G34" s="330"/>
      <c r="H34" s="1954" t="s">
        <v>852</v>
      </c>
      <c r="I34" s="1955"/>
      <c r="J34" s="21"/>
    </row>
    <row r="35" spans="1:10" x14ac:dyDescent="0.2">
      <c r="A35" s="322"/>
      <c r="B35" s="341" t="s">
        <v>233</v>
      </c>
      <c r="C35" s="333"/>
      <c r="D35" s="333"/>
      <c r="E35" s="1961"/>
      <c r="F35" s="1962"/>
      <c r="G35" s="330"/>
      <c r="H35" s="357" t="s">
        <v>617</v>
      </c>
      <c r="I35" s="845"/>
      <c r="J35" s="21"/>
    </row>
    <row r="36" spans="1:10" x14ac:dyDescent="0.2">
      <c r="A36" s="322"/>
      <c r="B36" s="341" t="s">
        <v>234</v>
      </c>
      <c r="C36" s="333"/>
      <c r="D36" s="333"/>
      <c r="E36" s="343"/>
      <c r="F36" s="141"/>
      <c r="G36" s="330"/>
      <c r="H36" s="357" t="s">
        <v>235</v>
      </c>
      <c r="I36" s="845"/>
      <c r="J36" s="21"/>
    </row>
    <row r="37" spans="1:10" x14ac:dyDescent="0.2">
      <c r="A37" s="322"/>
      <c r="B37" s="341" t="s">
        <v>236</v>
      </c>
      <c r="C37" s="333"/>
      <c r="D37" s="333"/>
      <c r="E37" s="343"/>
      <c r="F37" s="141"/>
      <c r="G37" s="330"/>
      <c r="H37" s="357" t="s">
        <v>237</v>
      </c>
      <c r="I37" s="845"/>
      <c r="J37" s="21"/>
    </row>
    <row r="38" spans="1:10" x14ac:dyDescent="0.2">
      <c r="A38" s="322"/>
      <c r="B38" s="1950" t="s">
        <v>238</v>
      </c>
      <c r="C38" s="1951"/>
      <c r="D38" s="1951"/>
      <c r="E38" s="1952"/>
      <c r="F38" s="141"/>
      <c r="G38" s="330"/>
      <c r="H38" s="357" t="s">
        <v>239</v>
      </c>
      <c r="I38" s="845"/>
      <c r="J38" s="21"/>
    </row>
    <row r="39" spans="1:10" x14ac:dyDescent="0.2">
      <c r="A39" s="322"/>
      <c r="B39" s="1950" t="s">
        <v>238</v>
      </c>
      <c r="C39" s="1951"/>
      <c r="D39" s="1951"/>
      <c r="E39" s="1952"/>
      <c r="F39" s="141"/>
      <c r="G39" s="330"/>
      <c r="H39" s="357" t="s">
        <v>240</v>
      </c>
      <c r="I39" s="845"/>
      <c r="J39" s="21"/>
    </row>
    <row r="40" spans="1:10" x14ac:dyDescent="0.2">
      <c r="A40" s="322"/>
      <c r="B40" s="1953" t="s">
        <v>238</v>
      </c>
      <c r="C40" s="1951"/>
      <c r="D40" s="1951"/>
      <c r="E40" s="1952"/>
      <c r="F40" s="141"/>
      <c r="G40" s="330"/>
      <c r="H40" s="357" t="s">
        <v>241</v>
      </c>
      <c r="I40" s="845"/>
      <c r="J40" s="21"/>
    </row>
    <row r="41" spans="1:10" x14ac:dyDescent="0.2">
      <c r="A41" s="322"/>
      <c r="B41" s="1950" t="s">
        <v>238</v>
      </c>
      <c r="C41" s="1951"/>
      <c r="D41" s="1951"/>
      <c r="E41" s="1952"/>
      <c r="F41" s="141"/>
      <c r="G41" s="330"/>
      <c r="H41" s="357" t="s">
        <v>242</v>
      </c>
      <c r="I41" s="845"/>
      <c r="J41" s="21"/>
    </row>
    <row r="42" spans="1:10" x14ac:dyDescent="0.2">
      <c r="A42" s="322"/>
      <c r="B42" s="346" t="s">
        <v>243</v>
      </c>
      <c r="C42" s="333"/>
      <c r="D42" s="333"/>
      <c r="E42" s="347"/>
      <c r="F42" s="1052">
        <f>SUM(F32:F41)</f>
        <v>0</v>
      </c>
      <c r="G42" s="330"/>
      <c r="H42" s="844" t="s">
        <v>867</v>
      </c>
      <c r="I42" s="845"/>
      <c r="J42" s="21"/>
    </row>
    <row r="43" spans="1:10" x14ac:dyDescent="0.2">
      <c r="A43" s="322"/>
      <c r="B43" s="341" t="s">
        <v>244</v>
      </c>
      <c r="C43" s="333"/>
      <c r="D43" s="333"/>
      <c r="E43" s="347"/>
      <c r="F43" s="141"/>
      <c r="G43" s="330"/>
      <c r="H43" s="844" t="s">
        <v>868</v>
      </c>
      <c r="I43" s="845"/>
      <c r="J43" s="21"/>
    </row>
    <row r="44" spans="1:10" x14ac:dyDescent="0.2">
      <c r="A44" s="322"/>
      <c r="B44" s="341" t="s">
        <v>245</v>
      </c>
      <c r="C44" s="333"/>
      <c r="D44" s="333"/>
      <c r="E44" s="347"/>
      <c r="F44" s="141"/>
      <c r="G44" s="330"/>
      <c r="H44" s="846" t="s">
        <v>39</v>
      </c>
      <c r="I44" s="847"/>
      <c r="J44" s="21"/>
    </row>
    <row r="45" spans="1:10" x14ac:dyDescent="0.2">
      <c r="A45" s="322"/>
      <c r="B45" s="332" t="s">
        <v>550</v>
      </c>
      <c r="C45" s="333"/>
      <c r="D45" s="333"/>
      <c r="E45" s="347"/>
      <c r="F45" s="1051">
        <f>+F17</f>
        <v>0</v>
      </c>
      <c r="G45" s="330"/>
      <c r="H45" s="846" t="s">
        <v>39</v>
      </c>
      <c r="I45" s="847"/>
      <c r="J45" s="21"/>
    </row>
    <row r="46" spans="1:10" x14ac:dyDescent="0.2">
      <c r="A46" s="322"/>
      <c r="B46" s="345" t="s">
        <v>213</v>
      </c>
      <c r="C46" s="842"/>
      <c r="D46" s="842"/>
      <c r="E46" s="843"/>
      <c r="F46" s="141"/>
      <c r="G46" s="330"/>
      <c r="H46" s="846" t="s">
        <v>39</v>
      </c>
      <c r="I46" s="847"/>
      <c r="J46" s="21"/>
    </row>
    <row r="47" spans="1:10" x14ac:dyDescent="0.2">
      <c r="A47" s="322"/>
      <c r="B47" s="345" t="s">
        <v>215</v>
      </c>
      <c r="C47" s="842"/>
      <c r="D47" s="842"/>
      <c r="E47" s="843"/>
      <c r="F47" s="141"/>
      <c r="G47" s="330"/>
      <c r="H47" s="846" t="s">
        <v>39</v>
      </c>
      <c r="I47" s="847"/>
      <c r="J47" s="21"/>
    </row>
    <row r="48" spans="1:10" ht="13.5" thickBot="1" x14ac:dyDescent="0.25">
      <c r="A48" s="322"/>
      <c r="B48" s="348" t="s">
        <v>246</v>
      </c>
      <c r="C48" s="349"/>
      <c r="D48" s="349"/>
      <c r="E48" s="349"/>
      <c r="F48" s="1050">
        <f>SUM(F42:F47)</f>
        <v>0</v>
      </c>
      <c r="G48" s="330"/>
      <c r="H48" s="359" t="s">
        <v>247</v>
      </c>
      <c r="I48" s="1053">
        <f>SUM(I17:I47)</f>
        <v>0</v>
      </c>
      <c r="J48" s="21"/>
    </row>
    <row r="49" spans="1:10" ht="19.5" thickTop="1" x14ac:dyDescent="0.3">
      <c r="A49" s="322"/>
      <c r="B49" s="330"/>
      <c r="C49" s="330"/>
      <c r="D49" s="1958" t="str">
        <f>IF(F48&lt;&gt;F24,"Error. Sources Must Equal Uses"," ")</f>
        <v xml:space="preserve"> </v>
      </c>
      <c r="E49" s="1958"/>
      <c r="F49" s="1958"/>
      <c r="G49" s="330"/>
      <c r="H49" s="1318"/>
      <c r="I49" s="331"/>
      <c r="J49" s="21"/>
    </row>
    <row r="50" spans="1:10" ht="32.25" customHeight="1" thickBot="1" x14ac:dyDescent="0.25">
      <c r="A50" s="353"/>
      <c r="B50" s="350"/>
      <c r="C50" s="350"/>
      <c r="D50" s="1319" t="str">
        <f>IF(F24&gt;F48,"Currently Sources Exceed Uses.",IF(F48&gt;F24,"Currently Uses Exceeds Sources."," "))</f>
        <v xml:space="preserve"> </v>
      </c>
      <c r="E50" s="350"/>
      <c r="F50" s="350"/>
      <c r="G50" s="350"/>
      <c r="H50" s="349"/>
      <c r="I50" s="351"/>
      <c r="J50" s="21"/>
    </row>
    <row r="51" spans="1:10" ht="13.5" thickTop="1" x14ac:dyDescent="0.2">
      <c r="A51" s="330"/>
      <c r="B51" s="212"/>
      <c r="C51" s="212"/>
      <c r="D51" s="212"/>
      <c r="E51" s="212"/>
      <c r="F51" s="212"/>
      <c r="G51" s="212"/>
      <c r="H51" s="212"/>
      <c r="I51" s="212"/>
      <c r="J51" s="21"/>
    </row>
    <row r="52" spans="1:10" ht="15.75" customHeight="1" x14ac:dyDescent="0.2">
      <c r="A52" s="1956" t="s">
        <v>697</v>
      </c>
      <c r="B52" s="1957"/>
      <c r="C52" s="1957"/>
      <c r="D52" s="1957"/>
      <c r="E52" s="1957"/>
      <c r="F52" s="1957"/>
      <c r="G52" s="1957"/>
      <c r="H52" s="1957"/>
      <c r="I52" s="1957"/>
      <c r="J52" s="21"/>
    </row>
    <row r="53" spans="1:10" x14ac:dyDescent="0.2">
      <c r="A53" s="1957"/>
      <c r="B53" s="1957"/>
      <c r="C53" s="1957"/>
      <c r="D53" s="1957"/>
      <c r="E53" s="1957"/>
      <c r="F53" s="1957"/>
      <c r="G53" s="1957"/>
      <c r="H53" s="1957"/>
      <c r="I53" s="1957"/>
    </row>
    <row r="54" spans="1:10" x14ac:dyDescent="0.2">
      <c r="A54" s="1957"/>
      <c r="B54" s="1957"/>
      <c r="C54" s="1957"/>
      <c r="D54" s="1957"/>
      <c r="E54" s="1957"/>
      <c r="F54" s="1957"/>
      <c r="G54" s="1957"/>
      <c r="H54" s="1957"/>
      <c r="I54" s="1957"/>
    </row>
    <row r="55" spans="1:10" x14ac:dyDescent="0.2">
      <c r="A55" s="1957"/>
      <c r="B55" s="1957"/>
      <c r="C55" s="1957"/>
      <c r="D55" s="1957"/>
      <c r="E55" s="1957"/>
      <c r="F55" s="1957"/>
      <c r="G55" s="1957"/>
      <c r="H55" s="1957"/>
      <c r="I55" s="1957"/>
    </row>
    <row r="56" spans="1:10" x14ac:dyDescent="0.2">
      <c r="A56" s="1957"/>
      <c r="B56" s="1957"/>
      <c r="C56" s="1957"/>
      <c r="D56" s="1957"/>
      <c r="E56" s="1957"/>
      <c r="F56" s="1957"/>
      <c r="G56" s="1957"/>
      <c r="H56" s="1957"/>
      <c r="I56" s="1957"/>
    </row>
    <row r="57" spans="1:10" x14ac:dyDescent="0.2">
      <c r="A57" s="1957"/>
      <c r="B57" s="1957"/>
      <c r="C57" s="1957"/>
      <c r="D57" s="1957"/>
      <c r="E57" s="1957"/>
      <c r="F57" s="1957"/>
      <c r="G57" s="1957"/>
      <c r="H57" s="1957"/>
      <c r="I57" s="1957"/>
    </row>
    <row r="58" spans="1:10" x14ac:dyDescent="0.2">
      <c r="A58" s="1957"/>
      <c r="B58" s="1957"/>
      <c r="C58" s="1957"/>
      <c r="D58" s="1957"/>
      <c r="E58" s="1957"/>
      <c r="F58" s="1957"/>
      <c r="G58" s="1957"/>
      <c r="H58" s="1957"/>
      <c r="I58" s="1957"/>
    </row>
    <row r="59" spans="1:10" x14ac:dyDescent="0.2">
      <c r="A59" s="1957"/>
      <c r="B59" s="1957"/>
      <c r="C59" s="1957"/>
      <c r="D59" s="1957"/>
      <c r="E59" s="1957"/>
      <c r="F59" s="1957"/>
      <c r="G59" s="1957"/>
      <c r="H59" s="1957"/>
      <c r="I59" s="1957"/>
    </row>
    <row r="60" spans="1:10" x14ac:dyDescent="0.2">
      <c r="A60" s="1957"/>
      <c r="B60" s="1957"/>
      <c r="C60" s="1957"/>
      <c r="D60" s="1957"/>
      <c r="E60" s="1957"/>
      <c r="F60" s="1957"/>
      <c r="G60" s="1957"/>
      <c r="H60" s="1957"/>
      <c r="I60" s="1957"/>
    </row>
    <row r="61" spans="1:10" x14ac:dyDescent="0.2">
      <c r="A61" s="1957"/>
      <c r="B61" s="1957"/>
      <c r="C61" s="1957"/>
      <c r="D61" s="1957"/>
      <c r="E61" s="1957"/>
      <c r="F61" s="1957"/>
      <c r="G61" s="1957"/>
      <c r="H61" s="1957"/>
      <c r="I61" s="1957"/>
    </row>
    <row r="62" spans="1:10" x14ac:dyDescent="0.2">
      <c r="A62" s="1957"/>
      <c r="B62" s="1957"/>
      <c r="C62" s="1957"/>
      <c r="D62" s="1957"/>
      <c r="E62" s="1957"/>
      <c r="F62" s="1957"/>
      <c r="G62" s="1957"/>
      <c r="H62" s="1957"/>
      <c r="I62" s="1957"/>
    </row>
    <row r="63" spans="1:10" x14ac:dyDescent="0.2">
      <c r="A63" s="1957"/>
      <c r="B63" s="1957"/>
      <c r="C63" s="1957"/>
      <c r="D63" s="1957"/>
      <c r="E63" s="1957"/>
      <c r="F63" s="1957"/>
      <c r="G63" s="1957"/>
      <c r="H63" s="1957"/>
      <c r="I63" s="1957"/>
    </row>
    <row r="64" spans="1:10" x14ac:dyDescent="0.2">
      <c r="A64" s="1957"/>
      <c r="B64" s="1957"/>
      <c r="C64" s="1957"/>
      <c r="D64" s="1957"/>
      <c r="E64" s="1957"/>
      <c r="F64" s="1957"/>
      <c r="G64" s="1957"/>
      <c r="H64" s="1957"/>
      <c r="I64" s="1957"/>
    </row>
    <row r="65" spans="1:9" x14ac:dyDescent="0.2">
      <c r="A65" s="190"/>
      <c r="B65" s="190"/>
      <c r="C65" s="190"/>
      <c r="D65" s="190"/>
      <c r="E65" s="190"/>
      <c r="F65" s="190"/>
      <c r="G65" s="190"/>
      <c r="H65" s="190"/>
      <c r="I65" s="190"/>
    </row>
  </sheetData>
  <sheetProtection password="CC14" sheet="1" objects="1" scenarios="1"/>
  <mergeCells count="19">
    <mergeCell ref="G1:H1"/>
    <mergeCell ref="E11:F11"/>
    <mergeCell ref="E13:F13"/>
    <mergeCell ref="E35:F35"/>
    <mergeCell ref="H32:I32"/>
    <mergeCell ref="E10:F10"/>
    <mergeCell ref="B8:E8"/>
    <mergeCell ref="B18:E18"/>
    <mergeCell ref="B19:E19"/>
    <mergeCell ref="B20:E20"/>
    <mergeCell ref="B21:E21"/>
    <mergeCell ref="B22:E22"/>
    <mergeCell ref="B39:E39"/>
    <mergeCell ref="B40:E40"/>
    <mergeCell ref="B41:E41"/>
    <mergeCell ref="H34:I34"/>
    <mergeCell ref="A52:I64"/>
    <mergeCell ref="B38:E38"/>
    <mergeCell ref="D49:F49"/>
  </mergeCells>
  <phoneticPr fontId="0" type="noConversion"/>
  <printOptions horizontalCentered="1"/>
  <pageMargins left="0.75" right="0.75" top="1" bottom="1" header="0.5" footer="0.5"/>
  <pageSetup scale="84" orientation="portrait" r:id="rId1"/>
  <headerFooter alignWithMargins="0">
    <oddFooter>&amp;C&amp;P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39997558519241921"/>
    <pageSetUpPr fitToPage="1"/>
  </sheetPr>
  <dimension ref="A1:L109"/>
  <sheetViews>
    <sheetView zoomScaleNormal="100" workbookViewId="0">
      <selection activeCell="I69" sqref="I69"/>
    </sheetView>
  </sheetViews>
  <sheetFormatPr defaultColWidth="9.140625" defaultRowHeight="12" x14ac:dyDescent="0.2"/>
  <cols>
    <col min="1" max="1" width="3.7109375" style="4" customWidth="1"/>
    <col min="2" max="2" width="6.85546875" style="4" customWidth="1"/>
    <col min="3" max="3" width="33.42578125" style="4" customWidth="1"/>
    <col min="4" max="4" width="7.42578125" style="4" customWidth="1"/>
    <col min="5" max="8" width="10.7109375" style="4" hidden="1" customWidth="1"/>
    <col min="9" max="9" width="19.42578125" style="4" customWidth="1"/>
    <col min="10" max="10" width="11" style="4" customWidth="1"/>
    <col min="11" max="11" width="16.7109375" style="4" customWidth="1"/>
    <col min="12" max="13" width="3.7109375" style="4" customWidth="1"/>
    <col min="14" max="16384" width="9.140625" style="4"/>
  </cols>
  <sheetData>
    <row r="1" spans="1:12" ht="12.75" thickBot="1" x14ac:dyDescent="0.25">
      <c r="A1" s="627" t="s">
        <v>295</v>
      </c>
      <c r="B1" s="628"/>
      <c r="C1" s="628"/>
      <c r="D1" s="628"/>
      <c r="E1" s="628"/>
      <c r="F1" s="628"/>
      <c r="G1" s="628"/>
      <c r="H1" s="628"/>
      <c r="I1" s="1979">
        <f>+Cover!E10</f>
        <v>0</v>
      </c>
      <c r="J1" s="1979"/>
      <c r="K1" s="629"/>
      <c r="L1" s="7"/>
    </row>
    <row r="2" spans="1:12" ht="12.75" thickTop="1" x14ac:dyDescent="0.2">
      <c r="A2" s="1983" t="str">
        <f>+Cover!D7</f>
        <v>02142019.SA1</v>
      </c>
      <c r="B2" s="1983"/>
      <c r="C2" s="632"/>
      <c r="D2" s="633"/>
      <c r="E2" s="634" t="s">
        <v>296</v>
      </c>
      <c r="F2" s="634" t="s">
        <v>296</v>
      </c>
      <c r="G2" s="634" t="s">
        <v>296</v>
      </c>
      <c r="H2" s="634" t="s">
        <v>296</v>
      </c>
      <c r="I2" s="634" t="s">
        <v>297</v>
      </c>
      <c r="J2" s="634" t="s">
        <v>298</v>
      </c>
      <c r="K2" s="629"/>
      <c r="L2" s="7"/>
    </row>
    <row r="3" spans="1:12" ht="32.25" customHeight="1" thickBot="1" x14ac:dyDescent="0.25">
      <c r="A3" s="630"/>
      <c r="B3" s="631"/>
      <c r="C3" s="632">
        <f>+Cover!E10</f>
        <v>0</v>
      </c>
      <c r="D3" s="633"/>
      <c r="E3" s="635" t="s">
        <v>549</v>
      </c>
      <c r="F3" s="635" t="s">
        <v>549</v>
      </c>
      <c r="G3" s="636" t="s">
        <v>299</v>
      </c>
      <c r="H3" s="636" t="s">
        <v>299</v>
      </c>
      <c r="I3" s="636" t="s">
        <v>300</v>
      </c>
      <c r="J3" s="636" t="s">
        <v>301</v>
      </c>
      <c r="K3" s="629"/>
    </row>
    <row r="4" spans="1:12" ht="12.75" thickTop="1" x14ac:dyDescent="0.2">
      <c r="A4" s="630"/>
      <c r="B4" s="1980" t="s">
        <v>302</v>
      </c>
      <c r="C4" s="1981"/>
      <c r="D4" s="1982"/>
      <c r="E4" s="637"/>
      <c r="F4" s="637"/>
      <c r="G4" s="637"/>
      <c r="H4" s="637"/>
      <c r="I4" s="638"/>
      <c r="J4" s="639"/>
      <c r="K4" s="629"/>
    </row>
    <row r="5" spans="1:12" x14ac:dyDescent="0.2">
      <c r="A5" s="630"/>
      <c r="B5" s="640"/>
      <c r="C5" s="641"/>
      <c r="D5" s="642"/>
      <c r="E5" s="643"/>
      <c r="F5" s="643"/>
      <c r="G5" s="643"/>
      <c r="H5" s="643"/>
      <c r="I5" s="644"/>
      <c r="J5" s="645"/>
      <c r="K5" s="629"/>
    </row>
    <row r="6" spans="1:12" x14ac:dyDescent="0.2">
      <c r="A6" s="630"/>
      <c r="B6" s="640" t="s">
        <v>175</v>
      </c>
      <c r="C6" s="641"/>
      <c r="D6" s="642"/>
      <c r="E6" s="646"/>
      <c r="F6" s="646"/>
      <c r="G6" s="646"/>
      <c r="H6" s="646"/>
      <c r="I6" s="647"/>
      <c r="J6" s="645"/>
      <c r="K6" s="629"/>
    </row>
    <row r="7" spans="1:12" x14ac:dyDescent="0.2">
      <c r="A7" s="630"/>
      <c r="B7" s="648"/>
      <c r="C7" s="641" t="s">
        <v>303</v>
      </c>
      <c r="D7" s="642"/>
      <c r="E7" s="649"/>
      <c r="F7" s="649"/>
      <c r="G7" s="649"/>
      <c r="H7" s="649"/>
      <c r="I7" s="650"/>
      <c r="J7" s="645"/>
      <c r="K7" s="629"/>
    </row>
    <row r="8" spans="1:12" x14ac:dyDescent="0.2">
      <c r="A8" s="630"/>
      <c r="B8" s="648">
        <v>5121</v>
      </c>
      <c r="C8" s="651" t="s">
        <v>304</v>
      </c>
      <c r="D8" s="642"/>
      <c r="E8" s="652"/>
      <c r="F8" s="652"/>
      <c r="G8" s="652"/>
      <c r="H8" s="652"/>
      <c r="I8" s="653">
        <f>+'Rental Income'!$L$10*12</f>
        <v>0</v>
      </c>
      <c r="J8" s="645"/>
      <c r="K8" s="629"/>
    </row>
    <row r="9" spans="1:12" x14ac:dyDescent="0.2">
      <c r="A9" s="630"/>
      <c r="B9" s="648">
        <v>5121</v>
      </c>
      <c r="C9" s="651" t="s">
        <v>305</v>
      </c>
      <c r="D9" s="642"/>
      <c r="E9" s="652"/>
      <c r="F9" s="652"/>
      <c r="G9" s="652"/>
      <c r="H9" s="652"/>
      <c r="I9" s="654"/>
      <c r="J9" s="645"/>
      <c r="K9" s="629"/>
    </row>
    <row r="10" spans="1:12" x14ac:dyDescent="0.2">
      <c r="A10" s="630"/>
      <c r="B10" s="648">
        <v>5140</v>
      </c>
      <c r="C10" s="641" t="s">
        <v>306</v>
      </c>
      <c r="D10" s="642"/>
      <c r="E10" s="652"/>
      <c r="F10" s="652"/>
      <c r="G10" s="652"/>
      <c r="H10" s="652"/>
      <c r="I10" s="654"/>
      <c r="J10" s="645"/>
      <c r="K10" s="629" t="str">
        <f>IF(I10&gt;0,"MUST PROVIDE SUPPORT WITH APPLICATION","")</f>
        <v/>
      </c>
    </row>
    <row r="11" spans="1:12" x14ac:dyDescent="0.2">
      <c r="A11" s="630"/>
      <c r="B11" s="640" t="s">
        <v>307</v>
      </c>
      <c r="C11" s="641"/>
      <c r="D11" s="642"/>
      <c r="E11" s="655">
        <f>SUM(E8:E10)</f>
        <v>0</v>
      </c>
      <c r="F11" s="655">
        <f>SUM(F8:F10)</f>
        <v>0</v>
      </c>
      <c r="G11" s="655">
        <f>SUM(G8:G10)</f>
        <v>0</v>
      </c>
      <c r="H11" s="655">
        <f>SUM(H8:H10)</f>
        <v>0</v>
      </c>
      <c r="I11" s="656">
        <f>SUM(I8:I10)</f>
        <v>0</v>
      </c>
      <c r="J11" s="657">
        <v>0.02</v>
      </c>
      <c r="K11" s="629"/>
    </row>
    <row r="12" spans="1:12" x14ac:dyDescent="0.2">
      <c r="A12" s="630"/>
      <c r="B12" s="648"/>
      <c r="C12" s="641"/>
      <c r="D12" s="642"/>
      <c r="E12" s="658"/>
      <c r="F12" s="658"/>
      <c r="G12" s="658"/>
      <c r="H12" s="658"/>
      <c r="I12" s="659"/>
      <c r="J12" s="645"/>
      <c r="K12" s="629"/>
    </row>
    <row r="13" spans="1:12" x14ac:dyDescent="0.2">
      <c r="A13" s="630"/>
      <c r="B13" s="640" t="s">
        <v>308</v>
      </c>
      <c r="C13" s="641"/>
      <c r="D13" s="642"/>
      <c r="E13" s="658"/>
      <c r="F13" s="658"/>
      <c r="G13" s="658"/>
      <c r="H13" s="658"/>
      <c r="I13" s="659"/>
      <c r="J13" s="645"/>
      <c r="K13" s="629"/>
    </row>
    <row r="14" spans="1:12" x14ac:dyDescent="0.2">
      <c r="A14" s="630"/>
      <c r="B14" s="648">
        <v>5220</v>
      </c>
      <c r="C14" s="641" t="s">
        <v>309</v>
      </c>
      <c r="D14" s="660">
        <v>7.0000000000000007E-2</v>
      </c>
      <c r="E14" s="652"/>
      <c r="F14" s="652"/>
      <c r="G14" s="652"/>
      <c r="H14" s="652"/>
      <c r="I14" s="823">
        <f>-D14*I8</f>
        <v>0</v>
      </c>
      <c r="J14" s="645"/>
      <c r="K14" s="629"/>
    </row>
    <row r="15" spans="1:12" x14ac:dyDescent="0.2">
      <c r="A15" s="630"/>
      <c r="B15" s="648">
        <v>5270</v>
      </c>
      <c r="C15" s="641" t="s">
        <v>310</v>
      </c>
      <c r="D15" s="642"/>
      <c r="E15" s="652"/>
      <c r="F15" s="652"/>
      <c r="G15" s="652"/>
      <c r="H15" s="652"/>
      <c r="I15" s="654"/>
      <c r="J15" s="645"/>
      <c r="K15" s="629"/>
    </row>
    <row r="16" spans="1:12" x14ac:dyDescent="0.2">
      <c r="A16" s="630"/>
      <c r="B16" s="648">
        <v>5290</v>
      </c>
      <c r="C16" s="641" t="s">
        <v>311</v>
      </c>
      <c r="D16" s="661"/>
      <c r="E16" s="652"/>
      <c r="F16" s="652"/>
      <c r="G16" s="652"/>
      <c r="H16" s="652"/>
      <c r="I16" s="654"/>
      <c r="J16" s="645"/>
      <c r="K16" s="629"/>
    </row>
    <row r="17" spans="1:11" x14ac:dyDescent="0.2">
      <c r="A17" s="630"/>
      <c r="B17" s="640" t="s">
        <v>312</v>
      </c>
      <c r="C17" s="641"/>
      <c r="D17" s="661"/>
      <c r="E17" s="662">
        <f>SUM(E14:E16)</f>
        <v>0</v>
      </c>
      <c r="F17" s="662">
        <f>SUM(F14:F16)</f>
        <v>0</v>
      </c>
      <c r="G17" s="662">
        <f>SUM(G14:G16)</f>
        <v>0</v>
      </c>
      <c r="H17" s="662">
        <f>SUM(H14:H16)</f>
        <v>0</v>
      </c>
      <c r="I17" s="823">
        <f>SUM(I14:I16)</f>
        <v>0</v>
      </c>
      <c r="J17" s="645"/>
      <c r="K17" s="629"/>
    </row>
    <row r="18" spans="1:11" x14ac:dyDescent="0.2">
      <c r="A18" s="630"/>
      <c r="B18" s="640" t="s">
        <v>313</v>
      </c>
      <c r="C18" s="641"/>
      <c r="D18" s="661"/>
      <c r="E18" s="663">
        <f>E11+E17</f>
        <v>0</v>
      </c>
      <c r="F18" s="663">
        <f>F11+F17</f>
        <v>0</v>
      </c>
      <c r="G18" s="663">
        <f>G11+G17</f>
        <v>0</v>
      </c>
      <c r="H18" s="663">
        <f>H11+H17</f>
        <v>0</v>
      </c>
      <c r="I18" s="664">
        <f>I11+I17</f>
        <v>0</v>
      </c>
      <c r="J18" s="645"/>
      <c r="K18" s="629"/>
    </row>
    <row r="19" spans="1:11" x14ac:dyDescent="0.2">
      <c r="A19" s="630"/>
      <c r="B19" s="665"/>
      <c r="C19" s="641"/>
      <c r="D19" s="661"/>
      <c r="E19" s="658"/>
      <c r="F19" s="658"/>
      <c r="G19" s="658"/>
      <c r="H19" s="658"/>
      <c r="I19" s="659"/>
      <c r="J19" s="645"/>
      <c r="K19" s="629"/>
    </row>
    <row r="20" spans="1:11" x14ac:dyDescent="0.2">
      <c r="A20" s="630"/>
      <c r="B20" s="666" t="s">
        <v>314</v>
      </c>
      <c r="C20" s="641"/>
      <c r="D20" s="661"/>
      <c r="E20" s="658"/>
      <c r="F20" s="658"/>
      <c r="G20" s="658"/>
      <c r="H20" s="658"/>
      <c r="I20" s="659"/>
      <c r="J20" s="645"/>
      <c r="K20" s="629"/>
    </row>
    <row r="21" spans="1:11" x14ac:dyDescent="0.2">
      <c r="A21" s="630"/>
      <c r="B21" s="667">
        <v>5910</v>
      </c>
      <c r="C21" s="641" t="s">
        <v>315</v>
      </c>
      <c r="D21" s="661"/>
      <c r="E21" s="652"/>
      <c r="F21" s="652"/>
      <c r="G21" s="652"/>
      <c r="H21" s="652"/>
      <c r="I21" s="654"/>
      <c r="J21" s="645"/>
      <c r="K21" s="629" t="str">
        <f>IF(I21&gt;0,"MUST PROVIDE SUPPORT WITH APPLICATION","")</f>
        <v/>
      </c>
    </row>
    <row r="22" spans="1:11" x14ac:dyDescent="0.2">
      <c r="A22" s="630"/>
      <c r="B22" s="648">
        <v>6370</v>
      </c>
      <c r="C22" s="641" t="s">
        <v>855</v>
      </c>
      <c r="D22" s="661"/>
      <c r="E22" s="652"/>
      <c r="F22" s="652"/>
      <c r="G22" s="652"/>
      <c r="H22" s="652"/>
      <c r="I22" s="654"/>
      <c r="J22" s="645"/>
      <c r="K22" s="629"/>
    </row>
    <row r="23" spans="1:11" x14ac:dyDescent="0.2">
      <c r="A23" s="630"/>
      <c r="B23" s="648">
        <v>6370</v>
      </c>
      <c r="C23" s="641" t="s">
        <v>856</v>
      </c>
      <c r="D23" s="661"/>
      <c r="E23" s="652"/>
      <c r="F23" s="652"/>
      <c r="G23" s="652"/>
      <c r="H23" s="652"/>
      <c r="I23" s="654"/>
      <c r="J23" s="645"/>
      <c r="K23" s="629"/>
    </row>
    <row r="24" spans="1:11" x14ac:dyDescent="0.2">
      <c r="A24" s="630"/>
      <c r="B24" s="667">
        <v>5920</v>
      </c>
      <c r="C24" s="641" t="s">
        <v>316</v>
      </c>
      <c r="D24" s="661"/>
      <c r="E24" s="652"/>
      <c r="F24" s="652"/>
      <c r="G24" s="652"/>
      <c r="H24" s="652"/>
      <c r="I24" s="654"/>
      <c r="J24" s="645"/>
      <c r="K24" s="629" t="str">
        <f>IF(I24&gt;0,"MUST PROVIDE SUPPORT WITH APPLICATION","")</f>
        <v/>
      </c>
    </row>
    <row r="25" spans="1:11" x14ac:dyDescent="0.2">
      <c r="A25" s="630"/>
      <c r="B25" s="666" t="s">
        <v>317</v>
      </c>
      <c r="C25" s="641"/>
      <c r="D25" s="661"/>
      <c r="E25" s="668">
        <f>SUM(E21:E24)</f>
        <v>0</v>
      </c>
      <c r="F25" s="668">
        <f>SUM(F21:F24)</f>
        <v>0</v>
      </c>
      <c r="G25" s="668">
        <f>SUM(G21:G24)</f>
        <v>0</v>
      </c>
      <c r="H25" s="668">
        <f>SUM(H21:H24)</f>
        <v>0</v>
      </c>
      <c r="I25" s="669">
        <f>SUM(I21:I24)</f>
        <v>0</v>
      </c>
      <c r="J25" s="657">
        <v>0.03</v>
      </c>
      <c r="K25" s="629" t="str">
        <f>IF(I25&gt;0,"MUST PROVIDE SUPPORT WITH APPLICATION","")</f>
        <v/>
      </c>
    </row>
    <row r="26" spans="1:11" x14ac:dyDescent="0.2">
      <c r="A26" s="630"/>
      <c r="B26" s="666" t="s">
        <v>318</v>
      </c>
      <c r="C26" s="641"/>
      <c r="D26" s="661"/>
      <c r="E26" s="670">
        <f>E18+E25</f>
        <v>0</v>
      </c>
      <c r="F26" s="670">
        <f>F18+F25</f>
        <v>0</v>
      </c>
      <c r="G26" s="670">
        <f>G18+G25</f>
        <v>0</v>
      </c>
      <c r="H26" s="670">
        <f>H18+H25</f>
        <v>0</v>
      </c>
      <c r="I26" s="656">
        <f>I18+I25</f>
        <v>0</v>
      </c>
      <c r="J26" s="645"/>
      <c r="K26" s="629"/>
    </row>
    <row r="27" spans="1:11" x14ac:dyDescent="0.2">
      <c r="A27" s="630"/>
      <c r="B27" s="666"/>
      <c r="C27" s="641"/>
      <c r="D27" s="661"/>
      <c r="E27" s="658"/>
      <c r="F27" s="658"/>
      <c r="G27" s="658"/>
      <c r="H27" s="658"/>
      <c r="I27" s="659"/>
      <c r="J27" s="645"/>
      <c r="K27" s="629"/>
    </row>
    <row r="28" spans="1:11" x14ac:dyDescent="0.2">
      <c r="A28" s="630"/>
      <c r="B28" s="666" t="s">
        <v>319</v>
      </c>
      <c r="C28" s="641"/>
      <c r="D28" s="661"/>
      <c r="E28" s="658"/>
      <c r="F28" s="658"/>
      <c r="G28" s="658"/>
      <c r="H28" s="658"/>
      <c r="I28" s="659"/>
      <c r="J28" s="645"/>
      <c r="K28" s="629"/>
    </row>
    <row r="29" spans="1:11" x14ac:dyDescent="0.2">
      <c r="A29" s="630"/>
      <c r="B29" s="667">
        <v>6210</v>
      </c>
      <c r="C29" s="641" t="s">
        <v>320</v>
      </c>
      <c r="D29" s="661"/>
      <c r="E29" s="652"/>
      <c r="F29" s="652"/>
      <c r="G29" s="652"/>
      <c r="H29" s="652"/>
      <c r="I29" s="654"/>
      <c r="J29" s="645"/>
      <c r="K29" s="629"/>
    </row>
    <row r="30" spans="1:11" x14ac:dyDescent="0.2">
      <c r="A30" s="630"/>
      <c r="B30" s="667">
        <v>6250</v>
      </c>
      <c r="C30" s="641" t="s">
        <v>321</v>
      </c>
      <c r="D30" s="661"/>
      <c r="E30" s="658"/>
      <c r="F30" s="658"/>
      <c r="G30" s="652"/>
      <c r="H30" s="652"/>
      <c r="I30" s="654"/>
      <c r="J30" s="645"/>
      <c r="K30" s="629"/>
    </row>
    <row r="31" spans="1:11" x14ac:dyDescent="0.2">
      <c r="A31" s="630"/>
      <c r="B31" s="667">
        <v>6310</v>
      </c>
      <c r="C31" s="641" t="s">
        <v>322</v>
      </c>
      <c r="D31" s="661"/>
      <c r="E31" s="658"/>
      <c r="F31" s="658"/>
      <c r="G31" s="652"/>
      <c r="H31" s="652"/>
      <c r="I31" s="654"/>
      <c r="J31" s="645"/>
      <c r="K31" s="629"/>
    </row>
    <row r="32" spans="1:11" x14ac:dyDescent="0.2">
      <c r="A32" s="630"/>
      <c r="B32" s="648">
        <v>6311</v>
      </c>
      <c r="C32" s="641" t="s">
        <v>323</v>
      </c>
      <c r="D32" s="661"/>
      <c r="E32" s="658"/>
      <c r="F32" s="658"/>
      <c r="G32" s="652"/>
      <c r="H32" s="652"/>
      <c r="I32" s="654"/>
      <c r="J32" s="645"/>
      <c r="K32" s="629"/>
    </row>
    <row r="33" spans="1:11" x14ac:dyDescent="0.2">
      <c r="A33" s="630"/>
      <c r="B33" s="648">
        <v>6320</v>
      </c>
      <c r="C33" s="651" t="s">
        <v>324</v>
      </c>
      <c r="D33" s="661"/>
      <c r="E33" s="658"/>
      <c r="F33" s="658"/>
      <c r="G33" s="652"/>
      <c r="H33" s="652"/>
      <c r="I33" s="654"/>
      <c r="J33" s="671">
        <v>0.03</v>
      </c>
      <c r="K33" s="629"/>
    </row>
    <row r="34" spans="1:11" x14ac:dyDescent="0.2">
      <c r="A34" s="630"/>
      <c r="B34" s="648">
        <v>6330</v>
      </c>
      <c r="C34" s="641" t="s">
        <v>325</v>
      </c>
      <c r="D34" s="661"/>
      <c r="E34" s="658"/>
      <c r="F34" s="658"/>
      <c r="G34" s="652"/>
      <c r="H34" s="652"/>
      <c r="I34" s="654"/>
      <c r="J34" s="645"/>
      <c r="K34" s="629"/>
    </row>
    <row r="35" spans="1:11" x14ac:dyDescent="0.2">
      <c r="A35" s="630"/>
      <c r="B35" s="648">
        <v>6331</v>
      </c>
      <c r="C35" s="641" t="s">
        <v>326</v>
      </c>
      <c r="D35" s="661"/>
      <c r="E35" s="658"/>
      <c r="F35" s="658"/>
      <c r="G35" s="652"/>
      <c r="H35" s="652"/>
      <c r="I35" s="654"/>
      <c r="J35" s="645"/>
      <c r="K35" s="629"/>
    </row>
    <row r="36" spans="1:11" x14ac:dyDescent="0.2">
      <c r="A36" s="630"/>
      <c r="B36" s="648">
        <v>6340</v>
      </c>
      <c r="C36" s="641" t="s">
        <v>327</v>
      </c>
      <c r="D36" s="661"/>
      <c r="E36" s="658"/>
      <c r="F36" s="658"/>
      <c r="G36" s="652"/>
      <c r="H36" s="652"/>
      <c r="I36" s="654"/>
      <c r="J36" s="645"/>
      <c r="K36" s="629"/>
    </row>
    <row r="37" spans="1:11" x14ac:dyDescent="0.2">
      <c r="A37" s="630"/>
      <c r="B37" s="648">
        <v>6350</v>
      </c>
      <c r="C37" s="641" t="s">
        <v>328</v>
      </c>
      <c r="D37" s="661"/>
      <c r="E37" s="658"/>
      <c r="F37" s="658"/>
      <c r="G37" s="652"/>
      <c r="H37" s="652"/>
      <c r="I37" s="654"/>
      <c r="J37" s="645"/>
      <c r="K37" s="629"/>
    </row>
    <row r="38" spans="1:11" x14ac:dyDescent="0.2">
      <c r="A38" s="630"/>
      <c r="B38" s="648">
        <v>6351</v>
      </c>
      <c r="C38" s="641" t="s">
        <v>329</v>
      </c>
      <c r="D38" s="661"/>
      <c r="E38" s="658"/>
      <c r="F38" s="658"/>
      <c r="G38" s="652"/>
      <c r="H38" s="652"/>
      <c r="I38" s="654"/>
      <c r="J38" s="645"/>
      <c r="K38" s="629"/>
    </row>
    <row r="39" spans="1:11" x14ac:dyDescent="0.2">
      <c r="A39" s="630"/>
      <c r="B39" s="648">
        <v>6390</v>
      </c>
      <c r="C39" s="641" t="s">
        <v>330</v>
      </c>
      <c r="D39" s="661"/>
      <c r="E39" s="658"/>
      <c r="F39" s="658"/>
      <c r="G39" s="652"/>
      <c r="H39" s="652"/>
      <c r="I39" s="654"/>
      <c r="J39" s="645"/>
      <c r="K39" s="629"/>
    </row>
    <row r="40" spans="1:11" x14ac:dyDescent="0.2">
      <c r="A40" s="630"/>
      <c r="B40" s="672" t="s">
        <v>331</v>
      </c>
      <c r="C40" s="641"/>
      <c r="D40" s="661"/>
      <c r="E40" s="673">
        <f>SUM(E29:E39)-E33</f>
        <v>0</v>
      </c>
      <c r="F40" s="673">
        <f>SUM(F29:F39)-F33</f>
        <v>0</v>
      </c>
      <c r="G40" s="673">
        <f>SUM(G29:G39)-G33</f>
        <v>0</v>
      </c>
      <c r="H40" s="673">
        <f>SUM(H29:H39)-H33</f>
        <v>0</v>
      </c>
      <c r="I40" s="669">
        <f>SUM(I29:I39)-I33</f>
        <v>0</v>
      </c>
      <c r="J40" s="671">
        <v>0.03</v>
      </c>
      <c r="K40" s="629"/>
    </row>
    <row r="41" spans="1:11" x14ac:dyDescent="0.2">
      <c r="A41" s="630"/>
      <c r="B41" s="666" t="s">
        <v>332</v>
      </c>
      <c r="C41" s="641"/>
      <c r="D41" s="661"/>
      <c r="E41" s="668">
        <f>SUM(E29:E39)</f>
        <v>0</v>
      </c>
      <c r="F41" s="668">
        <f>SUM(F29:F39)</f>
        <v>0</v>
      </c>
      <c r="G41" s="668">
        <f>SUM(G29:G39)</f>
        <v>0</v>
      </c>
      <c r="H41" s="668">
        <f>SUM(H29:H39)</f>
        <v>0</v>
      </c>
      <c r="I41" s="669">
        <f>SUM(I29:I39)</f>
        <v>0</v>
      </c>
      <c r="J41" s="645"/>
      <c r="K41" s="629"/>
    </row>
    <row r="42" spans="1:11" x14ac:dyDescent="0.2">
      <c r="A42" s="630"/>
      <c r="B42" s="666" t="s">
        <v>333</v>
      </c>
      <c r="C42" s="641"/>
      <c r="D42" s="661"/>
      <c r="E42" s="658"/>
      <c r="F42" s="658"/>
      <c r="G42" s="658"/>
      <c r="H42" s="658"/>
      <c r="I42" s="659"/>
      <c r="J42" s="645"/>
      <c r="K42" s="629"/>
    </row>
    <row r="43" spans="1:11" x14ac:dyDescent="0.2">
      <c r="A43" s="630"/>
      <c r="B43" s="667">
        <v>6420</v>
      </c>
      <c r="C43" s="641" t="s">
        <v>334</v>
      </c>
      <c r="D43" s="661"/>
      <c r="E43" s="652"/>
      <c r="F43" s="652"/>
      <c r="G43" s="652"/>
      <c r="H43" s="652"/>
      <c r="I43" s="654"/>
      <c r="J43" s="645"/>
      <c r="K43" s="629"/>
    </row>
    <row r="44" spans="1:11" x14ac:dyDescent="0.2">
      <c r="A44" s="630"/>
      <c r="B44" s="667">
        <v>6420</v>
      </c>
      <c r="C44" s="641" t="s">
        <v>335</v>
      </c>
      <c r="D44" s="661"/>
      <c r="E44" s="658"/>
      <c r="F44" s="658"/>
      <c r="G44" s="652"/>
      <c r="H44" s="652"/>
      <c r="I44" s="654"/>
      <c r="J44" s="645"/>
      <c r="K44" s="629"/>
    </row>
    <row r="45" spans="1:11" x14ac:dyDescent="0.2">
      <c r="A45" s="630"/>
      <c r="B45" s="667">
        <v>6450</v>
      </c>
      <c r="C45" s="641" t="s">
        <v>336</v>
      </c>
      <c r="D45" s="661"/>
      <c r="E45" s="658"/>
      <c r="F45" s="658"/>
      <c r="G45" s="652"/>
      <c r="H45" s="652"/>
      <c r="I45" s="654"/>
      <c r="J45" s="645"/>
      <c r="K45" s="629"/>
    </row>
    <row r="46" spans="1:11" x14ac:dyDescent="0.2">
      <c r="A46" s="630"/>
      <c r="B46" s="667">
        <v>6451</v>
      </c>
      <c r="C46" s="641" t="s">
        <v>337</v>
      </c>
      <c r="D46" s="661"/>
      <c r="E46" s="658"/>
      <c r="F46" s="658"/>
      <c r="G46" s="652"/>
      <c r="H46" s="652"/>
      <c r="I46" s="654"/>
      <c r="J46" s="645"/>
      <c r="K46" s="629"/>
    </row>
    <row r="47" spans="1:11" x14ac:dyDescent="0.2">
      <c r="A47" s="630"/>
      <c r="B47" s="667">
        <v>6452</v>
      </c>
      <c r="C47" s="641" t="s">
        <v>338</v>
      </c>
      <c r="D47" s="661"/>
      <c r="E47" s="658"/>
      <c r="F47" s="658"/>
      <c r="G47" s="652"/>
      <c r="H47" s="652"/>
      <c r="I47" s="654"/>
      <c r="J47" s="645"/>
      <c r="K47" s="629"/>
    </row>
    <row r="48" spans="1:11" x14ac:dyDescent="0.2">
      <c r="A48" s="630"/>
      <c r="B48" s="667">
        <v>6453</v>
      </c>
      <c r="C48" s="641" t="s">
        <v>339</v>
      </c>
      <c r="D48" s="661"/>
      <c r="E48" s="658"/>
      <c r="F48" s="658"/>
      <c r="G48" s="652"/>
      <c r="H48" s="652"/>
      <c r="I48" s="654"/>
      <c r="J48" s="645"/>
      <c r="K48" s="629"/>
    </row>
    <row r="49" spans="1:11" ht="12.75" thickBot="1" x14ac:dyDescent="0.25">
      <c r="A49" s="630"/>
      <c r="B49" s="666" t="s">
        <v>340</v>
      </c>
      <c r="C49" s="641"/>
      <c r="D49" s="661"/>
      <c r="E49" s="668">
        <f>SUM(E43:E47)</f>
        <v>0</v>
      </c>
      <c r="F49" s="668">
        <f>SUM(F43:F47)</f>
        <v>0</v>
      </c>
      <c r="G49" s="674">
        <f>SUM(G43:G48)</f>
        <v>0</v>
      </c>
      <c r="H49" s="674">
        <f>SUM(H43:H48)</f>
        <v>0</v>
      </c>
      <c r="I49" s="669">
        <f>SUM(I43:I48)</f>
        <v>0</v>
      </c>
      <c r="J49" s="675">
        <v>0.03</v>
      </c>
      <c r="K49" s="629"/>
    </row>
    <row r="50" spans="1:11" ht="13.5" thickTop="1" thickBot="1" x14ac:dyDescent="0.25">
      <c r="A50" s="628"/>
      <c r="B50" s="648"/>
      <c r="C50" s="641"/>
      <c r="D50" s="676"/>
      <c r="E50" s="677"/>
      <c r="F50" s="677"/>
      <c r="G50" s="677"/>
      <c r="H50" s="677"/>
      <c r="I50" s="678"/>
      <c r="J50" s="679">
        <f>Cover!$H$7</f>
        <v>0</v>
      </c>
      <c r="K50" s="629"/>
    </row>
    <row r="51" spans="1:11" ht="12.75" thickTop="1" x14ac:dyDescent="0.2">
      <c r="A51" s="630"/>
      <c r="B51" s="648"/>
      <c r="C51" s="641"/>
      <c r="D51" s="661"/>
      <c r="E51" s="680" t="s">
        <v>296</v>
      </c>
      <c r="F51" s="680" t="s">
        <v>296</v>
      </c>
      <c r="G51" s="680" t="s">
        <v>296</v>
      </c>
      <c r="H51" s="680" t="s">
        <v>296</v>
      </c>
      <c r="I51" s="681" t="s">
        <v>297</v>
      </c>
      <c r="J51" s="634" t="s">
        <v>298</v>
      </c>
      <c r="K51" s="629"/>
    </row>
    <row r="52" spans="1:11" ht="12.75" thickBot="1" x14ac:dyDescent="0.25">
      <c r="A52" s="630"/>
      <c r="B52" s="648"/>
      <c r="C52" s="641"/>
      <c r="D52" s="661"/>
      <c r="E52" s="682" t="s">
        <v>299</v>
      </c>
      <c r="F52" s="682" t="s">
        <v>299</v>
      </c>
      <c r="G52" s="682" t="s">
        <v>299</v>
      </c>
      <c r="H52" s="682" t="s">
        <v>299</v>
      </c>
      <c r="I52" s="683" t="s">
        <v>300</v>
      </c>
      <c r="J52" s="636" t="s">
        <v>301</v>
      </c>
      <c r="K52" s="629"/>
    </row>
    <row r="53" spans="1:11" ht="12.75" thickTop="1" x14ac:dyDescent="0.2">
      <c r="A53" s="630"/>
      <c r="B53" s="666" t="s">
        <v>341</v>
      </c>
      <c r="C53" s="641"/>
      <c r="D53" s="661"/>
      <c r="E53" s="684"/>
      <c r="F53" s="684"/>
      <c r="G53" s="684"/>
      <c r="H53" s="684"/>
      <c r="I53" s="659"/>
      <c r="J53" s="639"/>
      <c r="K53" s="629"/>
    </row>
    <row r="54" spans="1:11" x14ac:dyDescent="0.2">
      <c r="A54" s="630"/>
      <c r="B54" s="667">
        <v>6510</v>
      </c>
      <c r="C54" s="641" t="s">
        <v>342</v>
      </c>
      <c r="D54" s="661"/>
      <c r="E54" s="652"/>
      <c r="F54" s="652"/>
      <c r="G54" s="652"/>
      <c r="H54" s="652"/>
      <c r="I54" s="654"/>
      <c r="J54" s="645"/>
      <c r="K54" s="629"/>
    </row>
    <row r="55" spans="1:11" x14ac:dyDescent="0.2">
      <c r="A55" s="630"/>
      <c r="B55" s="667">
        <v>6515</v>
      </c>
      <c r="C55" s="641" t="s">
        <v>343</v>
      </c>
      <c r="D55" s="661"/>
      <c r="E55" s="658"/>
      <c r="F55" s="658"/>
      <c r="G55" s="652"/>
      <c r="H55" s="652"/>
      <c r="I55" s="654"/>
      <c r="J55" s="645"/>
      <c r="K55" s="629"/>
    </row>
    <row r="56" spans="1:11" x14ac:dyDescent="0.2">
      <c r="A56" s="630"/>
      <c r="B56" s="667">
        <v>6520</v>
      </c>
      <c r="C56" s="641" t="s">
        <v>344</v>
      </c>
      <c r="D56" s="661"/>
      <c r="E56" s="658"/>
      <c r="F56" s="658"/>
      <c r="G56" s="652"/>
      <c r="H56" s="652"/>
      <c r="I56" s="654"/>
      <c r="J56" s="645"/>
      <c r="K56" s="629"/>
    </row>
    <row r="57" spans="1:11" x14ac:dyDescent="0.2">
      <c r="A57" s="630"/>
      <c r="B57" s="667">
        <v>6525</v>
      </c>
      <c r="C57" s="641" t="s">
        <v>345</v>
      </c>
      <c r="D57" s="661"/>
      <c r="E57" s="658"/>
      <c r="F57" s="658"/>
      <c r="G57" s="652"/>
      <c r="H57" s="652"/>
      <c r="I57" s="654"/>
      <c r="J57" s="645"/>
      <c r="K57" s="629"/>
    </row>
    <row r="58" spans="1:11" x14ac:dyDescent="0.2">
      <c r="A58" s="630"/>
      <c r="B58" s="648">
        <v>6530</v>
      </c>
      <c r="C58" s="641" t="s">
        <v>346</v>
      </c>
      <c r="D58" s="661"/>
      <c r="E58" s="658"/>
      <c r="F58" s="658"/>
      <c r="G58" s="652"/>
      <c r="H58" s="652"/>
      <c r="I58" s="654"/>
      <c r="J58" s="645"/>
      <c r="K58" s="629"/>
    </row>
    <row r="59" spans="1:11" x14ac:dyDescent="0.2">
      <c r="A59" s="630"/>
      <c r="B59" s="648">
        <v>6545</v>
      </c>
      <c r="C59" s="641" t="s">
        <v>347</v>
      </c>
      <c r="D59" s="661"/>
      <c r="E59" s="658"/>
      <c r="F59" s="658"/>
      <c r="G59" s="652"/>
      <c r="H59" s="652"/>
      <c r="I59" s="654"/>
      <c r="J59" s="645"/>
      <c r="K59" s="629"/>
    </row>
    <row r="60" spans="1:11" x14ac:dyDescent="0.2">
      <c r="A60" s="630"/>
      <c r="B60" s="648">
        <v>6546</v>
      </c>
      <c r="C60" s="641" t="s">
        <v>853</v>
      </c>
      <c r="D60" s="661"/>
      <c r="E60" s="658"/>
      <c r="F60" s="658"/>
      <c r="G60" s="652"/>
      <c r="H60" s="652"/>
      <c r="I60" s="654"/>
      <c r="J60" s="645"/>
      <c r="K60" s="629"/>
    </row>
    <row r="61" spans="1:11" x14ac:dyDescent="0.2">
      <c r="A61" s="630"/>
      <c r="B61" s="648">
        <v>6570</v>
      </c>
      <c r="C61" s="641" t="s">
        <v>348</v>
      </c>
      <c r="D61" s="661"/>
      <c r="E61" s="658"/>
      <c r="F61" s="658"/>
      <c r="G61" s="652"/>
      <c r="H61" s="652"/>
      <c r="I61" s="654"/>
      <c r="J61" s="645"/>
      <c r="K61" s="629"/>
    </row>
    <row r="62" spans="1:11" x14ac:dyDescent="0.2">
      <c r="A62" s="630"/>
      <c r="B62" s="648">
        <v>6590</v>
      </c>
      <c r="C62" s="641" t="s">
        <v>349</v>
      </c>
      <c r="D62" s="661"/>
      <c r="E62" s="658"/>
      <c r="F62" s="658"/>
      <c r="G62" s="652"/>
      <c r="H62" s="652"/>
      <c r="I62" s="654"/>
      <c r="J62" s="645"/>
      <c r="K62" s="629"/>
    </row>
    <row r="63" spans="1:11" x14ac:dyDescent="0.2">
      <c r="A63" s="630"/>
      <c r="B63" s="672"/>
      <c r="C63" s="641" t="s">
        <v>350</v>
      </c>
      <c r="D63" s="661"/>
      <c r="E63" s="658"/>
      <c r="F63" s="658"/>
      <c r="G63" s="652"/>
      <c r="H63" s="652"/>
      <c r="I63" s="654"/>
      <c r="J63" s="645"/>
      <c r="K63" s="629"/>
    </row>
    <row r="64" spans="1:11" x14ac:dyDescent="0.2">
      <c r="A64" s="630"/>
      <c r="B64" s="666" t="s">
        <v>351</v>
      </c>
      <c r="C64" s="641"/>
      <c r="D64" s="661"/>
      <c r="E64" s="668">
        <f>SUM(E54:E63)</f>
        <v>0</v>
      </c>
      <c r="F64" s="668">
        <f>SUM(F54:F63)</f>
        <v>0</v>
      </c>
      <c r="G64" s="668">
        <f>SUM(G54:G63)</f>
        <v>0</v>
      </c>
      <c r="H64" s="668">
        <f>SUM(H54:H63)</f>
        <v>0</v>
      </c>
      <c r="I64" s="669">
        <f>SUM(I54:I63)</f>
        <v>0</v>
      </c>
      <c r="J64" s="657">
        <v>0.03</v>
      </c>
      <c r="K64" s="629"/>
    </row>
    <row r="65" spans="1:11" x14ac:dyDescent="0.2">
      <c r="A65" s="630"/>
      <c r="B65" s="666" t="s">
        <v>352</v>
      </c>
      <c r="C65" s="641"/>
      <c r="D65" s="661"/>
      <c r="E65" s="685"/>
      <c r="F65" s="685"/>
      <c r="G65" s="685"/>
      <c r="H65" s="685"/>
      <c r="I65" s="686"/>
      <c r="J65" s="645"/>
      <c r="K65" s="629"/>
    </row>
    <row r="66" spans="1:11" x14ac:dyDescent="0.2">
      <c r="A66" s="630"/>
      <c r="B66" s="667">
        <v>6710</v>
      </c>
      <c r="C66" s="641" t="s">
        <v>353</v>
      </c>
      <c r="D66" s="661"/>
      <c r="E66" s="652"/>
      <c r="F66" s="652"/>
      <c r="G66" s="652"/>
      <c r="H66" s="652"/>
      <c r="I66" s="654"/>
      <c r="J66" s="671">
        <v>0.03</v>
      </c>
      <c r="K66" s="629"/>
    </row>
    <row r="67" spans="1:11" x14ac:dyDescent="0.2">
      <c r="A67" s="630"/>
      <c r="B67" s="667">
        <v>6711</v>
      </c>
      <c r="C67" s="641" t="s">
        <v>354</v>
      </c>
      <c r="D67" s="661"/>
      <c r="E67" s="658"/>
      <c r="F67" s="658"/>
      <c r="G67" s="652"/>
      <c r="H67" s="652"/>
      <c r="I67" s="654"/>
      <c r="J67" s="645"/>
      <c r="K67" s="629"/>
    </row>
    <row r="68" spans="1:11" x14ac:dyDescent="0.2">
      <c r="A68" s="630"/>
      <c r="B68" s="667">
        <v>6719</v>
      </c>
      <c r="C68" s="641" t="s">
        <v>355</v>
      </c>
      <c r="D68" s="661"/>
      <c r="E68" s="658"/>
      <c r="F68" s="658"/>
      <c r="G68" s="652"/>
      <c r="H68" s="652"/>
      <c r="I68" s="654"/>
      <c r="J68" s="645"/>
      <c r="K68" s="629"/>
    </row>
    <row r="69" spans="1:11" x14ac:dyDescent="0.2">
      <c r="A69" s="630"/>
      <c r="B69" s="667">
        <v>6720</v>
      </c>
      <c r="C69" s="641" t="s">
        <v>356</v>
      </c>
      <c r="D69" s="661"/>
      <c r="E69" s="658"/>
      <c r="F69" s="658"/>
      <c r="G69" s="652"/>
      <c r="H69" s="652"/>
      <c r="I69" s="654"/>
      <c r="J69" s="671">
        <v>0.03</v>
      </c>
      <c r="K69" s="629"/>
    </row>
    <row r="70" spans="1:11" x14ac:dyDescent="0.2">
      <c r="A70" s="630"/>
      <c r="B70" s="648">
        <v>6721</v>
      </c>
      <c r="C70" s="641" t="s">
        <v>357</v>
      </c>
      <c r="D70" s="661"/>
      <c r="E70" s="658"/>
      <c r="F70" s="658"/>
      <c r="G70" s="652"/>
      <c r="H70" s="652"/>
      <c r="I70" s="654"/>
      <c r="J70" s="645"/>
      <c r="K70" s="629"/>
    </row>
    <row r="71" spans="1:11" x14ac:dyDescent="0.2">
      <c r="A71" s="630"/>
      <c r="B71" s="648">
        <v>6722</v>
      </c>
      <c r="C71" s="641" t="s">
        <v>358</v>
      </c>
      <c r="D71" s="661"/>
      <c r="E71" s="658"/>
      <c r="F71" s="658"/>
      <c r="G71" s="652"/>
      <c r="H71" s="652"/>
      <c r="I71" s="654"/>
      <c r="J71" s="645"/>
      <c r="K71" s="629"/>
    </row>
    <row r="72" spans="1:11" x14ac:dyDescent="0.2">
      <c r="A72" s="630"/>
      <c r="B72" s="667">
        <v>6723</v>
      </c>
      <c r="C72" s="641" t="s">
        <v>359</v>
      </c>
      <c r="D72" s="661"/>
      <c r="E72" s="658"/>
      <c r="F72" s="658"/>
      <c r="G72" s="652"/>
      <c r="H72" s="652"/>
      <c r="I72" s="654"/>
      <c r="J72" s="645"/>
      <c r="K72" s="629"/>
    </row>
    <row r="73" spans="1:11" x14ac:dyDescent="0.2">
      <c r="A73" s="630"/>
      <c r="B73" s="667">
        <v>6279</v>
      </c>
      <c r="C73" s="641" t="s">
        <v>360</v>
      </c>
      <c r="D73" s="661"/>
      <c r="E73" s="658"/>
      <c r="F73" s="658"/>
      <c r="G73" s="652"/>
      <c r="H73" s="652"/>
      <c r="I73" s="654"/>
      <c r="J73" s="671">
        <v>0.03</v>
      </c>
      <c r="K73" s="629"/>
    </row>
    <row r="74" spans="1:11" x14ac:dyDescent="0.2">
      <c r="A74" s="630"/>
      <c r="B74" s="666" t="s">
        <v>361</v>
      </c>
      <c r="C74" s="641"/>
      <c r="D74" s="661"/>
      <c r="E74" s="668">
        <f>SUM(E66:E73)</f>
        <v>0</v>
      </c>
      <c r="F74" s="668">
        <f>SUM(F66:F73)</f>
        <v>0</v>
      </c>
      <c r="G74" s="668">
        <f>SUM(G66:G73)</f>
        <v>0</v>
      </c>
      <c r="H74" s="668">
        <f>SUM(H66:H73)</f>
        <v>0</v>
      </c>
      <c r="I74" s="669">
        <f>SUM(I66:I73)</f>
        <v>0</v>
      </c>
      <c r="J74" s="687"/>
      <c r="K74" s="629"/>
    </row>
    <row r="75" spans="1:11" x14ac:dyDescent="0.2">
      <c r="A75" s="630"/>
      <c r="B75" s="648"/>
      <c r="C75" s="641"/>
      <c r="D75" s="661"/>
      <c r="E75" s="685"/>
      <c r="F75" s="685"/>
      <c r="G75" s="685"/>
      <c r="H75" s="685"/>
      <c r="I75" s="686"/>
      <c r="J75" s="645"/>
      <c r="K75" s="629"/>
    </row>
    <row r="76" spans="1:11" x14ac:dyDescent="0.2">
      <c r="A76" s="630"/>
      <c r="B76" s="666" t="s">
        <v>362</v>
      </c>
      <c r="C76" s="688"/>
      <c r="D76" s="689"/>
      <c r="E76" s="670">
        <f>E41+E49+E64+E74</f>
        <v>0</v>
      </c>
      <c r="F76" s="670">
        <f>F41+F49+F64+F74</f>
        <v>0</v>
      </c>
      <c r="G76" s="670">
        <f>G41+G49+G64+G74</f>
        <v>0</v>
      </c>
      <c r="H76" s="670">
        <f>H41+H49+H64+H74</f>
        <v>0</v>
      </c>
      <c r="I76" s="656">
        <f>I41+I49+I64+I74</f>
        <v>0</v>
      </c>
      <c r="J76" s="645"/>
      <c r="K76" s="629"/>
    </row>
    <row r="77" spans="1:11" ht="12.75" thickBot="1" x14ac:dyDescent="0.25">
      <c r="A77" s="630"/>
      <c r="B77" s="666"/>
      <c r="C77" s="688"/>
      <c r="D77" s="689"/>
      <c r="E77" s="670"/>
      <c r="F77" s="670"/>
      <c r="G77" s="670"/>
      <c r="H77" s="670"/>
      <c r="I77" s="644"/>
      <c r="J77" s="645"/>
      <c r="K77" s="629"/>
    </row>
    <row r="78" spans="1:11" ht="13.5" thickTop="1" thickBot="1" x14ac:dyDescent="0.25">
      <c r="A78" s="630"/>
      <c r="B78" s="666" t="s">
        <v>363</v>
      </c>
      <c r="C78" s="688"/>
      <c r="D78" s="689"/>
      <c r="E78" s="690">
        <f>E26-E76</f>
        <v>0</v>
      </c>
      <c r="F78" s="690">
        <f>F26-F76</f>
        <v>0</v>
      </c>
      <c r="G78" s="690">
        <f>G26-G76</f>
        <v>0</v>
      </c>
      <c r="H78" s="690">
        <f>H26-H76</f>
        <v>0</v>
      </c>
      <c r="I78" s="656">
        <f>I26-I76</f>
        <v>0</v>
      </c>
      <c r="J78" s="645"/>
      <c r="K78" s="629"/>
    </row>
    <row r="79" spans="1:11" ht="12.75" thickTop="1" x14ac:dyDescent="0.2">
      <c r="A79" s="630"/>
      <c r="B79" s="666"/>
      <c r="C79" s="688"/>
      <c r="D79" s="689"/>
      <c r="E79" s="691"/>
      <c r="F79" s="691"/>
      <c r="G79" s="691"/>
      <c r="H79" s="691"/>
      <c r="I79" s="644"/>
      <c r="J79" s="645"/>
      <c r="K79" s="629"/>
    </row>
    <row r="80" spans="1:11" x14ac:dyDescent="0.2">
      <c r="A80" s="630"/>
      <c r="B80" s="666" t="s">
        <v>364</v>
      </c>
      <c r="C80" s="688"/>
      <c r="D80" s="692"/>
      <c r="E80" s="652"/>
      <c r="F80" s="652"/>
      <c r="G80" s="652"/>
      <c r="H80" s="652"/>
      <c r="I80" s="669">
        <f>300*'Primary Input'!E88</f>
        <v>0</v>
      </c>
      <c r="J80" s="671">
        <v>0.03</v>
      </c>
      <c r="K80" s="629"/>
    </row>
    <row r="81" spans="1:12" ht="12.75" thickBot="1" x14ac:dyDescent="0.25">
      <c r="A81" s="630"/>
      <c r="B81" s="666"/>
      <c r="C81" s="688"/>
      <c r="D81" s="689"/>
      <c r="E81" s="693"/>
      <c r="F81" s="693"/>
      <c r="G81" s="693"/>
      <c r="H81" s="693"/>
      <c r="I81" s="694"/>
      <c r="J81" s="645"/>
      <c r="K81" s="629"/>
    </row>
    <row r="82" spans="1:12" ht="13.5" thickTop="1" thickBot="1" x14ac:dyDescent="0.25">
      <c r="A82" s="630"/>
      <c r="B82" s="666" t="s">
        <v>365</v>
      </c>
      <c r="C82" s="688"/>
      <c r="D82" s="689"/>
      <c r="E82" s="690">
        <f>E78-E80</f>
        <v>0</v>
      </c>
      <c r="F82" s="690">
        <f>F78-F80</f>
        <v>0</v>
      </c>
      <c r="G82" s="690">
        <f>G78-G80</f>
        <v>0</v>
      </c>
      <c r="H82" s="690">
        <f>H78-H80</f>
        <v>0</v>
      </c>
      <c r="I82" s="656">
        <f>I78-I80</f>
        <v>0</v>
      </c>
      <c r="J82" s="645"/>
      <c r="K82" s="629"/>
    </row>
    <row r="83" spans="1:12" ht="12.75" thickTop="1" x14ac:dyDescent="0.2">
      <c r="A83" s="630"/>
      <c r="B83" s="648"/>
      <c r="C83" s="641"/>
      <c r="D83" s="661"/>
      <c r="E83" s="658"/>
      <c r="F83" s="658"/>
      <c r="G83" s="658"/>
      <c r="H83" s="658"/>
      <c r="I83" s="659"/>
      <c r="J83" s="645"/>
      <c r="K83" s="629"/>
    </row>
    <row r="84" spans="1:12" x14ac:dyDescent="0.2">
      <c r="A84" s="630"/>
      <c r="B84" s="695" t="s">
        <v>366</v>
      </c>
      <c r="C84" s="641"/>
      <c r="D84" s="661"/>
      <c r="E84" s="696"/>
      <c r="F84" s="696"/>
      <c r="G84" s="696"/>
      <c r="H84" s="696"/>
      <c r="I84" s="650"/>
      <c r="J84" s="645"/>
      <c r="K84" s="629"/>
    </row>
    <row r="85" spans="1:12" x14ac:dyDescent="0.2">
      <c r="A85" s="630"/>
      <c r="B85" s="640" t="s">
        <v>367</v>
      </c>
      <c r="C85" s="641"/>
      <c r="D85" s="661"/>
      <c r="E85" s="652"/>
      <c r="F85" s="652"/>
      <c r="G85" s="652"/>
      <c r="H85" s="652"/>
      <c r="I85" s="653">
        <f>+'Loan Information'!E12</f>
        <v>0</v>
      </c>
      <c r="J85" s="645"/>
      <c r="K85" s="629"/>
    </row>
    <row r="86" spans="1:12" x14ac:dyDescent="0.2">
      <c r="A86" s="630"/>
      <c r="B86" s="640" t="s">
        <v>368</v>
      </c>
      <c r="C86" s="641"/>
      <c r="D86" s="661"/>
      <c r="E86" s="652"/>
      <c r="F86" s="652"/>
      <c r="G86" s="652"/>
      <c r="H86" s="652"/>
      <c r="I86" s="653">
        <f>+'Loan Information'!E29</f>
        <v>0</v>
      </c>
      <c r="J86" s="645"/>
      <c r="K86" s="629"/>
    </row>
    <row r="87" spans="1:12" ht="12.75" thickBot="1" x14ac:dyDescent="0.25">
      <c r="A87" s="630"/>
      <c r="B87" s="640"/>
      <c r="C87" s="641"/>
      <c r="D87" s="661"/>
      <c r="E87" s="697"/>
      <c r="F87" s="697"/>
      <c r="G87" s="697"/>
      <c r="H87" s="697"/>
      <c r="I87" s="698"/>
      <c r="J87" s="645"/>
      <c r="K87" s="629"/>
    </row>
    <row r="88" spans="1:12" ht="13.5" thickTop="1" thickBot="1" x14ac:dyDescent="0.25">
      <c r="A88" s="630"/>
      <c r="B88" s="666" t="s">
        <v>369</v>
      </c>
      <c r="C88" s="688"/>
      <c r="D88" s="689"/>
      <c r="E88" s="690">
        <f>+E82-E84-E85-E86</f>
        <v>0</v>
      </c>
      <c r="F88" s="690">
        <f>+F82-F84-F85-F86</f>
        <v>0</v>
      </c>
      <c r="G88" s="690">
        <f>+G82-G84-G85-G86</f>
        <v>0</v>
      </c>
      <c r="H88" s="690">
        <f>+H82-H84-H85-H86</f>
        <v>0</v>
      </c>
      <c r="I88" s="656">
        <f>+I82-I84-I85-I86</f>
        <v>0</v>
      </c>
      <c r="J88" s="645"/>
      <c r="K88" s="629"/>
    </row>
    <row r="89" spans="1:12" ht="13.5" thickTop="1" thickBot="1" x14ac:dyDescent="0.25">
      <c r="A89" s="630"/>
      <c r="B89" s="640"/>
      <c r="C89" s="641"/>
      <c r="D89" s="661"/>
      <c r="E89" s="699"/>
      <c r="F89" s="699"/>
      <c r="G89" s="699"/>
      <c r="H89" s="699"/>
      <c r="I89" s="698"/>
      <c r="J89" s="645"/>
      <c r="K89" s="629"/>
    </row>
    <row r="90" spans="1:12" ht="13.5" thickTop="1" thickBot="1" x14ac:dyDescent="0.25">
      <c r="A90" s="630"/>
      <c r="B90" s="666"/>
      <c r="C90" s="688"/>
      <c r="D90" s="689"/>
      <c r="E90" s="690">
        <f>MAX(0,+E88-10000)</f>
        <v>0</v>
      </c>
      <c r="F90" s="690">
        <f>MAX(0,+F88-10000)</f>
        <v>0</v>
      </c>
      <c r="G90" s="690">
        <f>MAX(0,+G88-10000)</f>
        <v>0</v>
      </c>
      <c r="H90" s="690">
        <f>MAX(0,+H88-10000)</f>
        <v>0</v>
      </c>
      <c r="I90" s="656"/>
      <c r="J90" s="645"/>
      <c r="K90" s="629"/>
    </row>
    <row r="91" spans="1:12" ht="12.75" thickTop="1" x14ac:dyDescent="0.2">
      <c r="A91" s="630"/>
      <c r="B91" s="640"/>
      <c r="C91" s="641"/>
      <c r="D91" s="661"/>
      <c r="E91" s="697"/>
      <c r="F91" s="697"/>
      <c r="G91" s="697"/>
      <c r="H91" s="697"/>
      <c r="I91" s="698"/>
      <c r="J91" s="645"/>
      <c r="K91" s="629"/>
    </row>
    <row r="92" spans="1:12" x14ac:dyDescent="0.2">
      <c r="A92" s="700">
        <v>0.75</v>
      </c>
      <c r="B92" s="640" t="s">
        <v>618</v>
      </c>
      <c r="C92" s="641"/>
      <c r="D92" s="701">
        <v>0.5</v>
      </c>
      <c r="E92" s="652">
        <f>+E90*$D92</f>
        <v>0</v>
      </c>
      <c r="F92" s="652">
        <f>+F90*$D92</f>
        <v>0</v>
      </c>
      <c r="G92" s="652">
        <f>+G90*$D92</f>
        <v>0</v>
      </c>
      <c r="H92" s="652">
        <f>+H90*$D92</f>
        <v>0</v>
      </c>
      <c r="I92" s="653">
        <f>+I88*$D92</f>
        <v>0</v>
      </c>
      <c r="J92" s="645"/>
      <c r="K92" s="629"/>
      <c r="L92" s="702">
        <v>0.5</v>
      </c>
    </row>
    <row r="93" spans="1:12" x14ac:dyDescent="0.2">
      <c r="A93" s="700">
        <v>0.33300000000000002</v>
      </c>
      <c r="B93" s="1976" t="str">
        <f>IF(D92&lt;0.5, "PROJECT MUST BE SERVING &lt;30% AMI ONLY","")</f>
        <v/>
      </c>
      <c r="C93" s="1977"/>
      <c r="D93" s="1978"/>
      <c r="E93" s="697"/>
      <c r="F93" s="697"/>
      <c r="G93" s="697"/>
      <c r="H93" s="697"/>
      <c r="I93" s="698"/>
      <c r="J93" s="645"/>
      <c r="K93" s="629"/>
      <c r="L93" s="702">
        <v>0</v>
      </c>
    </row>
    <row r="94" spans="1:12" x14ac:dyDescent="0.2">
      <c r="A94" s="630"/>
      <c r="B94" s="703" t="s">
        <v>370</v>
      </c>
      <c r="C94" s="641"/>
      <c r="D94" s="701">
        <f>1-D92</f>
        <v>0.5</v>
      </c>
      <c r="E94" s="652">
        <f>+E90-E92</f>
        <v>0</v>
      </c>
      <c r="F94" s="652">
        <f>+F90-F92</f>
        <v>0</v>
      </c>
      <c r="G94" s="652">
        <f>+G90-G92</f>
        <v>0</v>
      </c>
      <c r="H94" s="652">
        <f>+H90-H92</f>
        <v>0</v>
      </c>
      <c r="I94" s="653">
        <f>+I88-I92</f>
        <v>0</v>
      </c>
      <c r="J94" s="645"/>
      <c r="K94" s="629"/>
      <c r="L94" s="71"/>
    </row>
    <row r="95" spans="1:12" x14ac:dyDescent="0.2">
      <c r="A95" s="630"/>
      <c r="B95" s="703" t="s">
        <v>371</v>
      </c>
      <c r="C95" s="641"/>
      <c r="D95" s="661"/>
      <c r="E95" s="652">
        <v>0</v>
      </c>
      <c r="F95" s="652">
        <v>0</v>
      </c>
      <c r="G95" s="652">
        <v>0</v>
      </c>
      <c r="H95" s="652">
        <v>0</v>
      </c>
      <c r="I95" s="654"/>
      <c r="J95" s="645"/>
      <c r="K95" s="629"/>
    </row>
    <row r="96" spans="1:12" x14ac:dyDescent="0.2">
      <c r="A96" s="630"/>
      <c r="B96" s="648"/>
      <c r="C96" s="641"/>
      <c r="D96" s="661"/>
      <c r="E96" s="696"/>
      <c r="F96" s="696"/>
      <c r="G96" s="696"/>
      <c r="H96" s="696"/>
      <c r="I96" s="650"/>
      <c r="J96" s="645"/>
      <c r="K96" s="629"/>
    </row>
    <row r="97" spans="1:11" ht="12.75" thickBot="1" x14ac:dyDescent="0.25">
      <c r="A97" s="630"/>
      <c r="B97" s="640" t="s">
        <v>854</v>
      </c>
      <c r="C97" s="704"/>
      <c r="D97" s="661"/>
      <c r="E97" s="705" t="str">
        <f>IF(E82=0,"0",E82/SUM(E85:E86))</f>
        <v>0</v>
      </c>
      <c r="F97" s="705" t="str">
        <f>IF(F82=0,"0",F82/SUM(F85:F86))</f>
        <v>0</v>
      </c>
      <c r="G97" s="705" t="str">
        <f>IF(G82=0,"0",G82/SUM(G85:G86))</f>
        <v>0</v>
      </c>
      <c r="H97" s="705" t="str">
        <f>IF(H82=0,"0",H82/SUM(H85:H86))</f>
        <v>0</v>
      </c>
      <c r="I97" s="706" t="str">
        <f>IF((I85+I86)=0,"0",I82/SUM(I85:I86))</f>
        <v>0</v>
      </c>
      <c r="J97" s="707"/>
      <c r="K97" s="629"/>
    </row>
    <row r="98" spans="1:11" ht="12.75" thickTop="1" x14ac:dyDescent="0.2">
      <c r="A98" s="708"/>
      <c r="B98" s="709"/>
      <c r="C98" s="641"/>
      <c r="D98" s="676"/>
      <c r="E98" s="632"/>
      <c r="F98" s="632"/>
      <c r="G98" s="632"/>
      <c r="H98" s="632"/>
      <c r="I98" s="632"/>
      <c r="J98" s="710"/>
      <c r="K98" s="629"/>
    </row>
    <row r="99" spans="1:11" x14ac:dyDescent="0.2">
      <c r="A99" s="708"/>
      <c r="B99" s="709"/>
      <c r="C99" s="641"/>
      <c r="D99" s="676"/>
      <c r="E99" s="632"/>
      <c r="F99" s="632"/>
      <c r="G99" s="632"/>
      <c r="H99" s="632"/>
      <c r="I99" s="632"/>
      <c r="J99" s="711"/>
      <c r="K99" s="629"/>
    </row>
    <row r="100" spans="1:11" x14ac:dyDescent="0.2">
      <c r="A100" s="708"/>
      <c r="B100" s="709"/>
      <c r="C100" s="641"/>
      <c r="D100" s="676"/>
      <c r="E100" s="632"/>
      <c r="F100" s="632"/>
      <c r="G100" s="632"/>
      <c r="H100" s="632"/>
      <c r="I100" s="632"/>
      <c r="J100" s="711"/>
      <c r="K100" s="629"/>
    </row>
    <row r="101" spans="1:11" x14ac:dyDescent="0.2">
      <c r="A101" s="708"/>
      <c r="B101" s="709"/>
      <c r="C101" s="641"/>
      <c r="D101" s="676"/>
      <c r="E101" s="632"/>
      <c r="F101" s="632"/>
      <c r="G101" s="632"/>
      <c r="H101" s="632"/>
      <c r="I101" s="632"/>
      <c r="J101" s="711"/>
      <c r="K101" s="629"/>
    </row>
    <row r="102" spans="1:11" x14ac:dyDescent="0.2">
      <c r="A102" s="708"/>
      <c r="B102" s="709"/>
      <c r="C102" s="641"/>
      <c r="D102" s="676"/>
      <c r="E102" s="632"/>
      <c r="F102" s="632"/>
      <c r="G102" s="632"/>
      <c r="H102" s="632"/>
      <c r="I102" s="632"/>
      <c r="J102" s="711"/>
      <c r="K102" s="629"/>
    </row>
    <row r="103" spans="1:11" x14ac:dyDescent="0.2">
      <c r="A103" s="708"/>
      <c r="B103" s="709"/>
      <c r="C103" s="641"/>
      <c r="D103" s="676"/>
      <c r="E103" s="632"/>
      <c r="F103" s="632"/>
      <c r="G103" s="632"/>
      <c r="H103" s="632"/>
      <c r="I103" s="632"/>
      <c r="J103" s="711"/>
      <c r="K103" s="629"/>
    </row>
    <row r="104" spans="1:11" x14ac:dyDescent="0.2">
      <c r="A104" s="708"/>
      <c r="B104" s="709"/>
      <c r="C104" s="641"/>
      <c r="D104" s="676"/>
      <c r="E104" s="632"/>
      <c r="F104" s="632"/>
      <c r="G104" s="632"/>
      <c r="H104" s="632"/>
      <c r="I104" s="632"/>
      <c r="J104" s="711"/>
      <c r="K104" s="629"/>
    </row>
    <row r="105" spans="1:11" x14ac:dyDescent="0.2">
      <c r="A105" s="708"/>
      <c r="B105" s="709"/>
      <c r="C105" s="641"/>
      <c r="D105" s="676"/>
      <c r="E105" s="632"/>
      <c r="F105" s="632"/>
      <c r="G105" s="632"/>
      <c r="H105" s="632"/>
      <c r="I105" s="632"/>
      <c r="J105" s="711"/>
      <c r="K105" s="629"/>
    </row>
    <row r="106" spans="1:11" x14ac:dyDescent="0.2">
      <c r="A106" s="708"/>
      <c r="B106" s="709"/>
      <c r="C106" s="641"/>
      <c r="D106" s="676"/>
      <c r="E106" s="632"/>
      <c r="F106" s="632"/>
      <c r="G106" s="632"/>
      <c r="H106" s="632"/>
      <c r="I106" s="632"/>
      <c r="J106" s="711"/>
      <c r="K106" s="629"/>
    </row>
    <row r="107" spans="1:11" ht="12.75" thickBot="1" x14ac:dyDescent="0.25">
      <c r="A107" s="712"/>
      <c r="B107" s="713"/>
      <c r="C107" s="714"/>
      <c r="D107" s="715"/>
      <c r="E107" s="716"/>
      <c r="F107" s="716"/>
      <c r="G107" s="716"/>
      <c r="H107" s="716"/>
      <c r="I107" s="716"/>
      <c r="J107" s="717"/>
      <c r="K107" s="629"/>
    </row>
    <row r="108" spans="1:11" ht="12.75" thickTop="1" x14ac:dyDescent="0.2">
      <c r="A108" s="677"/>
      <c r="B108" s="677"/>
      <c r="C108" s="677"/>
      <c r="D108" s="677"/>
      <c r="E108" s="677"/>
      <c r="F108" s="677"/>
      <c r="G108" s="677"/>
      <c r="H108" s="677"/>
      <c r="I108" s="677"/>
      <c r="J108" s="677"/>
      <c r="K108" s="629"/>
    </row>
    <row r="109" spans="1:11" x14ac:dyDescent="0.2">
      <c r="A109" s="677"/>
      <c r="B109" s="677"/>
      <c r="C109" s="677"/>
      <c r="D109" s="677"/>
      <c r="E109" s="677"/>
      <c r="F109" s="677"/>
      <c r="G109" s="677"/>
      <c r="H109" s="677"/>
      <c r="I109" s="677"/>
      <c r="J109" s="677"/>
      <c r="K109" s="677"/>
    </row>
  </sheetData>
  <sheetProtection password="CC14" sheet="1" objects="1" scenarios="1"/>
  <mergeCells count="4">
    <mergeCell ref="B93:D93"/>
    <mergeCell ref="I1:J1"/>
    <mergeCell ref="B4:D4"/>
    <mergeCell ref="A2:B2"/>
  </mergeCells>
  <phoneticPr fontId="0" type="noConversion"/>
  <dataValidations count="1">
    <dataValidation type="list" allowBlank="1" showInputMessage="1" showErrorMessage="1" sqref="D92">
      <formula1>$L$92:$L$93</formula1>
    </dataValidation>
  </dataValidations>
  <printOptions horizontalCentered="1"/>
  <pageMargins left="0.47" right="0.45" top="1" bottom="0.75" header="0.5" footer="0.5"/>
  <pageSetup scale="99" fitToHeight="0" orientation="portrait" r:id="rId1"/>
  <headerFooter alignWithMargins="0">
    <oddFooter>&amp;C&amp;P</oddFooter>
  </headerFooter>
  <rowBreaks count="1" manualBreakCount="1">
    <brk id="50" max="7"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8080"/>
  </sheetPr>
  <dimension ref="A1:AR59"/>
  <sheetViews>
    <sheetView topLeftCell="A7" workbookViewId="0">
      <selection activeCell="L43" sqref="L43:M43"/>
    </sheetView>
  </sheetViews>
  <sheetFormatPr defaultColWidth="9.140625" defaultRowHeight="12.75" x14ac:dyDescent="0.2"/>
  <cols>
    <col min="1" max="1" width="2.28515625" style="3" customWidth="1"/>
    <col min="2" max="2" width="18.7109375" style="3" customWidth="1"/>
    <col min="3" max="3" width="11.28515625" style="3" customWidth="1"/>
    <col min="4" max="35" width="8.7109375" style="3" customWidth="1"/>
    <col min="36" max="42" width="7.7109375" style="3" customWidth="1"/>
    <col min="43" max="16384" width="9.140625" style="3"/>
  </cols>
  <sheetData>
    <row r="1" spans="1:43" s="819" customFormat="1" ht="39" customHeight="1" thickBot="1" x14ac:dyDescent="0.3">
      <c r="A1" s="1984" t="s">
        <v>372</v>
      </c>
      <c r="B1" s="1984"/>
      <c r="C1" s="1984"/>
      <c r="D1" s="1985">
        <f>+Cover!E10</f>
        <v>0</v>
      </c>
      <c r="E1" s="1985"/>
      <c r="F1" s="818"/>
      <c r="G1" s="818"/>
      <c r="H1" s="818"/>
      <c r="I1" s="818"/>
      <c r="J1" s="818"/>
      <c r="K1" s="818"/>
      <c r="L1" s="818"/>
      <c r="M1" s="818"/>
      <c r="N1" s="818"/>
      <c r="O1" s="818"/>
      <c r="P1" s="1985">
        <f>+Cover!E10</f>
        <v>0</v>
      </c>
      <c r="Q1" s="1985"/>
      <c r="R1" s="818"/>
      <c r="S1" s="818"/>
      <c r="T1" s="818"/>
      <c r="U1" s="818"/>
      <c r="V1" s="818"/>
      <c r="W1" s="818"/>
      <c r="X1" s="818"/>
      <c r="Y1" s="818"/>
      <c r="Z1" s="1985">
        <f>+Cover!E10</f>
        <v>0</v>
      </c>
      <c r="AA1" s="1985"/>
      <c r="AB1" s="818"/>
      <c r="AC1" s="818"/>
      <c r="AD1" s="818"/>
      <c r="AE1" s="818"/>
      <c r="AF1" s="818"/>
      <c r="AG1" s="818"/>
      <c r="AH1" s="818"/>
    </row>
    <row r="2" spans="1:43" ht="14.25" thickTop="1" thickBot="1" x14ac:dyDescent="0.25">
      <c r="A2" s="30"/>
      <c r="B2" s="30"/>
      <c r="C2" s="21"/>
      <c r="D2" s="31">
        <v>1</v>
      </c>
      <c r="E2" s="31"/>
      <c r="F2" s="31">
        <f>D2+1</f>
        <v>2</v>
      </c>
      <c r="G2" s="31"/>
      <c r="H2" s="31">
        <f>F2+1</f>
        <v>3</v>
      </c>
      <c r="I2" s="31"/>
      <c r="J2" s="31">
        <f>H2+1</f>
        <v>4</v>
      </c>
      <c r="K2" s="31"/>
      <c r="L2" s="31">
        <f>J2+1</f>
        <v>5</v>
      </c>
      <c r="M2" s="31"/>
      <c r="N2" s="31">
        <f>L2+1</f>
        <v>6</v>
      </c>
      <c r="O2" s="31"/>
      <c r="P2" s="31">
        <f>N2+1</f>
        <v>7</v>
      </c>
      <c r="Q2" s="31"/>
      <c r="R2" s="31">
        <f>P2+1</f>
        <v>8</v>
      </c>
      <c r="S2" s="31"/>
      <c r="T2" s="31">
        <f>R2+1</f>
        <v>9</v>
      </c>
      <c r="U2" s="31"/>
      <c r="V2" s="31">
        <f>T2+1</f>
        <v>10</v>
      </c>
      <c r="W2" s="31"/>
      <c r="X2" s="31">
        <f>V2+1</f>
        <v>11</v>
      </c>
      <c r="Y2" s="31"/>
      <c r="Z2" s="31">
        <f>X2+1</f>
        <v>12</v>
      </c>
      <c r="AA2" s="31"/>
      <c r="AB2" s="31">
        <f>Z2+1</f>
        <v>13</v>
      </c>
      <c r="AC2" s="31"/>
      <c r="AD2" s="31">
        <f>AB2+1</f>
        <v>14</v>
      </c>
      <c r="AE2" s="31"/>
      <c r="AF2" s="31">
        <f>AD2+1</f>
        <v>15</v>
      </c>
      <c r="AG2" s="31"/>
      <c r="AH2" s="31">
        <f>AF2+1</f>
        <v>16</v>
      </c>
      <c r="AI2" s="31"/>
      <c r="AJ2" s="31">
        <f>AH2+1</f>
        <v>17</v>
      </c>
      <c r="AK2" s="31"/>
      <c r="AL2" s="31">
        <f>AJ2+1</f>
        <v>18</v>
      </c>
      <c r="AM2" s="31"/>
      <c r="AN2" s="31">
        <f>AL2+1</f>
        <v>19</v>
      </c>
      <c r="AO2" s="31"/>
      <c r="AP2" s="31">
        <f>AN2+1</f>
        <v>20</v>
      </c>
      <c r="AQ2" s="31"/>
    </row>
    <row r="3" spans="1:43" ht="15" thickTop="1" thickBot="1" x14ac:dyDescent="0.3">
      <c r="A3" s="27"/>
      <c r="B3" s="32"/>
      <c r="C3" s="21"/>
      <c r="D3" s="33" t="s">
        <v>373</v>
      </c>
      <c r="E3" s="33" t="s">
        <v>374</v>
      </c>
      <c r="F3" s="33" t="s">
        <v>375</v>
      </c>
      <c r="G3" s="33" t="s">
        <v>374</v>
      </c>
      <c r="H3" s="33" t="s">
        <v>375</v>
      </c>
      <c r="I3" s="33" t="s">
        <v>374</v>
      </c>
      <c r="J3" s="33" t="s">
        <v>375</v>
      </c>
      <c r="K3" s="33" t="s">
        <v>374</v>
      </c>
      <c r="L3" s="33" t="s">
        <v>375</v>
      </c>
      <c r="M3" s="33" t="s">
        <v>374</v>
      </c>
      <c r="N3" s="33" t="s">
        <v>375</v>
      </c>
      <c r="O3" s="33" t="s">
        <v>374</v>
      </c>
      <c r="P3" s="33" t="s">
        <v>375</v>
      </c>
      <c r="Q3" s="33" t="s">
        <v>374</v>
      </c>
      <c r="R3" s="33" t="s">
        <v>375</v>
      </c>
      <c r="S3" s="33" t="s">
        <v>374</v>
      </c>
      <c r="T3" s="33" t="s">
        <v>375</v>
      </c>
      <c r="U3" s="33" t="s">
        <v>374</v>
      </c>
      <c r="V3" s="33" t="s">
        <v>375</v>
      </c>
      <c r="W3" s="33" t="s">
        <v>374</v>
      </c>
      <c r="X3" s="33" t="s">
        <v>375</v>
      </c>
      <c r="Y3" s="33" t="s">
        <v>374</v>
      </c>
      <c r="Z3" s="33" t="s">
        <v>375</v>
      </c>
      <c r="AA3" s="33" t="s">
        <v>374</v>
      </c>
      <c r="AB3" s="33" t="s">
        <v>375</v>
      </c>
      <c r="AC3" s="33" t="s">
        <v>374</v>
      </c>
      <c r="AD3" s="33" t="s">
        <v>375</v>
      </c>
      <c r="AE3" s="33" t="s">
        <v>374</v>
      </c>
      <c r="AF3" s="33" t="s">
        <v>375</v>
      </c>
      <c r="AG3" s="33" t="s">
        <v>374</v>
      </c>
      <c r="AH3" s="33" t="s">
        <v>375</v>
      </c>
      <c r="AI3" s="33" t="s">
        <v>374</v>
      </c>
      <c r="AJ3" s="33" t="s">
        <v>375</v>
      </c>
      <c r="AK3" s="33" t="s">
        <v>374</v>
      </c>
      <c r="AL3" s="33" t="s">
        <v>375</v>
      </c>
      <c r="AM3" s="33" t="s">
        <v>374</v>
      </c>
      <c r="AN3" s="33" t="s">
        <v>375</v>
      </c>
      <c r="AO3" s="33" t="s">
        <v>374</v>
      </c>
      <c r="AP3" s="33" t="s">
        <v>375</v>
      </c>
      <c r="AQ3" s="33" t="s">
        <v>374</v>
      </c>
    </row>
    <row r="4" spans="1:43" ht="15.75" thickTop="1" x14ac:dyDescent="0.25">
      <c r="A4" s="27"/>
      <c r="B4" s="34" t="s">
        <v>376</v>
      </c>
      <c r="C4" s="35"/>
      <c r="D4" s="36"/>
      <c r="E4" s="37"/>
      <c r="F4" s="38"/>
      <c r="G4" s="39"/>
      <c r="H4" s="38"/>
      <c r="I4" s="39"/>
      <c r="J4" s="38"/>
      <c r="K4" s="39"/>
      <c r="L4" s="40"/>
      <c r="M4" s="39"/>
      <c r="N4" s="38"/>
      <c r="O4" s="39"/>
      <c r="P4" s="38"/>
      <c r="Q4" s="39"/>
      <c r="R4" s="38"/>
      <c r="S4" s="39"/>
      <c r="T4" s="38"/>
      <c r="U4" s="39"/>
      <c r="V4" s="38"/>
      <c r="W4" s="39"/>
      <c r="X4" s="40"/>
      <c r="Y4" s="39"/>
      <c r="Z4" s="38"/>
      <c r="AA4" s="39"/>
      <c r="AB4" s="38"/>
      <c r="AC4" s="39"/>
      <c r="AD4" s="38"/>
      <c r="AE4" s="39"/>
      <c r="AF4" s="38"/>
      <c r="AG4" s="39"/>
      <c r="AH4" s="38"/>
      <c r="AI4" s="39"/>
      <c r="AJ4" s="38"/>
      <c r="AK4" s="39"/>
      <c r="AL4" s="38"/>
      <c r="AM4" s="39"/>
      <c r="AN4" s="38"/>
      <c r="AO4" s="39"/>
      <c r="AP4" s="38"/>
      <c r="AQ4" s="39"/>
    </row>
    <row r="5" spans="1:43" x14ac:dyDescent="0.2">
      <c r="A5" s="27"/>
      <c r="B5" s="41" t="s">
        <v>377</v>
      </c>
      <c r="C5" s="42"/>
      <c r="D5" s="43">
        <f>+'Pro Forma Calculation'!I11</f>
        <v>0</v>
      </c>
      <c r="E5" s="44">
        <f>IF(D5=0,0,D5/'Primary Input'!$J$29)</f>
        <v>0</v>
      </c>
      <c r="F5" s="43">
        <f>+D5*(1+'Pro Forma Calculation'!$J$11)</f>
        <v>0</v>
      </c>
      <c r="G5" s="44">
        <f>IF(F5=0,0,F5/'Primary Input'!$J$29)</f>
        <v>0</v>
      </c>
      <c r="H5" s="43">
        <f>+F5*(1+'Pro Forma Calculation'!$J$11)</f>
        <v>0</v>
      </c>
      <c r="I5" s="44">
        <f>IF(H5=0,0,H5/'Primary Input'!$J$29)</f>
        <v>0</v>
      </c>
      <c r="J5" s="43">
        <f>+H5*(1+'Pro Forma Calculation'!$J$11)</f>
        <v>0</v>
      </c>
      <c r="K5" s="44">
        <f>IF(J5=0,0,J5/'Primary Input'!$J$29)</f>
        <v>0</v>
      </c>
      <c r="L5" s="45">
        <f>+J5*(1+'Pro Forma Calculation'!$J$11)</f>
        <v>0</v>
      </c>
      <c r="M5" s="44">
        <f>IF(L5=0,0,L5/'Primary Input'!$J$29)</f>
        <v>0</v>
      </c>
      <c r="N5" s="43">
        <f>+L5*(1+'Pro Forma Calculation'!$J$11)</f>
        <v>0</v>
      </c>
      <c r="O5" s="44">
        <f>IF(N5=0,0,N5/'Primary Input'!$J$29)</f>
        <v>0</v>
      </c>
      <c r="P5" s="43">
        <f>+N5*(1+'Pro Forma Calculation'!$J$11)</f>
        <v>0</v>
      </c>
      <c r="Q5" s="44">
        <f>IF(P5=0,0,P5/'Primary Input'!$J$29)</f>
        <v>0</v>
      </c>
      <c r="R5" s="43">
        <f>+P5*(1+'Pro Forma Calculation'!$J$11)</f>
        <v>0</v>
      </c>
      <c r="S5" s="44">
        <f>IF(R5=0,0,R5/'Primary Input'!$J$29)</f>
        <v>0</v>
      </c>
      <c r="T5" s="43">
        <f>+R5*(1+'Pro Forma Calculation'!$J$11)</f>
        <v>0</v>
      </c>
      <c r="U5" s="44">
        <f>IF(T5=0,0,T5/'Primary Input'!$J$29)</f>
        <v>0</v>
      </c>
      <c r="V5" s="43">
        <f>+T5*(1+'Pro Forma Calculation'!$J$11)</f>
        <v>0</v>
      </c>
      <c r="W5" s="44">
        <f>IF(V5=0,0,V5/'Primary Input'!$J$29)</f>
        <v>0</v>
      </c>
      <c r="X5" s="45">
        <f>+V5*(1+'Pro Forma Calculation'!$J$11)</f>
        <v>0</v>
      </c>
      <c r="Y5" s="44">
        <f>IF(X5=0,0,X5/'Primary Input'!$J$29)</f>
        <v>0</v>
      </c>
      <c r="Z5" s="43">
        <f>+X5*(1+'Pro Forma Calculation'!$J$11)</f>
        <v>0</v>
      </c>
      <c r="AA5" s="44">
        <f>IF(Z5=0,0,Z5/'Primary Input'!$J$29)</f>
        <v>0</v>
      </c>
      <c r="AB5" s="43">
        <f>+Z5*(1+'Pro Forma Calculation'!$J$11)</f>
        <v>0</v>
      </c>
      <c r="AC5" s="44">
        <f>IF(AB5=0,0,AB5/'Primary Input'!$J$29)</f>
        <v>0</v>
      </c>
      <c r="AD5" s="43">
        <f>+AB5*(1+'Pro Forma Calculation'!$J$11)</f>
        <v>0</v>
      </c>
      <c r="AE5" s="44">
        <f>IF(AD5=0,0,AD5/'Primary Input'!$J$29)</f>
        <v>0</v>
      </c>
      <c r="AF5" s="43">
        <f>+AD5*(1+'Pro Forma Calculation'!$J$11)</f>
        <v>0</v>
      </c>
      <c r="AG5" s="44">
        <f>IF(AF5=0,0,AF5/'Primary Input'!$J$29)</f>
        <v>0</v>
      </c>
      <c r="AH5" s="43">
        <f>+AF5*(1+'Pro Forma Calculation'!$J$11)</f>
        <v>0</v>
      </c>
      <c r="AI5" s="44">
        <f>IF(AH5=0,0,AH5/'Primary Input'!$J$29)</f>
        <v>0</v>
      </c>
      <c r="AJ5" s="43">
        <f>+AH5*(1+'Pro Forma Calculation'!$J$11)</f>
        <v>0</v>
      </c>
      <c r="AK5" s="44">
        <f>IF(AJ5=0,0,AJ5/'Primary Input'!$J$29)</f>
        <v>0</v>
      </c>
      <c r="AL5" s="43">
        <f>+AJ5*(1+'Pro Forma Calculation'!$J$11)</f>
        <v>0</v>
      </c>
      <c r="AM5" s="44">
        <f>IF(AL5=0,0,AL5/'Primary Input'!$J$29)</f>
        <v>0</v>
      </c>
      <c r="AN5" s="43">
        <f>+AL5*(1+'Pro Forma Calculation'!$J$11)</f>
        <v>0</v>
      </c>
      <c r="AO5" s="44">
        <f>IF(AN5=0,0,AN5/'Primary Input'!$J$29)</f>
        <v>0</v>
      </c>
      <c r="AP5" s="43">
        <f>+AN5*(1+'Pro Forma Calculation'!$J$11)</f>
        <v>0</v>
      </c>
      <c r="AQ5" s="44">
        <f>IF(AP5=0,0,AP5/'Primary Input'!$J$29)</f>
        <v>0</v>
      </c>
    </row>
    <row r="6" spans="1:43" x14ac:dyDescent="0.2">
      <c r="A6" s="27"/>
      <c r="B6" s="41" t="s">
        <v>378</v>
      </c>
      <c r="C6" s="42"/>
      <c r="D6" s="43">
        <f>+'Pro Forma Calculation'!I17</f>
        <v>0</v>
      </c>
      <c r="E6" s="44">
        <f>IF(D6=0,0,D6/'Primary Input'!$J$29)</f>
        <v>0</v>
      </c>
      <c r="F6" s="43">
        <f>+D6*(1+'Pro Forma Calculation'!$J$11)</f>
        <v>0</v>
      </c>
      <c r="G6" s="44">
        <f>IF(F6=0,0,F6/'Primary Input'!$J$29)</f>
        <v>0</v>
      </c>
      <c r="H6" s="43">
        <f>+F6*(1+'Pro Forma Calculation'!$J$11)</f>
        <v>0</v>
      </c>
      <c r="I6" s="44">
        <f>IF(H6=0,0,H6/'Primary Input'!$J$29)</f>
        <v>0</v>
      </c>
      <c r="J6" s="43">
        <f>+H6*(1+'Pro Forma Calculation'!$J$11)</f>
        <v>0</v>
      </c>
      <c r="K6" s="44">
        <f>IF(J6=0,0,J6/'Primary Input'!$J$29)</f>
        <v>0</v>
      </c>
      <c r="L6" s="45">
        <f>+J6*(1+'Pro Forma Calculation'!$J$11)</f>
        <v>0</v>
      </c>
      <c r="M6" s="44">
        <f>IF(L6=0,0,L6/'Primary Input'!$J$29)</f>
        <v>0</v>
      </c>
      <c r="N6" s="43">
        <f>+L6*(1+'Pro Forma Calculation'!$J$11)</f>
        <v>0</v>
      </c>
      <c r="O6" s="44">
        <f>IF(N6=0,0,N6/'Primary Input'!$J$29)</f>
        <v>0</v>
      </c>
      <c r="P6" s="43">
        <f>+N6*(1+'Pro Forma Calculation'!$J$11)</f>
        <v>0</v>
      </c>
      <c r="Q6" s="44">
        <f>IF(P6=0,0,P6/'Primary Input'!$J$29)</f>
        <v>0</v>
      </c>
      <c r="R6" s="43">
        <f>+P6*(1+'Pro Forma Calculation'!$J$11)</f>
        <v>0</v>
      </c>
      <c r="S6" s="44">
        <f>IF(R6=0,0,R6/'Primary Input'!$J$29)</f>
        <v>0</v>
      </c>
      <c r="T6" s="43">
        <f>+R6*(1+'Pro Forma Calculation'!$J$11)</f>
        <v>0</v>
      </c>
      <c r="U6" s="44">
        <f>IF(T6=0,0,T6/'Primary Input'!$J$29)</f>
        <v>0</v>
      </c>
      <c r="V6" s="43">
        <f>+T6*(1+'Pro Forma Calculation'!$J$11)</f>
        <v>0</v>
      </c>
      <c r="W6" s="44">
        <f>IF(V6=0,0,V6/'Primary Input'!$J$29)</f>
        <v>0</v>
      </c>
      <c r="X6" s="45">
        <f>+V6*(1+'Pro Forma Calculation'!$J$11)</f>
        <v>0</v>
      </c>
      <c r="Y6" s="44">
        <f>IF(X6=0,0,X6/'Primary Input'!$J$29)</f>
        <v>0</v>
      </c>
      <c r="Z6" s="43">
        <f>+X6*(1+'Pro Forma Calculation'!$J$11)</f>
        <v>0</v>
      </c>
      <c r="AA6" s="44">
        <f>IF(Z6=0,0,Z6/'Primary Input'!$J$29)</f>
        <v>0</v>
      </c>
      <c r="AB6" s="43">
        <f>+Z6*(1+'Pro Forma Calculation'!$J$11)</f>
        <v>0</v>
      </c>
      <c r="AC6" s="44">
        <f>IF(AB6=0,0,AB6/'Primary Input'!$J$29)</f>
        <v>0</v>
      </c>
      <c r="AD6" s="43">
        <f>+AB6*(1+'Pro Forma Calculation'!$J$11)</f>
        <v>0</v>
      </c>
      <c r="AE6" s="44">
        <f>IF(AD6=0,0,AD6/'Primary Input'!$J$29)</f>
        <v>0</v>
      </c>
      <c r="AF6" s="43">
        <f>+AD6*(1+'Pro Forma Calculation'!$J$11)</f>
        <v>0</v>
      </c>
      <c r="AG6" s="44">
        <f>IF(AF6=0,0,AF6/'Primary Input'!$J$29)</f>
        <v>0</v>
      </c>
      <c r="AH6" s="43">
        <f>+AF6*(1+'Pro Forma Calculation'!$J$11)</f>
        <v>0</v>
      </c>
      <c r="AI6" s="44">
        <f>IF(AH6=0,0,AH6/'Primary Input'!$J$29)</f>
        <v>0</v>
      </c>
      <c r="AJ6" s="43">
        <f>+AH6*(1+'Pro Forma Calculation'!$J$11)</f>
        <v>0</v>
      </c>
      <c r="AK6" s="44">
        <f>IF(AJ6=0,0,AJ6/'Primary Input'!$J$29)</f>
        <v>0</v>
      </c>
      <c r="AL6" s="43">
        <f>+AJ6*(1+'Pro Forma Calculation'!$J$11)</f>
        <v>0</v>
      </c>
      <c r="AM6" s="44">
        <f>IF(AL6=0,0,AL6/'Primary Input'!$J$29)</f>
        <v>0</v>
      </c>
      <c r="AN6" s="43">
        <f>+AL6*(1+'Pro Forma Calculation'!$J$11)</f>
        <v>0</v>
      </c>
      <c r="AO6" s="44">
        <f>IF(AN6=0,0,AN6/'Primary Input'!$J$29)</f>
        <v>0</v>
      </c>
      <c r="AP6" s="43">
        <f>+AN6*(1+'Pro Forma Calculation'!$J$11)</f>
        <v>0</v>
      </c>
      <c r="AQ6" s="44">
        <f>IF(AP6=0,0,AP6/'Primary Input'!$J$29)</f>
        <v>0</v>
      </c>
    </row>
    <row r="7" spans="1:43" x14ac:dyDescent="0.2">
      <c r="A7" s="27"/>
      <c r="B7" s="41" t="s">
        <v>379</v>
      </c>
      <c r="C7" s="42"/>
      <c r="D7" s="43">
        <f>+'Pro Forma Calculation'!I25</f>
        <v>0</v>
      </c>
      <c r="E7" s="44">
        <f>IF(D7=0,0,D7/'Primary Input'!$J$29)</f>
        <v>0</v>
      </c>
      <c r="F7" s="43">
        <f>+D7*(1+'Pro Forma Calculation'!$J$25)</f>
        <v>0</v>
      </c>
      <c r="G7" s="44">
        <f>IF(F7=0,0,F7/'Primary Input'!$J$29)</f>
        <v>0</v>
      </c>
      <c r="H7" s="43">
        <f>+F7*(1+'Pro Forma Calculation'!$J$25)</f>
        <v>0</v>
      </c>
      <c r="I7" s="44">
        <f>IF(H7=0,0,H7/'Primary Input'!$J$29)</f>
        <v>0</v>
      </c>
      <c r="J7" s="43">
        <f>+H7*(1+'Pro Forma Calculation'!$J$25)</f>
        <v>0</v>
      </c>
      <c r="K7" s="44">
        <f>IF(J7=0,0,J7/'Primary Input'!$J$29)</f>
        <v>0</v>
      </c>
      <c r="L7" s="45">
        <f>+J7*(1+'Pro Forma Calculation'!$J$25)</f>
        <v>0</v>
      </c>
      <c r="M7" s="44">
        <f>IF(L7=0,0,L7/'Primary Input'!$J$29)</f>
        <v>0</v>
      </c>
      <c r="N7" s="43">
        <f>+L7*(1+'Pro Forma Calculation'!$J$25)</f>
        <v>0</v>
      </c>
      <c r="O7" s="44">
        <f>IF(N7=0,0,N7/'Primary Input'!$J$29)</f>
        <v>0</v>
      </c>
      <c r="P7" s="43">
        <f>+N7*(1+'Pro Forma Calculation'!$J$25)</f>
        <v>0</v>
      </c>
      <c r="Q7" s="44">
        <f>IF(P7=0,0,P7/'Primary Input'!$J$29)</f>
        <v>0</v>
      </c>
      <c r="R7" s="43">
        <f>+P7*(1+'Pro Forma Calculation'!$J$25)</f>
        <v>0</v>
      </c>
      <c r="S7" s="44">
        <f>IF(R7=0,0,R7/'Primary Input'!$J$29)</f>
        <v>0</v>
      </c>
      <c r="T7" s="43">
        <f>+R7*(1+'Pro Forma Calculation'!$J$25)</f>
        <v>0</v>
      </c>
      <c r="U7" s="44">
        <f>IF(T7=0,0,T7/'Primary Input'!$J$29)</f>
        <v>0</v>
      </c>
      <c r="V7" s="43">
        <f>+T7*(1+'Pro Forma Calculation'!$J$25)</f>
        <v>0</v>
      </c>
      <c r="W7" s="44">
        <f>IF(V7=0,0,V7/'Primary Input'!$J$29)</f>
        <v>0</v>
      </c>
      <c r="X7" s="45">
        <f>+V7*(1+'Pro Forma Calculation'!$J$25)</f>
        <v>0</v>
      </c>
      <c r="Y7" s="44">
        <f>IF(X7=0,0,X7/'Primary Input'!$J$29)</f>
        <v>0</v>
      </c>
      <c r="Z7" s="43">
        <f>+X7*(1+'Pro Forma Calculation'!$J$25)</f>
        <v>0</v>
      </c>
      <c r="AA7" s="44">
        <f>IF(Z7=0,0,Z7/'Primary Input'!$J$29)</f>
        <v>0</v>
      </c>
      <c r="AB7" s="43">
        <f>+Z7*(1+'Pro Forma Calculation'!$J$25)</f>
        <v>0</v>
      </c>
      <c r="AC7" s="44">
        <f>IF(AB7=0,0,AB7/'Primary Input'!$J$29)</f>
        <v>0</v>
      </c>
      <c r="AD7" s="43">
        <f>+AB7*(1+'Pro Forma Calculation'!$J$25)</f>
        <v>0</v>
      </c>
      <c r="AE7" s="44">
        <f>IF(AD7=0,0,AD7/'Primary Input'!$J$29)</f>
        <v>0</v>
      </c>
      <c r="AF7" s="43">
        <f>+AD7*(1+'Pro Forma Calculation'!$J$25)</f>
        <v>0</v>
      </c>
      <c r="AG7" s="44">
        <f>IF(AF7=0,0,AF7/'Primary Input'!$J$29)</f>
        <v>0</v>
      </c>
      <c r="AH7" s="43">
        <f>+AF7*(1+'Pro Forma Calculation'!$J$25)</f>
        <v>0</v>
      </c>
      <c r="AI7" s="44">
        <f>IF(AH7=0,0,AH7/'Primary Input'!$J$29)</f>
        <v>0</v>
      </c>
      <c r="AJ7" s="43">
        <f>+AH7*(1+'Pro Forma Calculation'!$J$25)</f>
        <v>0</v>
      </c>
      <c r="AK7" s="44">
        <f>IF(AJ7=0,0,AJ7/'Primary Input'!$J$29)</f>
        <v>0</v>
      </c>
      <c r="AL7" s="43">
        <f>+AJ7*(1+'Pro Forma Calculation'!$J$25)</f>
        <v>0</v>
      </c>
      <c r="AM7" s="44">
        <f>IF(AL7=0,0,AL7/'Primary Input'!$J$29)</f>
        <v>0</v>
      </c>
      <c r="AN7" s="43">
        <f>+AL7*(1+'Pro Forma Calculation'!$J$25)</f>
        <v>0</v>
      </c>
      <c r="AO7" s="44">
        <f>IF(AN7=0,0,AN7/'Primary Input'!$J$29)</f>
        <v>0</v>
      </c>
      <c r="AP7" s="43">
        <f>+AN7*(1+'Pro Forma Calculation'!$J$25)</f>
        <v>0</v>
      </c>
      <c r="AQ7" s="44">
        <f>IF(AP7=0,0,AP7/'Primary Input'!$J$29)</f>
        <v>0</v>
      </c>
    </row>
    <row r="8" spans="1:43" x14ac:dyDescent="0.2">
      <c r="A8" s="27"/>
      <c r="B8" s="41"/>
      <c r="C8" s="42"/>
      <c r="D8" s="43"/>
      <c r="E8" s="44"/>
      <c r="F8" s="43"/>
      <c r="G8" s="44"/>
      <c r="H8" s="43"/>
      <c r="I8" s="44"/>
      <c r="J8" s="43"/>
      <c r="K8" s="44"/>
      <c r="L8" s="45"/>
      <c r="M8" s="44"/>
      <c r="N8" s="43"/>
      <c r="O8" s="44"/>
      <c r="P8" s="43"/>
      <c r="Q8" s="44"/>
      <c r="R8" s="43"/>
      <c r="S8" s="44"/>
      <c r="T8" s="43"/>
      <c r="U8" s="44"/>
      <c r="V8" s="43"/>
      <c r="W8" s="44"/>
      <c r="X8" s="45"/>
      <c r="Y8" s="44"/>
      <c r="Z8" s="43"/>
      <c r="AA8" s="44"/>
      <c r="AB8" s="43"/>
      <c r="AC8" s="44"/>
      <c r="AD8" s="43"/>
      <c r="AE8" s="44"/>
      <c r="AF8" s="43"/>
      <c r="AG8" s="44"/>
      <c r="AH8" s="43"/>
      <c r="AI8" s="44"/>
      <c r="AJ8" s="43"/>
      <c r="AK8" s="44"/>
      <c r="AL8" s="43"/>
      <c r="AM8" s="44"/>
      <c r="AN8" s="43"/>
      <c r="AO8" s="44"/>
      <c r="AP8" s="43"/>
      <c r="AQ8" s="44"/>
    </row>
    <row r="9" spans="1:43" ht="15" x14ac:dyDescent="0.25">
      <c r="A9" s="46"/>
      <c r="B9" s="47" t="s">
        <v>380</v>
      </c>
      <c r="C9" s="48"/>
      <c r="D9" s="49">
        <f>SUM(D5:D7)</f>
        <v>0</v>
      </c>
      <c r="E9" s="44">
        <f>IF(D9=0,0,D9/'Primary Input'!$J$29)</f>
        <v>0</v>
      </c>
      <c r="F9" s="50">
        <f>SUM(F5:F7)</f>
        <v>0</v>
      </c>
      <c r="G9" s="44">
        <f>IF(F9=0,0,F9/'Primary Input'!$J$29)</f>
        <v>0</v>
      </c>
      <c r="H9" s="50">
        <f>SUM(H5:H7)</f>
        <v>0</v>
      </c>
      <c r="I9" s="44">
        <f>IF(H9=0,0,H9/'Primary Input'!$J$29)</f>
        <v>0</v>
      </c>
      <c r="J9" s="50">
        <f>SUM(J5:J7)</f>
        <v>0</v>
      </c>
      <c r="K9" s="44">
        <f>IF(J9=0,0,J9/'Primary Input'!$J$29)</f>
        <v>0</v>
      </c>
      <c r="L9" s="50">
        <f>SUM(L5:L7)</f>
        <v>0</v>
      </c>
      <c r="M9" s="44">
        <f>IF(L9=0,0,L9/'Primary Input'!$J$29)</f>
        <v>0</v>
      </c>
      <c r="N9" s="50">
        <f>SUM(N5:N7)</f>
        <v>0</v>
      </c>
      <c r="O9" s="44">
        <f>IF(N9=0,0,N9/'Primary Input'!$J$29)</f>
        <v>0</v>
      </c>
      <c r="P9" s="50">
        <f>SUM(P5:P7)</f>
        <v>0</v>
      </c>
      <c r="Q9" s="44">
        <f>IF(P9=0,0,P9/'Primary Input'!$J$29)</f>
        <v>0</v>
      </c>
      <c r="R9" s="50">
        <f>SUM(R5:R7)</f>
        <v>0</v>
      </c>
      <c r="S9" s="44">
        <f>IF(R9=0,0,R9/'Primary Input'!$J$29)</f>
        <v>0</v>
      </c>
      <c r="T9" s="50">
        <f>SUM(T5:T7)</f>
        <v>0</v>
      </c>
      <c r="U9" s="44">
        <f>IF(T9=0,0,T9/'Primary Input'!$J$29)</f>
        <v>0</v>
      </c>
      <c r="V9" s="50">
        <f>SUM(V5:V7)</f>
        <v>0</v>
      </c>
      <c r="W9" s="44">
        <f>IF(V9=0,0,V9/'Primary Input'!$J$29)</f>
        <v>0</v>
      </c>
      <c r="X9" s="50">
        <f>SUM(X5:X7)</f>
        <v>0</v>
      </c>
      <c r="Y9" s="44">
        <f>IF(X9=0,0,X9/'Primary Input'!$J$29)</f>
        <v>0</v>
      </c>
      <c r="Z9" s="50">
        <f>SUM(Z5:Z7)</f>
        <v>0</v>
      </c>
      <c r="AA9" s="44">
        <f>IF(Z9=0,0,Z9/'Primary Input'!$J$29)</f>
        <v>0</v>
      </c>
      <c r="AB9" s="50">
        <f>SUM(AB5:AB7)</f>
        <v>0</v>
      </c>
      <c r="AC9" s="44">
        <f>IF(AB9=0,0,AB9/'Primary Input'!$J$29)</f>
        <v>0</v>
      </c>
      <c r="AD9" s="50">
        <f>SUM(AD5:AD7)</f>
        <v>0</v>
      </c>
      <c r="AE9" s="44">
        <f>IF(AD9=0,0,AD9/'Primary Input'!$J$29)</f>
        <v>0</v>
      </c>
      <c r="AF9" s="50">
        <f>SUM(AF5:AF7)</f>
        <v>0</v>
      </c>
      <c r="AG9" s="44">
        <f>IF(AF9=0,0,AF9/'Primary Input'!$J$29)</f>
        <v>0</v>
      </c>
      <c r="AH9" s="50">
        <f>SUM(AH5:AH7)</f>
        <v>0</v>
      </c>
      <c r="AI9" s="44">
        <f>IF(AH9=0,0,AH9/'Primary Input'!$J$29)</f>
        <v>0</v>
      </c>
      <c r="AJ9" s="50">
        <f>SUM(AJ5:AJ7)</f>
        <v>0</v>
      </c>
      <c r="AK9" s="44">
        <f>IF(AJ9=0,0,AJ9/'Primary Input'!$J$29)</f>
        <v>0</v>
      </c>
      <c r="AL9" s="50">
        <f>SUM(AL5:AL7)</f>
        <v>0</v>
      </c>
      <c r="AM9" s="44">
        <f>IF(AL9=0,0,AL9/'Primary Input'!$J$29)</f>
        <v>0</v>
      </c>
      <c r="AN9" s="50">
        <f>SUM(AN5:AN7)</f>
        <v>0</v>
      </c>
      <c r="AO9" s="44">
        <f>IF(AN9=0,0,AN9/'Primary Input'!$J$29)</f>
        <v>0</v>
      </c>
      <c r="AP9" s="50">
        <f>SUM(AP5:AP7)</f>
        <v>0</v>
      </c>
      <c r="AQ9" s="44">
        <f>IF(AP9=0,0,AP9/'Primary Input'!$J$29)</f>
        <v>0</v>
      </c>
    </row>
    <row r="10" spans="1:43" x14ac:dyDescent="0.2">
      <c r="A10" s="27"/>
      <c r="B10" s="41"/>
      <c r="C10" s="42"/>
      <c r="D10" s="43"/>
      <c r="E10" s="44"/>
      <c r="F10" s="43"/>
      <c r="G10" s="44"/>
      <c r="H10" s="43"/>
      <c r="I10" s="44"/>
      <c r="J10" s="43"/>
      <c r="K10" s="44"/>
      <c r="L10" s="45"/>
      <c r="M10" s="44"/>
      <c r="N10" s="43"/>
      <c r="O10" s="44"/>
      <c r="P10" s="43"/>
      <c r="Q10" s="44"/>
      <c r="R10" s="43"/>
      <c r="S10" s="44"/>
      <c r="T10" s="43"/>
      <c r="U10" s="44"/>
      <c r="V10" s="43"/>
      <c r="W10" s="44"/>
      <c r="X10" s="45"/>
      <c r="Y10" s="44"/>
      <c r="Z10" s="43"/>
      <c r="AA10" s="44"/>
      <c r="AB10" s="43"/>
      <c r="AC10" s="44"/>
      <c r="AD10" s="43"/>
      <c r="AE10" s="44"/>
      <c r="AF10" s="43"/>
      <c r="AG10" s="44"/>
      <c r="AH10" s="43"/>
      <c r="AI10" s="44"/>
      <c r="AJ10" s="43"/>
      <c r="AK10" s="44"/>
      <c r="AL10" s="43"/>
      <c r="AM10" s="44"/>
      <c r="AN10" s="43"/>
      <c r="AO10" s="44"/>
      <c r="AP10" s="43"/>
      <c r="AQ10" s="44"/>
    </row>
    <row r="11" spans="1:43" ht="15" x14ac:dyDescent="0.25">
      <c r="A11" s="27"/>
      <c r="B11" s="51" t="s">
        <v>381</v>
      </c>
      <c r="C11" s="42"/>
      <c r="D11" s="43"/>
      <c r="E11" s="44"/>
      <c r="F11" s="43"/>
      <c r="G11" s="44"/>
      <c r="H11" s="43"/>
      <c r="I11" s="44"/>
      <c r="J11" s="43"/>
      <c r="K11" s="44"/>
      <c r="L11" s="45"/>
      <c r="M11" s="44"/>
      <c r="N11" s="43"/>
      <c r="O11" s="44"/>
      <c r="P11" s="43"/>
      <c r="Q11" s="44"/>
      <c r="R11" s="43"/>
      <c r="S11" s="44"/>
      <c r="T11" s="43"/>
      <c r="U11" s="44"/>
      <c r="V11" s="43"/>
      <c r="W11" s="44"/>
      <c r="X11" s="45"/>
      <c r="Y11" s="44"/>
      <c r="Z11" s="43"/>
      <c r="AA11" s="44"/>
      <c r="AB11" s="43"/>
      <c r="AC11" s="44"/>
      <c r="AD11" s="43"/>
      <c r="AE11" s="44"/>
      <c r="AF11" s="43"/>
      <c r="AG11" s="44"/>
      <c r="AH11" s="43"/>
      <c r="AI11" s="44"/>
      <c r="AJ11" s="43"/>
      <c r="AK11" s="44"/>
      <c r="AL11" s="43"/>
      <c r="AM11" s="44"/>
      <c r="AN11" s="43"/>
      <c r="AO11" s="44"/>
      <c r="AP11" s="43"/>
      <c r="AQ11" s="44"/>
    </row>
    <row r="12" spans="1:43" x14ac:dyDescent="0.2">
      <c r="A12" s="27"/>
      <c r="B12" s="52" t="s">
        <v>382</v>
      </c>
      <c r="C12" s="42"/>
      <c r="D12" s="43">
        <f>+'Pro Forma Calculation'!I33</f>
        <v>0</v>
      </c>
      <c r="E12" s="44">
        <f>IF(D12=0,0,D12/'Primary Input'!$J$29)</f>
        <v>0</v>
      </c>
      <c r="F12" s="43">
        <f>+D12*(1+'Pro Forma Calculation'!$J$33)</f>
        <v>0</v>
      </c>
      <c r="G12" s="44">
        <f>IF(F12=0,0,F12/'Primary Input'!$J$29)</f>
        <v>0</v>
      </c>
      <c r="H12" s="43">
        <f>+F12*(1+'Pro Forma Calculation'!$J$33)</f>
        <v>0</v>
      </c>
      <c r="I12" s="44">
        <f>IF(H12=0,0,H12/'Primary Input'!$J$29)</f>
        <v>0</v>
      </c>
      <c r="J12" s="43">
        <f>+H12*(1+'Pro Forma Calculation'!$J$33)</f>
        <v>0</v>
      </c>
      <c r="K12" s="44">
        <f>IF(J12=0,0,J12/'Primary Input'!$J$29)</f>
        <v>0</v>
      </c>
      <c r="L12" s="45">
        <f>+J12*(1+'Pro Forma Calculation'!$J$33)</f>
        <v>0</v>
      </c>
      <c r="M12" s="44">
        <f>IF(L12=0,0,L12/'Primary Input'!$J$29)</f>
        <v>0</v>
      </c>
      <c r="N12" s="43">
        <f>+L12*(1+'Pro Forma Calculation'!$J$33)</f>
        <v>0</v>
      </c>
      <c r="O12" s="44">
        <f>IF(N12=0,0,N12/'Primary Input'!$J$29)</f>
        <v>0</v>
      </c>
      <c r="P12" s="43">
        <f>+N12*(1+'Pro Forma Calculation'!$J$33)</f>
        <v>0</v>
      </c>
      <c r="Q12" s="44">
        <f>IF(P12=0,0,P12/'Primary Input'!$J$29)</f>
        <v>0</v>
      </c>
      <c r="R12" s="43">
        <f>+P12*(1+'Pro Forma Calculation'!$J$33)</f>
        <v>0</v>
      </c>
      <c r="S12" s="44">
        <f>IF(R12=0,0,R12/'Primary Input'!$J$29)</f>
        <v>0</v>
      </c>
      <c r="T12" s="43">
        <f>+R12*(1+'Pro Forma Calculation'!$J$33)</f>
        <v>0</v>
      </c>
      <c r="U12" s="44">
        <f>IF(T12=0,0,T12/'Primary Input'!$J$29)</f>
        <v>0</v>
      </c>
      <c r="V12" s="43">
        <f>+T12*(1+'Pro Forma Calculation'!$J$33)</f>
        <v>0</v>
      </c>
      <c r="W12" s="44">
        <f>IF(V12=0,0,V12/'Primary Input'!$J$29)</f>
        <v>0</v>
      </c>
      <c r="X12" s="45">
        <f>+V12*(1+'Pro Forma Calculation'!$J$33)</f>
        <v>0</v>
      </c>
      <c r="Y12" s="44">
        <f>IF(X12=0,0,X12/'Primary Input'!$J$29)</f>
        <v>0</v>
      </c>
      <c r="Z12" s="43">
        <f>+X12*(1+'Pro Forma Calculation'!$J$33)</f>
        <v>0</v>
      </c>
      <c r="AA12" s="44">
        <f>IF(Z12=0,0,Z12/'Primary Input'!$J$29)</f>
        <v>0</v>
      </c>
      <c r="AB12" s="43">
        <f>+Z12*(1+'Pro Forma Calculation'!$J$33)</f>
        <v>0</v>
      </c>
      <c r="AC12" s="44">
        <f>IF(AB12=0,0,AB12/'Primary Input'!$J$29)</f>
        <v>0</v>
      </c>
      <c r="AD12" s="43">
        <f>+AB12*(1+'Pro Forma Calculation'!$J$33)</f>
        <v>0</v>
      </c>
      <c r="AE12" s="44">
        <f>IF(AD12=0,0,AD12/'Primary Input'!$J$29)</f>
        <v>0</v>
      </c>
      <c r="AF12" s="43">
        <f>+AD12*(1+'Pro Forma Calculation'!$J$33)</f>
        <v>0</v>
      </c>
      <c r="AG12" s="44">
        <f>IF(AF12=0,0,AF12/'Primary Input'!$J$29)</f>
        <v>0</v>
      </c>
      <c r="AH12" s="43">
        <f>+AF12*(1+'Pro Forma Calculation'!$J$33)</f>
        <v>0</v>
      </c>
      <c r="AI12" s="44">
        <f>IF(AH12=0,0,AH12/'Primary Input'!$J$29)</f>
        <v>0</v>
      </c>
      <c r="AJ12" s="43">
        <f>+AH12*(1+'Pro Forma Calculation'!$J$33)</f>
        <v>0</v>
      </c>
      <c r="AK12" s="44">
        <f>IF(AJ12=0,0,AJ12/'Primary Input'!$J$29)</f>
        <v>0</v>
      </c>
      <c r="AL12" s="43">
        <f>+AJ12*(1+'Pro Forma Calculation'!$J$33)</f>
        <v>0</v>
      </c>
      <c r="AM12" s="44">
        <f>IF(AL12=0,0,AL12/'Primary Input'!$J$29)</f>
        <v>0</v>
      </c>
      <c r="AN12" s="43">
        <f>+AL12*(1+'Pro Forma Calculation'!$J$33)</f>
        <v>0</v>
      </c>
      <c r="AO12" s="44">
        <f>IF(AN12=0,0,AN12/'Primary Input'!$J$29)</f>
        <v>0</v>
      </c>
      <c r="AP12" s="43">
        <f>+AN12*(1+'Pro Forma Calculation'!$J$33)</f>
        <v>0</v>
      </c>
      <c r="AQ12" s="44">
        <f>IF(AP12=0,0,AP12/'Primary Input'!$J$29)</f>
        <v>0</v>
      </c>
    </row>
    <row r="13" spans="1:43" x14ac:dyDescent="0.2">
      <c r="A13" s="27"/>
      <c r="B13" s="41" t="s">
        <v>383</v>
      </c>
      <c r="C13" s="42"/>
      <c r="D13" s="45">
        <f>+'Pro Forma Calculation'!I40</f>
        <v>0</v>
      </c>
      <c r="E13" s="44">
        <f>IF(D13=0,0,D13/'Primary Input'!$J$29)</f>
        <v>0</v>
      </c>
      <c r="F13" s="43">
        <f>+D13*(1+'Pro Forma Calculation'!$J$40)</f>
        <v>0</v>
      </c>
      <c r="G13" s="44">
        <f>IF(F13=0,0,F13/'Primary Input'!$J$29)</f>
        <v>0</v>
      </c>
      <c r="H13" s="43">
        <f>+F13*(1+'Pro Forma Calculation'!$J$40)</f>
        <v>0</v>
      </c>
      <c r="I13" s="44">
        <f>IF(H13=0,0,H13/'Primary Input'!$J$29)</f>
        <v>0</v>
      </c>
      <c r="J13" s="43">
        <f>+H13*(1+'Pro Forma Calculation'!$J$40)</f>
        <v>0</v>
      </c>
      <c r="K13" s="44">
        <f>IF(J13=0,0,J13/'Primary Input'!$J$29)</f>
        <v>0</v>
      </c>
      <c r="L13" s="45">
        <f>+J13*(1+'Pro Forma Calculation'!$J$40)</f>
        <v>0</v>
      </c>
      <c r="M13" s="44">
        <f>IF(L13=0,0,L13/'Primary Input'!$J$29)</f>
        <v>0</v>
      </c>
      <c r="N13" s="43">
        <f>+L13*(1+'Pro Forma Calculation'!$J$40)</f>
        <v>0</v>
      </c>
      <c r="O13" s="44">
        <f>IF(N13=0,0,N13/'Primary Input'!$J$29)</f>
        <v>0</v>
      </c>
      <c r="P13" s="43">
        <f>+N13*(1+'Pro Forma Calculation'!$J$40)</f>
        <v>0</v>
      </c>
      <c r="Q13" s="44">
        <f>IF(P13=0,0,P13/'Primary Input'!$J$29)</f>
        <v>0</v>
      </c>
      <c r="R13" s="43">
        <f>+P13*(1+'Pro Forma Calculation'!$J$40)</f>
        <v>0</v>
      </c>
      <c r="S13" s="44">
        <f>IF(R13=0,0,R13/'Primary Input'!$J$29)</f>
        <v>0</v>
      </c>
      <c r="T13" s="43">
        <f>+R13*(1+'Pro Forma Calculation'!$J$40)</f>
        <v>0</v>
      </c>
      <c r="U13" s="44">
        <f>IF(T13=0,0,T13/'Primary Input'!$J$29)</f>
        <v>0</v>
      </c>
      <c r="V13" s="43">
        <f>+T13*(1+'Pro Forma Calculation'!$J$40)</f>
        <v>0</v>
      </c>
      <c r="W13" s="44">
        <f>IF(V13=0,0,V13/'Primary Input'!$J$29)</f>
        <v>0</v>
      </c>
      <c r="X13" s="45">
        <f>+V13*(1+'Pro Forma Calculation'!$J$40)</f>
        <v>0</v>
      </c>
      <c r="Y13" s="44">
        <f>IF(X13=0,0,X13/'Primary Input'!$J$29)</f>
        <v>0</v>
      </c>
      <c r="Z13" s="43">
        <f>+X13*(1+'Pro Forma Calculation'!$J$40)</f>
        <v>0</v>
      </c>
      <c r="AA13" s="44">
        <f>IF(Z13=0,0,Z13/'Primary Input'!$J$29)</f>
        <v>0</v>
      </c>
      <c r="AB13" s="43">
        <f>+Z13*(1+'Pro Forma Calculation'!$J$40)</f>
        <v>0</v>
      </c>
      <c r="AC13" s="44">
        <f>IF(AB13=0,0,AB13/'Primary Input'!$J$29)</f>
        <v>0</v>
      </c>
      <c r="AD13" s="43">
        <f>+AB13*(1+'Pro Forma Calculation'!$J$40)</f>
        <v>0</v>
      </c>
      <c r="AE13" s="44">
        <f>IF(AD13=0,0,AD13/'Primary Input'!$J$29)</f>
        <v>0</v>
      </c>
      <c r="AF13" s="43">
        <f>+AD13*(1+'Pro Forma Calculation'!$J$40)</f>
        <v>0</v>
      </c>
      <c r="AG13" s="44">
        <f>IF(AF13=0,0,AF13/'Primary Input'!$J$29)</f>
        <v>0</v>
      </c>
      <c r="AH13" s="43">
        <f>+AF13*(1+'Pro Forma Calculation'!$J$40)</f>
        <v>0</v>
      </c>
      <c r="AI13" s="44">
        <f>IF(AH13=0,0,AH13/'Primary Input'!$J$29)</f>
        <v>0</v>
      </c>
      <c r="AJ13" s="43">
        <f>+AH13*(1+'Pro Forma Calculation'!$J$40)</f>
        <v>0</v>
      </c>
      <c r="AK13" s="44">
        <f>IF(AJ13=0,0,AJ13/'Primary Input'!$J$29)</f>
        <v>0</v>
      </c>
      <c r="AL13" s="43">
        <f>+AJ13*(1+'Pro Forma Calculation'!$J$40)</f>
        <v>0</v>
      </c>
      <c r="AM13" s="44">
        <f>IF(AL13=0,0,AL13/'Primary Input'!$J$29)</f>
        <v>0</v>
      </c>
      <c r="AN13" s="43">
        <f>+AL13*(1+'Pro Forma Calculation'!$J$40)</f>
        <v>0</v>
      </c>
      <c r="AO13" s="44">
        <f>IF(AN13=0,0,AN13/'Primary Input'!$J$29)</f>
        <v>0</v>
      </c>
      <c r="AP13" s="43">
        <f>+AN13*(1+'Pro Forma Calculation'!$J$40)</f>
        <v>0</v>
      </c>
      <c r="AQ13" s="44">
        <f>IF(AP13=0,0,AP13/'Primary Input'!$J$29)</f>
        <v>0</v>
      </c>
    </row>
    <row r="14" spans="1:43" x14ac:dyDescent="0.2">
      <c r="A14" s="27"/>
      <c r="B14" s="52" t="s">
        <v>384</v>
      </c>
      <c r="C14" s="42"/>
      <c r="D14" s="43">
        <f>+'Pro Forma Calculation'!I49</f>
        <v>0</v>
      </c>
      <c r="E14" s="44">
        <f>IF(D14=0,0,D14/'Primary Input'!$J$29)</f>
        <v>0</v>
      </c>
      <c r="F14" s="43">
        <f>+D14*(1+'Pro Forma Calculation'!$J$49)</f>
        <v>0</v>
      </c>
      <c r="G14" s="44">
        <f>IF(F14=0,0,F14/'Primary Input'!$J$29)</f>
        <v>0</v>
      </c>
      <c r="H14" s="43">
        <f>+F14*(1+'Pro Forma Calculation'!$J$49)</f>
        <v>0</v>
      </c>
      <c r="I14" s="44">
        <f>IF(H14=0,0,H14/'Primary Input'!$J$29)</f>
        <v>0</v>
      </c>
      <c r="J14" s="43">
        <f>+H14*(1+'Pro Forma Calculation'!$J$49)</f>
        <v>0</v>
      </c>
      <c r="K14" s="44">
        <f>IF(J14=0,0,J14/'Primary Input'!$J$29)</f>
        <v>0</v>
      </c>
      <c r="L14" s="45">
        <f>+J14*(1+'Pro Forma Calculation'!$J$49)</f>
        <v>0</v>
      </c>
      <c r="M14" s="44">
        <f>IF(L14=0,0,L14/'Primary Input'!$J$29)</f>
        <v>0</v>
      </c>
      <c r="N14" s="43">
        <f>+L14*(1+'Pro Forma Calculation'!$J$49)</f>
        <v>0</v>
      </c>
      <c r="O14" s="44">
        <f>IF(N14=0,0,N14/'Primary Input'!$J$29)</f>
        <v>0</v>
      </c>
      <c r="P14" s="43">
        <f>+N14*(1+'Pro Forma Calculation'!$J$49)</f>
        <v>0</v>
      </c>
      <c r="Q14" s="44">
        <f>IF(P14=0,0,P14/'Primary Input'!$J$29)</f>
        <v>0</v>
      </c>
      <c r="R14" s="43">
        <f>+P14*(1+'Pro Forma Calculation'!$J$49)</f>
        <v>0</v>
      </c>
      <c r="S14" s="44">
        <f>IF(R14=0,0,R14/'Primary Input'!$J$29)</f>
        <v>0</v>
      </c>
      <c r="T14" s="43">
        <f>+R14*(1+'Pro Forma Calculation'!$J$49)</f>
        <v>0</v>
      </c>
      <c r="U14" s="44">
        <f>IF(T14=0,0,T14/'Primary Input'!$J$29)</f>
        <v>0</v>
      </c>
      <c r="V14" s="43">
        <f>+T14*(1+'Pro Forma Calculation'!$J$49)</f>
        <v>0</v>
      </c>
      <c r="W14" s="44">
        <f>IF(V14=0,0,V14/'Primary Input'!$J$29)</f>
        <v>0</v>
      </c>
      <c r="X14" s="45">
        <f>+V14*(1+'Pro Forma Calculation'!$J$49)</f>
        <v>0</v>
      </c>
      <c r="Y14" s="44">
        <f>IF(X14=0,0,X14/'Primary Input'!$J$29)</f>
        <v>0</v>
      </c>
      <c r="Z14" s="43">
        <f>+X14*(1+'Pro Forma Calculation'!$J$49)</f>
        <v>0</v>
      </c>
      <c r="AA14" s="44">
        <f>IF(Z14=0,0,Z14/'Primary Input'!$J$29)</f>
        <v>0</v>
      </c>
      <c r="AB14" s="43">
        <f>+Z14*(1+'Pro Forma Calculation'!$J$49)</f>
        <v>0</v>
      </c>
      <c r="AC14" s="44">
        <f>IF(AB14=0,0,AB14/'Primary Input'!$J$29)</f>
        <v>0</v>
      </c>
      <c r="AD14" s="43">
        <f>+AB14*(1+'Pro Forma Calculation'!$J$49)</f>
        <v>0</v>
      </c>
      <c r="AE14" s="44">
        <f>IF(AD14=0,0,AD14/'Primary Input'!$J$29)</f>
        <v>0</v>
      </c>
      <c r="AF14" s="43">
        <f>+AD14*(1+'Pro Forma Calculation'!$J$49)</f>
        <v>0</v>
      </c>
      <c r="AG14" s="44">
        <f>IF(AF14=0,0,AF14/'Primary Input'!$J$29)</f>
        <v>0</v>
      </c>
      <c r="AH14" s="43">
        <f>+AF14*(1+'Pro Forma Calculation'!$J$49)</f>
        <v>0</v>
      </c>
      <c r="AI14" s="44">
        <f>IF(AH14=0,0,AH14/'Primary Input'!$J$29)</f>
        <v>0</v>
      </c>
      <c r="AJ14" s="43">
        <f>+AH14*(1+'Pro Forma Calculation'!$J$49)</f>
        <v>0</v>
      </c>
      <c r="AK14" s="44">
        <f>IF(AJ14=0,0,AJ14/'Primary Input'!$J$29)</f>
        <v>0</v>
      </c>
      <c r="AL14" s="43">
        <f>+AJ14*(1+'Pro Forma Calculation'!$J$49)</f>
        <v>0</v>
      </c>
      <c r="AM14" s="44">
        <f>IF(AL14=0,0,AL14/'Primary Input'!$J$29)</f>
        <v>0</v>
      </c>
      <c r="AN14" s="43">
        <f>+AL14*(1+'Pro Forma Calculation'!$J$49)</f>
        <v>0</v>
      </c>
      <c r="AO14" s="44">
        <f>IF(AN14=0,0,AN14/'Primary Input'!$J$29)</f>
        <v>0</v>
      </c>
      <c r="AP14" s="43">
        <f>+AN14*(1+'Pro Forma Calculation'!$J$49)</f>
        <v>0</v>
      </c>
      <c r="AQ14" s="44">
        <f>IF(AP14=0,0,AP14/'Primary Input'!$J$29)</f>
        <v>0</v>
      </c>
    </row>
    <row r="15" spans="1:43" x14ac:dyDescent="0.2">
      <c r="A15" s="27"/>
      <c r="B15" s="52" t="s">
        <v>385</v>
      </c>
      <c r="C15" s="42"/>
      <c r="D15" s="45">
        <f>+'Pro Forma Calculation'!I64</f>
        <v>0</v>
      </c>
      <c r="E15" s="44">
        <f>IF(D15=0,0,D15/'Primary Input'!$J$29)</f>
        <v>0</v>
      </c>
      <c r="F15" s="43">
        <f>+D15*(1+'Pro Forma Calculation'!$J$64)</f>
        <v>0</v>
      </c>
      <c r="G15" s="44">
        <f>IF(F15=0,0,F15/'Primary Input'!$J$29)</f>
        <v>0</v>
      </c>
      <c r="H15" s="43">
        <f>+F15*(1+'Pro Forma Calculation'!$J$64)</f>
        <v>0</v>
      </c>
      <c r="I15" s="44">
        <f>IF(H15=0,0,H15/'Primary Input'!$J$29)</f>
        <v>0</v>
      </c>
      <c r="J15" s="43">
        <f>+H15*(1+'Pro Forma Calculation'!$J$64)</f>
        <v>0</v>
      </c>
      <c r="K15" s="44">
        <f>IF(J15=0,0,J15/'Primary Input'!$J$29)</f>
        <v>0</v>
      </c>
      <c r="L15" s="45">
        <f>+J15*(1+'Pro Forma Calculation'!$J$64)</f>
        <v>0</v>
      </c>
      <c r="M15" s="44">
        <f>IF(L15=0,0,L15/'Primary Input'!$J$29)</f>
        <v>0</v>
      </c>
      <c r="N15" s="43">
        <f>+L15*(1+'Pro Forma Calculation'!$J$64)</f>
        <v>0</v>
      </c>
      <c r="O15" s="44">
        <f>IF(N15=0,0,N15/'Primary Input'!$J$29)</f>
        <v>0</v>
      </c>
      <c r="P15" s="43">
        <f>+N15*(1+'Pro Forma Calculation'!$J$64)</f>
        <v>0</v>
      </c>
      <c r="Q15" s="44">
        <f>IF(P15=0,0,P15/'Primary Input'!$J$29)</f>
        <v>0</v>
      </c>
      <c r="R15" s="43">
        <f>+P15*(1+'Pro Forma Calculation'!$J$64)</f>
        <v>0</v>
      </c>
      <c r="S15" s="44">
        <f>IF(R15=0,0,R15/'Primary Input'!$J$29)</f>
        <v>0</v>
      </c>
      <c r="T15" s="43">
        <f>+R15*(1+'Pro Forma Calculation'!$J$64)</f>
        <v>0</v>
      </c>
      <c r="U15" s="44">
        <f>IF(T15=0,0,T15/'Primary Input'!$J$29)</f>
        <v>0</v>
      </c>
      <c r="V15" s="43">
        <f>+T15*(1+'Pro Forma Calculation'!$J$64)</f>
        <v>0</v>
      </c>
      <c r="W15" s="44">
        <f>IF(V15=0,0,V15/'Primary Input'!$J$29)</f>
        <v>0</v>
      </c>
      <c r="X15" s="45">
        <f>+V15*(1+'Pro Forma Calculation'!$J$64)</f>
        <v>0</v>
      </c>
      <c r="Y15" s="44">
        <f>IF(X15=0,0,X15/'Primary Input'!$J$29)</f>
        <v>0</v>
      </c>
      <c r="Z15" s="43">
        <f>+X15*(1+'Pro Forma Calculation'!$J$64)</f>
        <v>0</v>
      </c>
      <c r="AA15" s="44">
        <f>IF(Z15=0,0,Z15/'Primary Input'!$J$29)</f>
        <v>0</v>
      </c>
      <c r="AB15" s="43">
        <f>+Z15*(1+'Pro Forma Calculation'!$J$64)</f>
        <v>0</v>
      </c>
      <c r="AC15" s="44">
        <f>IF(AB15=0,0,AB15/'Primary Input'!$J$29)</f>
        <v>0</v>
      </c>
      <c r="AD15" s="43">
        <f>+AB15*(1+'Pro Forma Calculation'!$J$64)</f>
        <v>0</v>
      </c>
      <c r="AE15" s="44">
        <f>IF(AD15=0,0,AD15/'Primary Input'!$J$29)</f>
        <v>0</v>
      </c>
      <c r="AF15" s="43">
        <f>+AD15*(1+'Pro Forma Calculation'!$J$64)</f>
        <v>0</v>
      </c>
      <c r="AG15" s="44">
        <f>IF(AF15=0,0,AF15/'Primary Input'!$J$29)</f>
        <v>0</v>
      </c>
      <c r="AH15" s="43">
        <f>+AF15*(1+'Pro Forma Calculation'!$J$64)</f>
        <v>0</v>
      </c>
      <c r="AI15" s="44">
        <f>IF(AH15=0,0,AH15/'Primary Input'!$J$29)</f>
        <v>0</v>
      </c>
      <c r="AJ15" s="43">
        <f>+AH15*(1+'Pro Forma Calculation'!$J$64)</f>
        <v>0</v>
      </c>
      <c r="AK15" s="44">
        <f>IF(AJ15=0,0,AJ15/'Primary Input'!$J$29)</f>
        <v>0</v>
      </c>
      <c r="AL15" s="43">
        <f>+AJ15*(1+'Pro Forma Calculation'!$J$64)</f>
        <v>0</v>
      </c>
      <c r="AM15" s="44">
        <f>IF(AL15=0,0,AL15/'Primary Input'!$J$29)</f>
        <v>0</v>
      </c>
      <c r="AN15" s="43">
        <f>+AL15*(1+'Pro Forma Calculation'!$J$64)</f>
        <v>0</v>
      </c>
      <c r="AO15" s="44">
        <f>IF(AN15=0,0,AN15/'Primary Input'!$J$29)</f>
        <v>0</v>
      </c>
      <c r="AP15" s="43">
        <f>+AN15*(1+'Pro Forma Calculation'!$J$64)</f>
        <v>0</v>
      </c>
      <c r="AQ15" s="44">
        <f>IF(AP15=0,0,AP15/'Primary Input'!$J$29)</f>
        <v>0</v>
      </c>
    </row>
    <row r="16" spans="1:43" x14ac:dyDescent="0.2">
      <c r="A16" s="27"/>
      <c r="B16" s="41" t="s">
        <v>386</v>
      </c>
      <c r="C16" s="42"/>
      <c r="D16" s="45">
        <f>+'Pro Forma Calculation'!I66</f>
        <v>0</v>
      </c>
      <c r="E16" s="44">
        <f>IF(D16=0,0,D16/'Primary Input'!$J$29)</f>
        <v>0</v>
      </c>
      <c r="F16" s="43">
        <f>+D16*(1+'Pro Forma Calculation'!$J$66)</f>
        <v>0</v>
      </c>
      <c r="G16" s="44">
        <f>IF(F16=0,0,F16/'Primary Input'!$J$29)</f>
        <v>0</v>
      </c>
      <c r="H16" s="43">
        <f>+F16*(1+'Pro Forma Calculation'!$J$66)</f>
        <v>0</v>
      </c>
      <c r="I16" s="44">
        <f>IF(H16=0,0,H16/'Primary Input'!$J$29)</f>
        <v>0</v>
      </c>
      <c r="J16" s="43">
        <f>+H16*(1+'Pro Forma Calculation'!$J$66)</f>
        <v>0</v>
      </c>
      <c r="K16" s="44">
        <f>IF(J16=0,0,J16/'Primary Input'!$J$29)</f>
        <v>0</v>
      </c>
      <c r="L16" s="45">
        <f>+J16*(1+'Pro Forma Calculation'!$J$66)</f>
        <v>0</v>
      </c>
      <c r="M16" s="44">
        <f>IF(L16=0,0,L16/'Primary Input'!$J$29)</f>
        <v>0</v>
      </c>
      <c r="N16" s="43">
        <f>+L16*(1+'Pro Forma Calculation'!$J$66)</f>
        <v>0</v>
      </c>
      <c r="O16" s="44">
        <f>IF(N16=0,0,N16/'Primary Input'!$J$29)</f>
        <v>0</v>
      </c>
      <c r="P16" s="43">
        <f>+N16*(1+'Pro Forma Calculation'!$J$66)</f>
        <v>0</v>
      </c>
      <c r="Q16" s="44">
        <f>IF(P16=0,0,P16/'Primary Input'!$J$29)</f>
        <v>0</v>
      </c>
      <c r="R16" s="43">
        <f>+P16*(1+'Pro Forma Calculation'!$J$66)</f>
        <v>0</v>
      </c>
      <c r="S16" s="44">
        <f>IF(R16=0,0,R16/'Primary Input'!$J$29)</f>
        <v>0</v>
      </c>
      <c r="T16" s="43">
        <f>+R16*(1+'Pro Forma Calculation'!$J$66)</f>
        <v>0</v>
      </c>
      <c r="U16" s="44">
        <f>IF(T16=0,0,T16/'Primary Input'!$J$29)</f>
        <v>0</v>
      </c>
      <c r="V16" s="43">
        <f>+T16*(1+'Pro Forma Calculation'!$J$66)</f>
        <v>0</v>
      </c>
      <c r="W16" s="44">
        <f>IF(V16=0,0,V16/'Primary Input'!$J$29)</f>
        <v>0</v>
      </c>
      <c r="X16" s="45">
        <f>+V16*(1+'Pro Forma Calculation'!$J$66)</f>
        <v>0</v>
      </c>
      <c r="Y16" s="44">
        <f>IF(X16=0,0,X16/'Primary Input'!$J$29)</f>
        <v>0</v>
      </c>
      <c r="Z16" s="43">
        <f>+X16*(1+'Pro Forma Calculation'!$J$66)</f>
        <v>0</v>
      </c>
      <c r="AA16" s="44">
        <f>IF(Z16=0,0,Z16/'Primary Input'!$J$29)</f>
        <v>0</v>
      </c>
      <c r="AB16" s="43">
        <f>+Z16*(1+'Pro Forma Calculation'!$J$66)</f>
        <v>0</v>
      </c>
      <c r="AC16" s="44">
        <f>IF(AB16=0,0,AB16/'Primary Input'!$J$29)</f>
        <v>0</v>
      </c>
      <c r="AD16" s="43">
        <f>+AB16*(1+'Pro Forma Calculation'!$J$66)</f>
        <v>0</v>
      </c>
      <c r="AE16" s="44">
        <f>IF(AD16=0,0,AD16/'Primary Input'!$J$29)</f>
        <v>0</v>
      </c>
      <c r="AF16" s="43">
        <f>+AD16*(1+'Pro Forma Calculation'!$J$66)</f>
        <v>0</v>
      </c>
      <c r="AG16" s="44">
        <f>IF(AF16=0,0,AF16/'Primary Input'!$J$29)</f>
        <v>0</v>
      </c>
      <c r="AH16" s="43">
        <f>+AF16*(1+'Pro Forma Calculation'!$J$66)</f>
        <v>0</v>
      </c>
      <c r="AI16" s="44">
        <f>IF(AH16=0,0,AH16/'Primary Input'!$J$29)</f>
        <v>0</v>
      </c>
      <c r="AJ16" s="43">
        <f>+AH16*(1+'Pro Forma Calculation'!$J$66)</f>
        <v>0</v>
      </c>
      <c r="AK16" s="44">
        <f>IF(AJ16=0,0,AJ16/'Primary Input'!$J$29)</f>
        <v>0</v>
      </c>
      <c r="AL16" s="43">
        <f>+AJ16*(1+'Pro Forma Calculation'!$J$66)</f>
        <v>0</v>
      </c>
      <c r="AM16" s="44">
        <f>IF(AL16=0,0,AL16/'Primary Input'!$J$29)</f>
        <v>0</v>
      </c>
      <c r="AN16" s="43">
        <f>+AL16*(1+'Pro Forma Calculation'!$J$66)</f>
        <v>0</v>
      </c>
      <c r="AO16" s="44">
        <f>IF(AN16=0,0,AN16/'Primary Input'!$J$29)</f>
        <v>0</v>
      </c>
      <c r="AP16" s="43">
        <f>+AN16*(1+'Pro Forma Calculation'!$J$66)</f>
        <v>0</v>
      </c>
      <c r="AQ16" s="44">
        <f>IF(AP16=0,0,AP16/'Primary Input'!$J$29)</f>
        <v>0</v>
      </c>
    </row>
    <row r="17" spans="1:43" x14ac:dyDescent="0.2">
      <c r="A17" s="27"/>
      <c r="B17" s="41" t="s">
        <v>410</v>
      </c>
      <c r="C17" s="42"/>
      <c r="D17" s="45">
        <f>+'Pro Forma Calculation'!I69</f>
        <v>0</v>
      </c>
      <c r="E17" s="44">
        <f>IF(D17=0,0,D17/'Primary Input'!$J$29)</f>
        <v>0</v>
      </c>
      <c r="F17" s="43">
        <f>+D17*(1+'Pro Forma Calculation'!$J$69)</f>
        <v>0</v>
      </c>
      <c r="G17" s="44">
        <f>IF(F17=0,0,F17/'Primary Input'!$J$29)</f>
        <v>0</v>
      </c>
      <c r="H17" s="43">
        <f>+F17*(1+'Pro Forma Calculation'!$J$69)</f>
        <v>0</v>
      </c>
      <c r="I17" s="44">
        <f>IF(H17=0,0,H17/'Primary Input'!$J$29)</f>
        <v>0</v>
      </c>
      <c r="J17" s="43">
        <f>+H17*(1+'Pro Forma Calculation'!$J$69)</f>
        <v>0</v>
      </c>
      <c r="K17" s="44">
        <f>IF(J17=0,0,J17/'Primary Input'!$J$29)</f>
        <v>0</v>
      </c>
      <c r="L17" s="45">
        <f>+J17*(1+'Pro Forma Calculation'!$J$69)</f>
        <v>0</v>
      </c>
      <c r="M17" s="44">
        <f>IF(L17=0,0,L17/'Primary Input'!$J$29)</f>
        <v>0</v>
      </c>
      <c r="N17" s="43">
        <f>+L17*(1+'Pro Forma Calculation'!$J$69)</f>
        <v>0</v>
      </c>
      <c r="O17" s="44">
        <f>IF(N17=0,0,N17/'Primary Input'!$J$29)</f>
        <v>0</v>
      </c>
      <c r="P17" s="43">
        <f>+N17*(1+'Pro Forma Calculation'!$J$69)</f>
        <v>0</v>
      </c>
      <c r="Q17" s="44">
        <f>IF(P17=0,0,P17/'Primary Input'!$J$29)</f>
        <v>0</v>
      </c>
      <c r="R17" s="43">
        <f>+P17*(1+'Pro Forma Calculation'!$J$69)</f>
        <v>0</v>
      </c>
      <c r="S17" s="44">
        <f>IF(R17=0,0,R17/'Primary Input'!$J$29)</f>
        <v>0</v>
      </c>
      <c r="T17" s="43">
        <f>+R17*(1+'Pro Forma Calculation'!$J$69)</f>
        <v>0</v>
      </c>
      <c r="U17" s="44">
        <f>IF(T17=0,0,T17/'Primary Input'!$J$29)</f>
        <v>0</v>
      </c>
      <c r="V17" s="43">
        <f>+T17*(1+'Pro Forma Calculation'!$J$69)</f>
        <v>0</v>
      </c>
      <c r="W17" s="44">
        <f>IF(V17=0,0,V17/'Primary Input'!$J$29)</f>
        <v>0</v>
      </c>
      <c r="X17" s="45">
        <f>+V17*(1+'Pro Forma Calculation'!$J$69)</f>
        <v>0</v>
      </c>
      <c r="Y17" s="44">
        <f>IF(X17=0,0,X17/'Primary Input'!$J$29)</f>
        <v>0</v>
      </c>
      <c r="Z17" s="43">
        <f>+X17*(1+'Pro Forma Calculation'!$J$69)</f>
        <v>0</v>
      </c>
      <c r="AA17" s="44">
        <f>IF(Z17=0,0,Z17/'Primary Input'!$J$29)</f>
        <v>0</v>
      </c>
      <c r="AB17" s="43">
        <f>+Z17*(1+'Pro Forma Calculation'!$J$69)</f>
        <v>0</v>
      </c>
      <c r="AC17" s="44">
        <f>IF(AB17=0,0,AB17/'Primary Input'!$J$29)</f>
        <v>0</v>
      </c>
      <c r="AD17" s="43">
        <f>+AB17*(1+'Pro Forma Calculation'!$J$69)</f>
        <v>0</v>
      </c>
      <c r="AE17" s="44">
        <f>IF(AD17=0,0,AD17/'Primary Input'!$J$29)</f>
        <v>0</v>
      </c>
      <c r="AF17" s="43">
        <f>+AD17*(1+'Pro Forma Calculation'!$J$69)</f>
        <v>0</v>
      </c>
      <c r="AG17" s="44">
        <f>IF(AF17=0,0,AF17/'Primary Input'!$J$29)</f>
        <v>0</v>
      </c>
      <c r="AH17" s="43">
        <f>+AF17*(1+'Pro Forma Calculation'!$J$69)</f>
        <v>0</v>
      </c>
      <c r="AI17" s="44">
        <f>IF(AH17=0,0,AH17/'Primary Input'!$J$29)</f>
        <v>0</v>
      </c>
      <c r="AJ17" s="43">
        <f>+AH17*(1+'Pro Forma Calculation'!$J$69)</f>
        <v>0</v>
      </c>
      <c r="AK17" s="44">
        <f>IF(AJ17=0,0,AJ17/'Primary Input'!$J$29)</f>
        <v>0</v>
      </c>
      <c r="AL17" s="43">
        <f>+AJ17*(1+'Pro Forma Calculation'!$J$69)</f>
        <v>0</v>
      </c>
      <c r="AM17" s="44">
        <f>IF(AL17=0,0,AL17/'Primary Input'!$J$29)</f>
        <v>0</v>
      </c>
      <c r="AN17" s="43">
        <f>+AL17*(1+'Pro Forma Calculation'!$J$69)</f>
        <v>0</v>
      </c>
      <c r="AO17" s="44">
        <f>IF(AN17=0,0,AN17/'Primary Input'!$J$29)</f>
        <v>0</v>
      </c>
      <c r="AP17" s="43">
        <f>+AN17*(1+'Pro Forma Calculation'!$J$69)</f>
        <v>0</v>
      </c>
      <c r="AQ17" s="44">
        <f>IF(AP17=0,0,AP17/'Primary Input'!$J$29)</f>
        <v>0</v>
      </c>
    </row>
    <row r="18" spans="1:43" x14ac:dyDescent="0.2">
      <c r="A18" s="27"/>
      <c r="B18" s="53" t="s">
        <v>411</v>
      </c>
      <c r="C18" s="42"/>
      <c r="D18" s="45">
        <f>+'Pro Forma Calculation'!I74-SUM(D16:D17)</f>
        <v>0</v>
      </c>
      <c r="E18" s="44">
        <f>IF(D18=0,0,D18/'Primary Input'!$J$29)</f>
        <v>0</v>
      </c>
      <c r="F18" s="43">
        <f>+D18*(1+'Pro Forma Calculation'!$J$73)</f>
        <v>0</v>
      </c>
      <c r="G18" s="44">
        <f>IF(F18=0,0,F18/'Primary Input'!$J$29)</f>
        <v>0</v>
      </c>
      <c r="H18" s="43">
        <f>+F18*(1+'Pro Forma Calculation'!$J$73)</f>
        <v>0</v>
      </c>
      <c r="I18" s="44">
        <f>IF(H18=0,0,H18/'Primary Input'!$J$29)</f>
        <v>0</v>
      </c>
      <c r="J18" s="43">
        <f>+H18*(1+'Pro Forma Calculation'!$J$73)</f>
        <v>0</v>
      </c>
      <c r="K18" s="44">
        <f>IF(J18=0,0,J18/'Primary Input'!$J$29)</f>
        <v>0</v>
      </c>
      <c r="L18" s="45">
        <f>+J18*(1+'Pro Forma Calculation'!$J$73)</f>
        <v>0</v>
      </c>
      <c r="M18" s="44">
        <f>IF(L18=0,0,L18/'Primary Input'!$J$29)</f>
        <v>0</v>
      </c>
      <c r="N18" s="43">
        <f>+L18*(1+'Pro Forma Calculation'!$J$73)</f>
        <v>0</v>
      </c>
      <c r="O18" s="44">
        <f>IF(N18=0,0,N18/'Primary Input'!$J$29)</f>
        <v>0</v>
      </c>
      <c r="P18" s="43">
        <f>+N18*(1+'Pro Forma Calculation'!$J$73)</f>
        <v>0</v>
      </c>
      <c r="Q18" s="44">
        <f>IF(P18=0,0,P18/'Primary Input'!$J$29)</f>
        <v>0</v>
      </c>
      <c r="R18" s="43">
        <f>+P18*(1+'Pro Forma Calculation'!$J$73)</f>
        <v>0</v>
      </c>
      <c r="S18" s="44">
        <f>IF(R18=0,0,R18/'Primary Input'!$J$29)</f>
        <v>0</v>
      </c>
      <c r="T18" s="43">
        <f>+R18*(1+'Pro Forma Calculation'!$J$73)</f>
        <v>0</v>
      </c>
      <c r="U18" s="44">
        <f>IF(T18=0,0,T18/'Primary Input'!$J$29)</f>
        <v>0</v>
      </c>
      <c r="V18" s="43">
        <f>+T18*(1+'Pro Forma Calculation'!$J$73)</f>
        <v>0</v>
      </c>
      <c r="W18" s="44">
        <f>IF(V18=0,0,V18/'Primary Input'!$J$29)</f>
        <v>0</v>
      </c>
      <c r="X18" s="45">
        <f>+V18*(1+'Pro Forma Calculation'!$J$73)</f>
        <v>0</v>
      </c>
      <c r="Y18" s="44">
        <f>IF(X18=0,0,X18/'Primary Input'!$J$29)</f>
        <v>0</v>
      </c>
      <c r="Z18" s="43">
        <f>+X18*(1+'Pro Forma Calculation'!$J$73)</f>
        <v>0</v>
      </c>
      <c r="AA18" s="44">
        <f>IF(Z18=0,0,Z18/'Primary Input'!$J$29)</f>
        <v>0</v>
      </c>
      <c r="AB18" s="43">
        <f>+Z18*(1+'Pro Forma Calculation'!$J$73)</f>
        <v>0</v>
      </c>
      <c r="AC18" s="44">
        <f>IF(AB18=0,0,AB18/'Primary Input'!$J$29)</f>
        <v>0</v>
      </c>
      <c r="AD18" s="43">
        <f>+AB18*(1+'Pro Forma Calculation'!$J$73)</f>
        <v>0</v>
      </c>
      <c r="AE18" s="44">
        <f>IF(AD18=0,0,AD18/'Primary Input'!$J$29)</f>
        <v>0</v>
      </c>
      <c r="AF18" s="43">
        <f>+AD18*(1+'Pro Forma Calculation'!$J$73)</f>
        <v>0</v>
      </c>
      <c r="AG18" s="44">
        <f>IF(AF18=0,0,AF18/'Primary Input'!$J$29)</f>
        <v>0</v>
      </c>
      <c r="AH18" s="43">
        <f>+AF18*(1+'Pro Forma Calculation'!$J$73)</f>
        <v>0</v>
      </c>
      <c r="AI18" s="44">
        <f>IF(AH18=0,0,AH18/'Primary Input'!$J$29)</f>
        <v>0</v>
      </c>
      <c r="AJ18" s="43">
        <f>+AH18*(1+'Pro Forma Calculation'!$J$73)</f>
        <v>0</v>
      </c>
      <c r="AK18" s="44">
        <f>IF(AJ18=0,0,AJ18/'Primary Input'!$J$29)</f>
        <v>0</v>
      </c>
      <c r="AL18" s="43">
        <f>+AJ18*(1+'Pro Forma Calculation'!$J$73)</f>
        <v>0</v>
      </c>
      <c r="AM18" s="44">
        <f>IF(AL18=0,0,AL18/'Primary Input'!$J$29)</f>
        <v>0</v>
      </c>
      <c r="AN18" s="43">
        <f>+AL18*(1+'Pro Forma Calculation'!$J$73)</f>
        <v>0</v>
      </c>
      <c r="AO18" s="44">
        <f>IF(AN18=0,0,AN18/'Primary Input'!$J$29)</f>
        <v>0</v>
      </c>
      <c r="AP18" s="43">
        <f>+AN18*(1+'Pro Forma Calculation'!$J$73)</f>
        <v>0</v>
      </c>
      <c r="AQ18" s="44">
        <f>IF(AP18=0,0,AP18/'Primary Input'!$J$29)</f>
        <v>0</v>
      </c>
    </row>
    <row r="19" spans="1:43" x14ac:dyDescent="0.2">
      <c r="A19" s="27"/>
      <c r="B19" s="54"/>
      <c r="C19" s="42"/>
      <c r="D19" s="45"/>
      <c r="E19" s="44"/>
      <c r="F19" s="45"/>
      <c r="G19" s="44"/>
      <c r="H19" s="45"/>
      <c r="I19" s="44"/>
      <c r="J19" s="45"/>
      <c r="K19" s="44"/>
      <c r="L19" s="45"/>
      <c r="M19" s="44"/>
      <c r="N19" s="45"/>
      <c r="O19" s="44"/>
      <c r="P19" s="45"/>
      <c r="Q19" s="44"/>
      <c r="R19" s="45"/>
      <c r="S19" s="44"/>
      <c r="T19" s="45"/>
      <c r="U19" s="44"/>
      <c r="V19" s="45"/>
      <c r="W19" s="44"/>
      <c r="X19" s="45"/>
      <c r="Y19" s="44"/>
      <c r="Z19" s="45"/>
      <c r="AA19" s="44"/>
      <c r="AB19" s="45"/>
      <c r="AC19" s="44"/>
      <c r="AD19" s="45"/>
      <c r="AE19" s="44"/>
      <c r="AF19" s="45"/>
      <c r="AG19" s="44"/>
      <c r="AH19" s="45"/>
      <c r="AI19" s="44"/>
      <c r="AJ19" s="45"/>
      <c r="AK19" s="44"/>
      <c r="AL19" s="45"/>
      <c r="AM19" s="44"/>
      <c r="AN19" s="45"/>
      <c r="AO19" s="44"/>
      <c r="AP19" s="45"/>
      <c r="AQ19" s="44"/>
    </row>
    <row r="20" spans="1:43" ht="15" x14ac:dyDescent="0.25">
      <c r="A20" s="46"/>
      <c r="B20" s="47" t="s">
        <v>412</v>
      </c>
      <c r="C20" s="48"/>
      <c r="D20" s="50">
        <f>SUM(D11:D19)</f>
        <v>0</v>
      </c>
      <c r="E20" s="55">
        <f>IF(D20=0,0,D20/'Primary Input'!$J$29)</f>
        <v>0</v>
      </c>
      <c r="F20" s="50">
        <f>SUM(F12:F18)</f>
        <v>0</v>
      </c>
      <c r="G20" s="55">
        <f>IF(F20=0,0,F20/'Primary Input'!$J$29)</f>
        <v>0</v>
      </c>
      <c r="H20" s="50">
        <f>SUM(H12:H18)</f>
        <v>0</v>
      </c>
      <c r="I20" s="55">
        <f>IF(H20=0,0,H20/'Primary Input'!$J$29)</f>
        <v>0</v>
      </c>
      <c r="J20" s="50">
        <f>SUM(J12:J18)</f>
        <v>0</v>
      </c>
      <c r="K20" s="55">
        <f>IF(J20=0,0,J20/'Primary Input'!$J$29)</f>
        <v>0</v>
      </c>
      <c r="L20" s="50">
        <f>SUM(L12:L18)</f>
        <v>0</v>
      </c>
      <c r="M20" s="55">
        <f>IF(L20=0,0,L20/'Primary Input'!$J$29)</f>
        <v>0</v>
      </c>
      <c r="N20" s="50">
        <f>SUM(N12:N18)</f>
        <v>0</v>
      </c>
      <c r="O20" s="55">
        <f>IF(N20=0,0,N20/'Primary Input'!$J$29)</f>
        <v>0</v>
      </c>
      <c r="P20" s="50">
        <f>SUM(P12:P18)</f>
        <v>0</v>
      </c>
      <c r="Q20" s="55">
        <f>IF(P20=0,0,P20/'Primary Input'!$J$29)</f>
        <v>0</v>
      </c>
      <c r="R20" s="50">
        <f>SUM(R12:R18)</f>
        <v>0</v>
      </c>
      <c r="S20" s="55">
        <f>IF(R20=0,0,R20/'Primary Input'!$J$29)</f>
        <v>0</v>
      </c>
      <c r="T20" s="50">
        <f>SUM(T12:T18)</f>
        <v>0</v>
      </c>
      <c r="U20" s="55">
        <f>IF(T20=0,0,T20/'Primary Input'!$J$29)</f>
        <v>0</v>
      </c>
      <c r="V20" s="50">
        <f>SUM(V12:V18)</f>
        <v>0</v>
      </c>
      <c r="W20" s="55">
        <f>IF(V20=0,0,V20/'Primary Input'!$J$29)</f>
        <v>0</v>
      </c>
      <c r="X20" s="50">
        <f>SUM(X12:X18)</f>
        <v>0</v>
      </c>
      <c r="Y20" s="55">
        <f>IF(X20=0,0,X20/'Primary Input'!$J$29)</f>
        <v>0</v>
      </c>
      <c r="Z20" s="50">
        <f>SUM(Z12:Z18)</f>
        <v>0</v>
      </c>
      <c r="AA20" s="55">
        <f>IF(Z20=0,0,Z20/'Primary Input'!$J$29)</f>
        <v>0</v>
      </c>
      <c r="AB20" s="50">
        <f>SUM(AB12:AB18)</f>
        <v>0</v>
      </c>
      <c r="AC20" s="55">
        <f>IF(AB20=0,0,AB20/'Primary Input'!$J$29)</f>
        <v>0</v>
      </c>
      <c r="AD20" s="50">
        <f>SUM(AD12:AD18)</f>
        <v>0</v>
      </c>
      <c r="AE20" s="55">
        <f>IF(AD20=0,0,AD20/'Primary Input'!$J$29)</f>
        <v>0</v>
      </c>
      <c r="AF20" s="50">
        <f>SUM(AF12:AF18)</f>
        <v>0</v>
      </c>
      <c r="AG20" s="55">
        <f>IF(AF20=0,0,AF20/'Primary Input'!$J$29)</f>
        <v>0</v>
      </c>
      <c r="AH20" s="50">
        <f>SUM(AH12:AH18)</f>
        <v>0</v>
      </c>
      <c r="AI20" s="55">
        <f>IF(AH20=0,0,AH20/'Primary Input'!$J$29)</f>
        <v>0</v>
      </c>
      <c r="AJ20" s="50">
        <f>SUM(AJ12:AJ18)</f>
        <v>0</v>
      </c>
      <c r="AK20" s="55">
        <f>IF(AJ20=0,0,AJ20/'Primary Input'!$J$29)</f>
        <v>0</v>
      </c>
      <c r="AL20" s="50">
        <f>SUM(AL12:AL18)</f>
        <v>0</v>
      </c>
      <c r="AM20" s="55">
        <f>IF(AL20=0,0,AL20/'Primary Input'!$J$29)</f>
        <v>0</v>
      </c>
      <c r="AN20" s="50">
        <f>SUM(AN12:AN18)</f>
        <v>0</v>
      </c>
      <c r="AO20" s="55">
        <f>IF(AN20=0,0,AN20/'Primary Input'!$J$29)</f>
        <v>0</v>
      </c>
      <c r="AP20" s="50">
        <f>SUM(AP12:AP18)</f>
        <v>0</v>
      </c>
      <c r="AQ20" s="55">
        <f>IF(AP20=0,0,AP20/'Primary Input'!$J$29)</f>
        <v>0</v>
      </c>
    </row>
    <row r="21" spans="1:43" ht="15" x14ac:dyDescent="0.25">
      <c r="A21" s="27"/>
      <c r="B21" s="56"/>
      <c r="C21" s="42"/>
      <c r="D21" s="43"/>
      <c r="E21" s="44"/>
      <c r="F21" s="43"/>
      <c r="G21" s="44"/>
      <c r="H21" s="43"/>
      <c r="I21" s="44"/>
      <c r="J21" s="43"/>
      <c r="K21" s="44"/>
      <c r="L21" s="45"/>
      <c r="M21" s="44"/>
      <c r="N21" s="43"/>
      <c r="O21" s="44"/>
      <c r="P21" s="43"/>
      <c r="Q21" s="44"/>
      <c r="R21" s="43"/>
      <c r="S21" s="44"/>
      <c r="T21" s="43"/>
      <c r="U21" s="44"/>
      <c r="V21" s="43"/>
      <c r="W21" s="44"/>
      <c r="X21" s="45"/>
      <c r="Y21" s="44"/>
      <c r="Z21" s="43"/>
      <c r="AA21" s="44"/>
      <c r="AB21" s="43"/>
      <c r="AC21" s="44"/>
      <c r="AD21" s="43"/>
      <c r="AE21" s="44"/>
      <c r="AF21" s="43"/>
      <c r="AG21" s="44"/>
      <c r="AH21" s="43"/>
      <c r="AI21" s="44"/>
      <c r="AJ21" s="43"/>
      <c r="AK21" s="44"/>
      <c r="AL21" s="43"/>
      <c r="AM21" s="44"/>
      <c r="AN21" s="43"/>
      <c r="AO21" s="44"/>
      <c r="AP21" s="43"/>
      <c r="AQ21" s="44"/>
    </row>
    <row r="22" spans="1:43" ht="15" x14ac:dyDescent="0.25">
      <c r="A22" s="46"/>
      <c r="B22" s="47" t="s">
        <v>413</v>
      </c>
      <c r="C22" s="48"/>
      <c r="D22" s="49">
        <f>+D9-D20</f>
        <v>0</v>
      </c>
      <c r="E22" s="55">
        <f>IF(D22=0,0,D22/'Primary Input'!$J$29)</f>
        <v>0</v>
      </c>
      <c r="F22" s="49">
        <f>+F9-F20</f>
        <v>0</v>
      </c>
      <c r="G22" s="55">
        <f>IF(F22=0,0,F22/'Primary Input'!$J$29)</f>
        <v>0</v>
      </c>
      <c r="H22" s="49">
        <f>+H9-H20</f>
        <v>0</v>
      </c>
      <c r="I22" s="55">
        <f>IF(H22=0,0,H22/'Primary Input'!$J$29)</f>
        <v>0</v>
      </c>
      <c r="J22" s="49">
        <f>+J9-J20</f>
        <v>0</v>
      </c>
      <c r="K22" s="55">
        <f>IF(J22=0,0,J22/'Primary Input'!$J$29)</f>
        <v>0</v>
      </c>
      <c r="L22" s="50">
        <f>+L9-L20</f>
        <v>0</v>
      </c>
      <c r="M22" s="55">
        <f>IF(L22=0,0,L22/'Primary Input'!$J$29)</f>
        <v>0</v>
      </c>
      <c r="N22" s="49">
        <f>+N9-N20</f>
        <v>0</v>
      </c>
      <c r="O22" s="55">
        <f>IF(N22=0,0,N22/'Primary Input'!$J$29)</f>
        <v>0</v>
      </c>
      <c r="P22" s="49">
        <f>+P9-P20</f>
        <v>0</v>
      </c>
      <c r="Q22" s="55">
        <f>IF(P22=0,0,P22/'Primary Input'!$J$29)</f>
        <v>0</v>
      </c>
      <c r="R22" s="49">
        <f>+R9-R20</f>
        <v>0</v>
      </c>
      <c r="S22" s="55">
        <f>IF(R22=0,0,R22/'Primary Input'!$J$29)</f>
        <v>0</v>
      </c>
      <c r="T22" s="49">
        <f>+T9-T20</f>
        <v>0</v>
      </c>
      <c r="U22" s="55">
        <f>IF(T22=0,0,T22/'Primary Input'!$J$29)</f>
        <v>0</v>
      </c>
      <c r="V22" s="49">
        <f>+V9-V20</f>
        <v>0</v>
      </c>
      <c r="W22" s="55">
        <f>IF(V22=0,0,V22/'Primary Input'!$J$29)</f>
        <v>0</v>
      </c>
      <c r="X22" s="50">
        <f>+X9-X20</f>
        <v>0</v>
      </c>
      <c r="Y22" s="55">
        <f>IF(X22=0,0,X22/'Primary Input'!$J$29)</f>
        <v>0</v>
      </c>
      <c r="Z22" s="49">
        <f>+Z9-Z20</f>
        <v>0</v>
      </c>
      <c r="AA22" s="55">
        <f>IF(Z22=0,0,Z22/'Primary Input'!$J$29)</f>
        <v>0</v>
      </c>
      <c r="AB22" s="49">
        <f>+AB9-AB20</f>
        <v>0</v>
      </c>
      <c r="AC22" s="55">
        <f>IF(AB22=0,0,AB22/'Primary Input'!$J$29)</f>
        <v>0</v>
      </c>
      <c r="AD22" s="49">
        <f>+AD9-AD20</f>
        <v>0</v>
      </c>
      <c r="AE22" s="55">
        <f>IF(AD22=0,0,AD22/'Primary Input'!$J$29)</f>
        <v>0</v>
      </c>
      <c r="AF22" s="49">
        <f>+AF9-AF20</f>
        <v>0</v>
      </c>
      <c r="AG22" s="55">
        <f>IF(AF22=0,0,AF22/'Primary Input'!$J$29)</f>
        <v>0</v>
      </c>
      <c r="AH22" s="49">
        <f>+AH9-AH20</f>
        <v>0</v>
      </c>
      <c r="AI22" s="55">
        <f>IF(AH22=0,0,AH22/'Primary Input'!$J$29)</f>
        <v>0</v>
      </c>
      <c r="AJ22" s="49">
        <f>+AJ9-AJ20</f>
        <v>0</v>
      </c>
      <c r="AK22" s="55">
        <f>IF(AJ22=0,0,AJ22/'Primary Input'!$J$29)</f>
        <v>0</v>
      </c>
      <c r="AL22" s="49">
        <f>+AL9-AL20</f>
        <v>0</v>
      </c>
      <c r="AM22" s="55">
        <f>IF(AL22=0,0,AL22/'Primary Input'!$J$29)</f>
        <v>0</v>
      </c>
      <c r="AN22" s="49">
        <f>+AN9-AN20</f>
        <v>0</v>
      </c>
      <c r="AO22" s="55">
        <f>IF(AN22=0,0,AN22/'Primary Input'!$J$29)</f>
        <v>0</v>
      </c>
      <c r="AP22" s="49">
        <f>+AP9-AP20</f>
        <v>0</v>
      </c>
      <c r="AQ22" s="55">
        <f>IF(AP22=0,0,AP22/'Primary Input'!$J$29)</f>
        <v>0</v>
      </c>
    </row>
    <row r="23" spans="1:43" x14ac:dyDescent="0.2">
      <c r="A23" s="27"/>
      <c r="B23" s="41"/>
      <c r="C23" s="42"/>
      <c r="D23" s="43"/>
      <c r="E23" s="44"/>
      <c r="F23" s="43"/>
      <c r="G23" s="44"/>
      <c r="H23" s="43"/>
      <c r="I23" s="44"/>
      <c r="J23" s="43"/>
      <c r="K23" s="44"/>
      <c r="L23" s="45"/>
      <c r="M23" s="44"/>
      <c r="N23" s="43"/>
      <c r="O23" s="44"/>
      <c r="P23" s="43"/>
      <c r="Q23" s="44"/>
      <c r="R23" s="43"/>
      <c r="S23" s="44"/>
      <c r="T23" s="43"/>
      <c r="U23" s="44"/>
      <c r="V23" s="43"/>
      <c r="W23" s="44"/>
      <c r="X23" s="45"/>
      <c r="Y23" s="44"/>
      <c r="Z23" s="43"/>
      <c r="AA23" s="44"/>
      <c r="AB23" s="43"/>
      <c r="AC23" s="44"/>
      <c r="AD23" s="43"/>
      <c r="AE23" s="44"/>
      <c r="AF23" s="43"/>
      <c r="AG23" s="44"/>
      <c r="AH23" s="43"/>
      <c r="AI23" s="44"/>
      <c r="AJ23" s="43"/>
      <c r="AK23" s="44"/>
      <c r="AL23" s="43"/>
      <c r="AM23" s="44"/>
      <c r="AN23" s="43"/>
      <c r="AO23" s="44"/>
      <c r="AP23" s="43"/>
      <c r="AQ23" s="44"/>
    </row>
    <row r="24" spans="1:43" x14ac:dyDescent="0.2">
      <c r="A24" s="27"/>
      <c r="B24" s="41" t="s">
        <v>414</v>
      </c>
      <c r="C24" s="42"/>
      <c r="D24" s="45">
        <f>+'Pro Forma Calculation'!I80</f>
        <v>0</v>
      </c>
      <c r="E24" s="44">
        <f>IF(D24=0,0,D24/'Primary Input'!$J$29)</f>
        <v>0</v>
      </c>
      <c r="F24" s="43">
        <f>+D24*(1+'Pro Forma Calculation'!$J$80)</f>
        <v>0</v>
      </c>
      <c r="G24" s="44">
        <f>IF(F24=0,0,F24/'Primary Input'!$J$29)</f>
        <v>0</v>
      </c>
      <c r="H24" s="43">
        <f>+F24*(1+'Pro Forma Calculation'!$J$80)</f>
        <v>0</v>
      </c>
      <c r="I24" s="44">
        <f>IF(H24=0,0,H24/'Primary Input'!$J$29)</f>
        <v>0</v>
      </c>
      <c r="J24" s="43">
        <f>+H24*(1+'Pro Forma Calculation'!$J$80)</f>
        <v>0</v>
      </c>
      <c r="K24" s="44">
        <f>IF(J24=0,0,J24/'Primary Input'!$J$29)</f>
        <v>0</v>
      </c>
      <c r="L24" s="45">
        <f>+J24*(1+'Pro Forma Calculation'!$J$80)</f>
        <v>0</v>
      </c>
      <c r="M24" s="44">
        <f>IF(L24=0,0,L24/'Primary Input'!$J$29)</f>
        <v>0</v>
      </c>
      <c r="N24" s="43">
        <f>+L24*(1+'Pro Forma Calculation'!$J$80)</f>
        <v>0</v>
      </c>
      <c r="O24" s="44">
        <f>IF(N24=0,0,N24/'Primary Input'!$J$29)</f>
        <v>0</v>
      </c>
      <c r="P24" s="43">
        <f>+N24*(1+'Pro Forma Calculation'!$J$80)</f>
        <v>0</v>
      </c>
      <c r="Q24" s="44">
        <f>IF(P24=0,0,P24/'Primary Input'!$J$29)</f>
        <v>0</v>
      </c>
      <c r="R24" s="43">
        <f>+P24*(1+'Pro Forma Calculation'!$J$80)</f>
        <v>0</v>
      </c>
      <c r="S24" s="44">
        <f>IF(R24=0,0,R24/'Primary Input'!$J$29)</f>
        <v>0</v>
      </c>
      <c r="T24" s="43">
        <f>+R24*(1+'Pro Forma Calculation'!$J$80)</f>
        <v>0</v>
      </c>
      <c r="U24" s="44">
        <f>IF(T24=0,0,T24/'Primary Input'!$J$29)</f>
        <v>0</v>
      </c>
      <c r="V24" s="43">
        <f>+T24*(1+'Pro Forma Calculation'!$J$80)</f>
        <v>0</v>
      </c>
      <c r="W24" s="44">
        <f>IF(V24=0,0,V24/'Primary Input'!$J$29)</f>
        <v>0</v>
      </c>
      <c r="X24" s="45">
        <f>+V24*(1+'Pro Forma Calculation'!$J$80)</f>
        <v>0</v>
      </c>
      <c r="Y24" s="44">
        <f>IF(X24=0,0,X24/'Primary Input'!$J$29)</f>
        <v>0</v>
      </c>
      <c r="Z24" s="43">
        <f>+X24*(1+'Pro Forma Calculation'!$J$80)</f>
        <v>0</v>
      </c>
      <c r="AA24" s="44">
        <f>IF(Z24=0,0,Z24/'Primary Input'!$J$29)</f>
        <v>0</v>
      </c>
      <c r="AB24" s="43">
        <f>+Z24*(1+'Pro Forma Calculation'!$J$80)</f>
        <v>0</v>
      </c>
      <c r="AC24" s="44">
        <f>IF(AB24=0,0,AB24/'Primary Input'!$J$29)</f>
        <v>0</v>
      </c>
      <c r="AD24" s="43">
        <f>+AB24*(1+'Pro Forma Calculation'!$J$80)</f>
        <v>0</v>
      </c>
      <c r="AE24" s="44">
        <f>IF(AD24=0,0,AD24/'Primary Input'!$J$29)</f>
        <v>0</v>
      </c>
      <c r="AF24" s="43">
        <f>+AD24*(1+'Pro Forma Calculation'!$J$80)</f>
        <v>0</v>
      </c>
      <c r="AG24" s="44">
        <f>IF(AF24=0,0,AF24/'Primary Input'!$J$29)</f>
        <v>0</v>
      </c>
      <c r="AH24" s="43">
        <f>+AF24*(1+'Pro Forma Calculation'!$J$80)</f>
        <v>0</v>
      </c>
      <c r="AI24" s="44">
        <f>IF(AH24=0,0,AH24/'Primary Input'!$J$29)</f>
        <v>0</v>
      </c>
      <c r="AJ24" s="43">
        <f>+AH24*(1+'Pro Forma Calculation'!$J$80)</f>
        <v>0</v>
      </c>
      <c r="AK24" s="44">
        <f>IF(AJ24=0,0,AJ24/'Primary Input'!$J$29)</f>
        <v>0</v>
      </c>
      <c r="AL24" s="43">
        <f>+AJ24*(1+'Pro Forma Calculation'!$J$80)</f>
        <v>0</v>
      </c>
      <c r="AM24" s="44">
        <f>IF(AL24=0,0,AL24/'Primary Input'!$J$29)</f>
        <v>0</v>
      </c>
      <c r="AN24" s="43">
        <f>+AL24*(1+'Pro Forma Calculation'!$J$80)</f>
        <v>0</v>
      </c>
      <c r="AO24" s="44">
        <f>IF(AN24=0,0,AN24/'Primary Input'!$J$29)</f>
        <v>0</v>
      </c>
      <c r="AP24" s="43">
        <f>+AN24*(1+'Pro Forma Calculation'!$J$80)</f>
        <v>0</v>
      </c>
      <c r="AQ24" s="44">
        <f>IF(AP24=0,0,AP24/'Primary Input'!$J$29)</f>
        <v>0</v>
      </c>
    </row>
    <row r="25" spans="1:43" x14ac:dyDescent="0.2">
      <c r="A25" s="27"/>
      <c r="B25" s="41" t="s">
        <v>465</v>
      </c>
      <c r="C25" s="42"/>
      <c r="D25" s="72"/>
      <c r="E25" s="44">
        <f>IF(D25=0,0,D25/'Primary Input'!$J$29)</f>
        <v>0</v>
      </c>
      <c r="F25" s="72"/>
      <c r="G25" s="44">
        <f>IF(F25=0,0,F25/'Primary Input'!$J$29)</f>
        <v>0</v>
      </c>
      <c r="H25" s="72"/>
      <c r="I25" s="44">
        <f>IF(H25=0,0,H25/'Primary Input'!$J$29)</f>
        <v>0</v>
      </c>
      <c r="J25" s="72"/>
      <c r="K25" s="44">
        <f>IF(J25=0,0,J25/'Primary Input'!$J$29)</f>
        <v>0</v>
      </c>
      <c r="L25" s="72"/>
      <c r="M25" s="44">
        <f>IF(L25=0,0,L25/'Primary Input'!$J$29)</f>
        <v>0</v>
      </c>
      <c r="N25" s="72"/>
      <c r="O25" s="44">
        <f>IF(N25=0,0,N25/'Primary Input'!$J$29)</f>
        <v>0</v>
      </c>
      <c r="P25" s="72"/>
      <c r="Q25" s="44">
        <f>IF(P25=0,0,P25/'Primary Input'!$J$29)</f>
        <v>0</v>
      </c>
      <c r="R25" s="72"/>
      <c r="S25" s="44">
        <f>IF(R25=0,0,R25/'Primary Input'!$J$29)</f>
        <v>0</v>
      </c>
      <c r="T25" s="72"/>
      <c r="U25" s="44">
        <f>IF(T25=0,0,T25/'Primary Input'!$J$29)</f>
        <v>0</v>
      </c>
      <c r="V25" s="72"/>
      <c r="W25" s="44">
        <f>IF(V25=0,0,V25/'Primary Input'!$J$29)</f>
        <v>0</v>
      </c>
      <c r="X25" s="45"/>
      <c r="Y25" s="44"/>
      <c r="Z25" s="43"/>
      <c r="AA25" s="44"/>
      <c r="AB25" s="43"/>
      <c r="AC25" s="44"/>
      <c r="AD25" s="43"/>
      <c r="AE25" s="44"/>
      <c r="AF25" s="43"/>
      <c r="AG25" s="44"/>
      <c r="AH25" s="43"/>
      <c r="AI25" s="44"/>
      <c r="AJ25" s="43"/>
      <c r="AK25" s="44"/>
      <c r="AL25" s="43"/>
      <c r="AM25" s="44"/>
      <c r="AN25" s="43"/>
      <c r="AO25" s="44"/>
      <c r="AP25" s="43"/>
      <c r="AQ25" s="44"/>
    </row>
    <row r="26" spans="1:43" ht="13.5" thickBot="1" x14ac:dyDescent="0.25">
      <c r="A26" s="25"/>
      <c r="B26" s="57"/>
      <c r="C26" s="42"/>
      <c r="D26" s="43"/>
      <c r="E26" s="44"/>
      <c r="F26" s="43"/>
      <c r="G26" s="44"/>
      <c r="H26" s="43"/>
      <c r="I26" s="44"/>
      <c r="J26" s="43"/>
      <c r="K26" s="44"/>
      <c r="L26" s="45"/>
      <c r="M26" s="44"/>
      <c r="N26" s="43"/>
      <c r="O26" s="44"/>
      <c r="P26" s="43"/>
      <c r="Q26" s="44"/>
      <c r="R26" s="43"/>
      <c r="S26" s="44"/>
      <c r="T26" s="43"/>
      <c r="U26" s="44"/>
      <c r="V26" s="43"/>
      <c r="W26" s="44"/>
      <c r="X26" s="45"/>
      <c r="Y26" s="44"/>
      <c r="Z26" s="43"/>
      <c r="AA26" s="44"/>
      <c r="AB26" s="43"/>
      <c r="AC26" s="44"/>
      <c r="AD26" s="43"/>
      <c r="AE26" s="44"/>
      <c r="AF26" s="43"/>
      <c r="AG26" s="44"/>
      <c r="AH26" s="43"/>
      <c r="AI26" s="44"/>
      <c r="AJ26" s="43"/>
      <c r="AK26" s="44"/>
      <c r="AL26" s="43"/>
      <c r="AM26" s="44"/>
      <c r="AN26" s="43"/>
      <c r="AO26" s="44"/>
      <c r="AP26" s="43"/>
      <c r="AQ26" s="44"/>
    </row>
    <row r="27" spans="1:43" ht="16.5" thickTop="1" thickBot="1" x14ac:dyDescent="0.3">
      <c r="A27" s="46"/>
      <c r="B27" s="58" t="s">
        <v>415</v>
      </c>
      <c r="C27" s="59"/>
      <c r="D27" s="60">
        <f>D22-D24-D25</f>
        <v>0</v>
      </c>
      <c r="E27" s="61">
        <f>IF(D27=0,0,D27/'Primary Input'!$J$29)</f>
        <v>0</v>
      </c>
      <c r="F27" s="60">
        <f>F22-F24-F25</f>
        <v>0</v>
      </c>
      <c r="G27" s="61">
        <f>IF(F27=0,0,F27/'Primary Input'!$J$29)</f>
        <v>0</v>
      </c>
      <c r="H27" s="60">
        <f>H22-H24-H25</f>
        <v>0</v>
      </c>
      <c r="I27" s="61">
        <f>IF(H27=0,0,H27/'Primary Input'!$J$29)</f>
        <v>0</v>
      </c>
      <c r="J27" s="60">
        <f>J22-J24-J25</f>
        <v>0</v>
      </c>
      <c r="K27" s="61">
        <f>IF(J27=0,0,J27/'Primary Input'!$J$29)</f>
        <v>0</v>
      </c>
      <c r="L27" s="62">
        <f>L22-L24-L25</f>
        <v>0</v>
      </c>
      <c r="M27" s="61">
        <f>IF(L27=0,0,L27/'Primary Input'!$J$29)</f>
        <v>0</v>
      </c>
      <c r="N27" s="60">
        <f>N22-N24-N25</f>
        <v>0</v>
      </c>
      <c r="O27" s="61">
        <f>IF(N27=0,0,N27/'Primary Input'!$J$29)</f>
        <v>0</v>
      </c>
      <c r="P27" s="60">
        <f>P22-P24-P25</f>
        <v>0</v>
      </c>
      <c r="Q27" s="61">
        <f>IF(P27=0,0,P27/'Primary Input'!$J$29)</f>
        <v>0</v>
      </c>
      <c r="R27" s="60">
        <f>R22-R24-R25</f>
        <v>0</v>
      </c>
      <c r="S27" s="61">
        <f>IF(R27=0,0,R27/'Primary Input'!$J$29)</f>
        <v>0</v>
      </c>
      <c r="T27" s="60">
        <f>T22-T24-T25</f>
        <v>0</v>
      </c>
      <c r="U27" s="61">
        <f>IF(T27=0,0,T27/'Primary Input'!$J$29)</f>
        <v>0</v>
      </c>
      <c r="V27" s="60">
        <f>V22-V24-V25</f>
        <v>0</v>
      </c>
      <c r="W27" s="61">
        <f>IF(V27=0,0,V27/'Primary Input'!$J$29)</f>
        <v>0</v>
      </c>
      <c r="X27" s="62">
        <f>X22-X24</f>
        <v>0</v>
      </c>
      <c r="Y27" s="61">
        <f>IF(X27=0,0,X27/'Primary Input'!$J$29)</f>
        <v>0</v>
      </c>
      <c r="Z27" s="60">
        <f>Z22-Z24</f>
        <v>0</v>
      </c>
      <c r="AA27" s="61">
        <f>IF(Z27=0,0,Z27/'Primary Input'!$J$29)</f>
        <v>0</v>
      </c>
      <c r="AB27" s="60">
        <f>AB22-AB24</f>
        <v>0</v>
      </c>
      <c r="AC27" s="61">
        <f>IF(AB27=0,0,AB27/'Primary Input'!$J$29)</f>
        <v>0</v>
      </c>
      <c r="AD27" s="60">
        <f>AD22-AD24</f>
        <v>0</v>
      </c>
      <c r="AE27" s="61">
        <f>IF(AD27=0,0,AD27/'Primary Input'!$J$29)</f>
        <v>0</v>
      </c>
      <c r="AF27" s="60">
        <f>AF22-AF24</f>
        <v>0</v>
      </c>
      <c r="AG27" s="61">
        <f>IF(AF27=0,0,AF27/'Primary Input'!$J$29)</f>
        <v>0</v>
      </c>
      <c r="AH27" s="60">
        <f>AH22-AH24</f>
        <v>0</v>
      </c>
      <c r="AI27" s="61">
        <f>IF(AH27=0,0,AH27/'Primary Input'!$J$29)</f>
        <v>0</v>
      </c>
      <c r="AJ27" s="60">
        <f>AJ22-AJ24</f>
        <v>0</v>
      </c>
      <c r="AK27" s="61">
        <f>IF(AJ27=0,0,AJ27/'Primary Input'!$J$29)</f>
        <v>0</v>
      </c>
      <c r="AL27" s="60">
        <f>AL22-AL24</f>
        <v>0</v>
      </c>
      <c r="AM27" s="61">
        <f>IF(AL27=0,0,AL27/'Primary Input'!$J$29)</f>
        <v>0</v>
      </c>
      <c r="AN27" s="60">
        <f>AN22-AN24</f>
        <v>0</v>
      </c>
      <c r="AO27" s="61">
        <f>IF(AN27=0,0,AN27/'Primary Input'!$J$29)</f>
        <v>0</v>
      </c>
      <c r="AP27" s="60">
        <f>AP22-AP24</f>
        <v>0</v>
      </c>
      <c r="AQ27" s="61">
        <f>IF(AP27=0,0,AP27/'Primary Input'!$J$29)</f>
        <v>0</v>
      </c>
    </row>
    <row r="28" spans="1:43" ht="13.5" thickTop="1" x14ac:dyDescent="0.2">
      <c r="A28" s="25"/>
      <c r="B28" s="41"/>
      <c r="C28" s="42"/>
      <c r="D28" s="43"/>
      <c r="E28" s="44"/>
      <c r="F28" s="43"/>
      <c r="G28" s="44"/>
      <c r="H28" s="43"/>
      <c r="I28" s="44"/>
      <c r="J28" s="43"/>
      <c r="K28" s="44"/>
      <c r="L28" s="45"/>
      <c r="M28" s="44"/>
      <c r="N28" s="43"/>
      <c r="O28" s="44"/>
      <c r="P28" s="43"/>
      <c r="Q28" s="44"/>
      <c r="R28" s="43"/>
      <c r="S28" s="44"/>
      <c r="T28" s="43"/>
      <c r="U28" s="44"/>
      <c r="V28" s="43"/>
      <c r="W28" s="44"/>
      <c r="X28" s="45"/>
      <c r="Y28" s="44"/>
      <c r="Z28" s="43"/>
      <c r="AA28" s="44"/>
      <c r="AB28" s="43"/>
      <c r="AC28" s="44"/>
      <c r="AD28" s="43"/>
      <c r="AE28" s="44"/>
      <c r="AF28" s="43"/>
      <c r="AG28" s="44"/>
      <c r="AH28" s="43"/>
      <c r="AI28" s="44"/>
      <c r="AJ28" s="43"/>
      <c r="AK28" s="44"/>
      <c r="AL28" s="43"/>
      <c r="AM28" s="44"/>
      <c r="AN28" s="43"/>
      <c r="AO28" s="44"/>
      <c r="AP28" s="43"/>
      <c r="AQ28" s="44"/>
    </row>
    <row r="29" spans="1:43" x14ac:dyDescent="0.2">
      <c r="A29" s="27"/>
      <c r="B29" s="54" t="s">
        <v>416</v>
      </c>
      <c r="C29" s="42"/>
      <c r="D29" s="43"/>
      <c r="E29" s="44"/>
      <c r="F29" s="43"/>
      <c r="G29" s="44"/>
      <c r="H29" s="43"/>
      <c r="I29" s="44"/>
      <c r="J29" s="43"/>
      <c r="K29" s="44"/>
      <c r="L29" s="45"/>
      <c r="M29" s="44"/>
      <c r="N29" s="43"/>
      <c r="O29" s="44"/>
      <c r="P29" s="43"/>
      <c r="Q29" s="44"/>
      <c r="R29" s="43"/>
      <c r="S29" s="44"/>
      <c r="T29" s="43"/>
      <c r="U29" s="44"/>
      <c r="V29" s="43"/>
      <c r="W29" s="44"/>
      <c r="X29" s="45"/>
      <c r="Y29" s="44"/>
      <c r="Z29" s="43"/>
      <c r="AA29" s="44"/>
      <c r="AB29" s="43"/>
      <c r="AC29" s="44"/>
      <c r="AD29" s="43"/>
      <c r="AE29" s="44"/>
      <c r="AF29" s="43"/>
      <c r="AG29" s="44"/>
      <c r="AH29" s="43"/>
      <c r="AI29" s="44"/>
      <c r="AJ29" s="43"/>
      <c r="AK29" s="44"/>
      <c r="AL29" s="43"/>
      <c r="AM29" s="44"/>
      <c r="AN29" s="43"/>
      <c r="AO29" s="44"/>
      <c r="AP29" s="43"/>
      <c r="AQ29" s="44"/>
    </row>
    <row r="30" spans="1:43" x14ac:dyDescent="0.2">
      <c r="A30" s="27"/>
      <c r="B30" s="41" t="s">
        <v>417</v>
      </c>
      <c r="C30" s="42"/>
      <c r="D30" s="43">
        <f>+'Pro Forma Calculation'!I85</f>
        <v>0</v>
      </c>
      <c r="E30" s="44">
        <f>IF(D30=0,0,D30/'Primary Input'!$J$29)</f>
        <v>0</v>
      </c>
      <c r="F30" s="43">
        <f>+D30</f>
        <v>0</v>
      </c>
      <c r="G30" s="44">
        <f>IF(F30=0,0,F30/'Primary Input'!$J$29)</f>
        <v>0</v>
      </c>
      <c r="H30" s="43">
        <f>+F30</f>
        <v>0</v>
      </c>
      <c r="I30" s="44">
        <f>IF(H30=0,0,H30/'Primary Input'!$J$29)</f>
        <v>0</v>
      </c>
      <c r="J30" s="43">
        <f>+H30</f>
        <v>0</v>
      </c>
      <c r="K30" s="44">
        <f>IF(J30=0,0,J30/'Primary Input'!$J$29)</f>
        <v>0</v>
      </c>
      <c r="L30" s="45">
        <f>+J30</f>
        <v>0</v>
      </c>
      <c r="M30" s="44">
        <f>IF(L30=0,0,L30/'Primary Input'!$J$29)</f>
        <v>0</v>
      </c>
      <c r="N30" s="43">
        <f>+L30</f>
        <v>0</v>
      </c>
      <c r="O30" s="44">
        <f>IF(N30=0,0,N30/'Primary Input'!$J$29)</f>
        <v>0</v>
      </c>
      <c r="P30" s="43">
        <f>+N30</f>
        <v>0</v>
      </c>
      <c r="Q30" s="44">
        <f>IF(P30=0,0,P30/'Primary Input'!$J$29)</f>
        <v>0</v>
      </c>
      <c r="R30" s="43">
        <f>+P30</f>
        <v>0</v>
      </c>
      <c r="S30" s="44">
        <f>IF(R30=0,0,R30/'Primary Input'!$J$29)</f>
        <v>0</v>
      </c>
      <c r="T30" s="43">
        <f>+R30</f>
        <v>0</v>
      </c>
      <c r="U30" s="44">
        <f>IF(T30=0,0,T30/'Primary Input'!$J$29)</f>
        <v>0</v>
      </c>
      <c r="V30" s="43">
        <f>+T30</f>
        <v>0</v>
      </c>
      <c r="W30" s="44">
        <f>IF(V30=0,0,V30/'Primary Input'!$J$29)</f>
        <v>0</v>
      </c>
      <c r="X30" s="45">
        <f>+V30</f>
        <v>0</v>
      </c>
      <c r="Y30" s="44">
        <f>IF(X30=0,0,X30/'Primary Input'!$J$29)</f>
        <v>0</v>
      </c>
      <c r="Z30" s="43">
        <f>+X30</f>
        <v>0</v>
      </c>
      <c r="AA30" s="44">
        <f>IF(Z30=0,0,Z30/'Primary Input'!$J$29)</f>
        <v>0</v>
      </c>
      <c r="AB30" s="43">
        <f>+Z30</f>
        <v>0</v>
      </c>
      <c r="AC30" s="44">
        <f>IF(AB30=0,0,AB30/'Primary Input'!$J$29)</f>
        <v>0</v>
      </c>
      <c r="AD30" s="43">
        <f>+AB30</f>
        <v>0</v>
      </c>
      <c r="AE30" s="44">
        <f>IF(AD30=0,0,AD30/'Primary Input'!$J$29)</f>
        <v>0</v>
      </c>
      <c r="AF30" s="43">
        <f>+AD30</f>
        <v>0</v>
      </c>
      <c r="AG30" s="44">
        <f>IF(AF30=0,0,AF30/'Primary Input'!$J$29)</f>
        <v>0</v>
      </c>
      <c r="AH30" s="43">
        <f>+AF30</f>
        <v>0</v>
      </c>
      <c r="AI30" s="44">
        <f>IF(AH30=0,0,AH30/'Primary Input'!$J$29)</f>
        <v>0</v>
      </c>
      <c r="AJ30" s="43">
        <f>+AH30</f>
        <v>0</v>
      </c>
      <c r="AK30" s="44">
        <f>IF(AJ30=0,0,AJ30/'Primary Input'!$J$29)</f>
        <v>0</v>
      </c>
      <c r="AL30" s="43">
        <f>+AJ30</f>
        <v>0</v>
      </c>
      <c r="AM30" s="44">
        <f>IF(AL30=0,0,AL30/'Primary Input'!$J$29)</f>
        <v>0</v>
      </c>
      <c r="AN30" s="43">
        <f>+AL30</f>
        <v>0</v>
      </c>
      <c r="AO30" s="44">
        <f>IF(AN30=0,0,AN30/'Primary Input'!$J$29)</f>
        <v>0</v>
      </c>
      <c r="AP30" s="43">
        <f>+AN30</f>
        <v>0</v>
      </c>
      <c r="AQ30" s="44">
        <f>IF(AP30=0,0,AP30/'Primary Input'!$J$29)</f>
        <v>0</v>
      </c>
    </row>
    <row r="31" spans="1:43" x14ac:dyDescent="0.2">
      <c r="A31" s="27"/>
      <c r="B31" s="53" t="s">
        <v>418</v>
      </c>
      <c r="C31" s="42"/>
      <c r="D31" s="43">
        <f>+'Pro Forma Calculation'!I86</f>
        <v>0</v>
      </c>
      <c r="E31" s="44">
        <f>IF(D31=0,0,D31/'Primary Input'!$J$29)</f>
        <v>0</v>
      </c>
      <c r="F31" s="43">
        <f>+D31</f>
        <v>0</v>
      </c>
      <c r="G31" s="44">
        <f>IF(F31=0,0,F31/'Primary Input'!$J$29)</f>
        <v>0</v>
      </c>
      <c r="H31" s="43">
        <f>+F31</f>
        <v>0</v>
      </c>
      <c r="I31" s="44">
        <f>IF(H31=0,0,H31/'Primary Input'!$J$29)</f>
        <v>0</v>
      </c>
      <c r="J31" s="43">
        <f>+H31</f>
        <v>0</v>
      </c>
      <c r="K31" s="44">
        <f>IF(J31=0,0,J31/'Primary Input'!$J$29)</f>
        <v>0</v>
      </c>
      <c r="L31" s="45">
        <f>+J31</f>
        <v>0</v>
      </c>
      <c r="M31" s="44">
        <f>IF(L31=0,0,L31/'Primary Input'!$J$29)</f>
        <v>0</v>
      </c>
      <c r="N31" s="43">
        <f>+L31</f>
        <v>0</v>
      </c>
      <c r="O31" s="44">
        <f>IF(N31=0,0,N31/'Primary Input'!$J$29)</f>
        <v>0</v>
      </c>
      <c r="P31" s="43">
        <f>+N31</f>
        <v>0</v>
      </c>
      <c r="Q31" s="44">
        <f>IF(P31=0,0,P31/'Primary Input'!$J$29)</f>
        <v>0</v>
      </c>
      <c r="R31" s="43">
        <f>+P31</f>
        <v>0</v>
      </c>
      <c r="S31" s="44">
        <f>IF(R31=0,0,R31/'Primary Input'!$J$29)</f>
        <v>0</v>
      </c>
      <c r="T31" s="43">
        <f>+R31</f>
        <v>0</v>
      </c>
      <c r="U31" s="44">
        <f>IF(T31=0,0,T31/'Primary Input'!$J$29)</f>
        <v>0</v>
      </c>
      <c r="V31" s="43">
        <f>+T31</f>
        <v>0</v>
      </c>
      <c r="W31" s="44">
        <f>IF(V31=0,0,V31/'Primary Input'!$J$29)</f>
        <v>0</v>
      </c>
      <c r="X31" s="45">
        <f>+V31</f>
        <v>0</v>
      </c>
      <c r="Y31" s="44">
        <f>IF(X31=0,0,X31/'Primary Input'!$J$29)</f>
        <v>0</v>
      </c>
      <c r="Z31" s="43">
        <f>+X31</f>
        <v>0</v>
      </c>
      <c r="AA31" s="44">
        <f>IF(Z31=0,0,Z31/'Primary Input'!$J$29)</f>
        <v>0</v>
      </c>
      <c r="AB31" s="43">
        <f>+Z31</f>
        <v>0</v>
      </c>
      <c r="AC31" s="44">
        <f>IF(AB31=0,0,AB31/'Primary Input'!$J$29)</f>
        <v>0</v>
      </c>
      <c r="AD31" s="43">
        <f>+AB31</f>
        <v>0</v>
      </c>
      <c r="AE31" s="44">
        <f>IF(AD31=0,0,AD31/'Primary Input'!$J$29)</f>
        <v>0</v>
      </c>
      <c r="AF31" s="43">
        <f>+AD31</f>
        <v>0</v>
      </c>
      <c r="AG31" s="44">
        <f>IF(AF31=0,0,AF31/'Primary Input'!$J$29)</f>
        <v>0</v>
      </c>
      <c r="AH31" s="43">
        <f>+AF31</f>
        <v>0</v>
      </c>
      <c r="AI31" s="44">
        <f>IF(AH31=0,0,AH31/'Primary Input'!$J$29)</f>
        <v>0</v>
      </c>
      <c r="AJ31" s="43">
        <f>+AH31</f>
        <v>0</v>
      </c>
      <c r="AK31" s="44">
        <f>IF(AJ31=0,0,AJ31/'Primary Input'!$J$29)</f>
        <v>0</v>
      </c>
      <c r="AL31" s="43">
        <f>+AJ31</f>
        <v>0</v>
      </c>
      <c r="AM31" s="44">
        <f>IF(AL31=0,0,AL31/'Primary Input'!$J$29)</f>
        <v>0</v>
      </c>
      <c r="AN31" s="43">
        <f>+AL31</f>
        <v>0</v>
      </c>
      <c r="AO31" s="44">
        <f>IF(AN31=0,0,AN31/'Primary Input'!$J$29)</f>
        <v>0</v>
      </c>
      <c r="AP31" s="43">
        <f>+AN31</f>
        <v>0</v>
      </c>
      <c r="AQ31" s="44">
        <f>IF(AP31=0,0,AP31/'Primary Input'!$J$29)</f>
        <v>0</v>
      </c>
    </row>
    <row r="32" spans="1:43" x14ac:dyDescent="0.2">
      <c r="A32" s="27"/>
      <c r="B32" s="53" t="s">
        <v>419</v>
      </c>
      <c r="C32" s="23"/>
      <c r="D32" s="72"/>
      <c r="E32" s="63">
        <f>IF(D32=0,0,D32/'Primary Input'!$J$29)</f>
        <v>0</v>
      </c>
      <c r="F32" s="72"/>
      <c r="G32" s="44">
        <f>IF(F32=0,0,F32/'Primary Input'!$J$29)</f>
        <v>0</v>
      </c>
      <c r="H32" s="72"/>
      <c r="I32" s="44">
        <f>IF(H32=0,0,H32/'Primary Input'!$J$29)</f>
        <v>0</v>
      </c>
      <c r="J32" s="72"/>
      <c r="K32" s="44">
        <f>IF(J32=0,0,J32/'Primary Input'!$J$29)</f>
        <v>0</v>
      </c>
      <c r="L32" s="72"/>
      <c r="M32" s="44">
        <f>IF(L32=0,0,L32/'Primary Input'!$J$29)</f>
        <v>0</v>
      </c>
      <c r="N32" s="72"/>
      <c r="O32" s="44">
        <f>IF(N32=0,0,N32/'Primary Input'!$J$29)</f>
        <v>0</v>
      </c>
      <c r="P32" s="72"/>
      <c r="Q32" s="44">
        <f>IF(P32=0,0,P32/'Primary Input'!$J$29)</f>
        <v>0</v>
      </c>
      <c r="R32" s="72"/>
      <c r="S32" s="44">
        <f>IF(R32=0,0,R32/'Primary Input'!$J$29)</f>
        <v>0</v>
      </c>
      <c r="T32" s="72"/>
      <c r="U32" s="44">
        <f>IF(T32=0,0,T32/'Primary Input'!$J$29)</f>
        <v>0</v>
      </c>
      <c r="V32" s="72"/>
      <c r="W32" s="44">
        <f>IF(V32=0,0,V32/'Primary Input'!$J$29)</f>
        <v>0</v>
      </c>
      <c r="X32" s="72"/>
      <c r="Y32" s="44">
        <f>IF(X32=0,0,X32/'Primary Input'!$J$29)</f>
        <v>0</v>
      </c>
      <c r="Z32" s="72"/>
      <c r="AA32" s="44">
        <f>IF(Z32=0,0,Z32/'Primary Input'!$J$29)</f>
        <v>0</v>
      </c>
      <c r="AB32" s="72"/>
      <c r="AC32" s="44">
        <f>IF(AB32=0,0,AB32/'Primary Input'!$J$29)</f>
        <v>0</v>
      </c>
      <c r="AD32" s="72"/>
      <c r="AE32" s="44">
        <f>IF(AD32=0,0,AD32/'Primary Input'!$J$29)</f>
        <v>0</v>
      </c>
      <c r="AF32" s="72"/>
      <c r="AG32" s="44">
        <f>IF(AF32=0,0,AF32/'Primary Input'!$J$29)</f>
        <v>0</v>
      </c>
      <c r="AH32" s="72"/>
      <c r="AI32" s="44">
        <f>IF(AH32=0,0,AH32/'Primary Input'!$J$29)</f>
        <v>0</v>
      </c>
      <c r="AJ32" s="72"/>
      <c r="AK32" s="44">
        <f>IF(AJ32=0,0,AJ32/'Primary Input'!$J$29)</f>
        <v>0</v>
      </c>
      <c r="AL32" s="72"/>
      <c r="AM32" s="44">
        <f>IF(AL32=0,0,AL32/'Primary Input'!$J$29)</f>
        <v>0</v>
      </c>
      <c r="AN32" s="72"/>
      <c r="AO32" s="44">
        <f>IF(AN32=0,0,AN32/'Primary Input'!$J$29)</f>
        <v>0</v>
      </c>
      <c r="AP32" s="72"/>
      <c r="AQ32" s="44">
        <f>IF(AP32=0,0,AP32/'Primary Input'!$J$29)</f>
        <v>0</v>
      </c>
    </row>
    <row r="33" spans="1:44" x14ac:dyDescent="0.2">
      <c r="A33" s="46"/>
      <c r="B33" s="54" t="s">
        <v>420</v>
      </c>
      <c r="C33" s="64"/>
      <c r="D33" s="50">
        <f>SUM(D30:D32)</f>
        <v>0</v>
      </c>
      <c r="E33" s="55">
        <f>IF(D33=0,0,D33/'Primary Input'!$J$29)</f>
        <v>0</v>
      </c>
      <c r="F33" s="50">
        <f>SUM(F30:F32)</f>
        <v>0</v>
      </c>
      <c r="G33" s="55">
        <f>IF(F33=0,0,F33/'Primary Input'!$J$29)</f>
        <v>0</v>
      </c>
      <c r="H33" s="50">
        <f>SUM(H30:H32)</f>
        <v>0</v>
      </c>
      <c r="I33" s="55">
        <f>IF(H33=0,0,H33/'Primary Input'!$J$29)</f>
        <v>0</v>
      </c>
      <c r="J33" s="50">
        <f>SUM(J30:J32)</f>
        <v>0</v>
      </c>
      <c r="K33" s="55">
        <f>IF(J33=0,0,J33/'Primary Input'!$J$29)</f>
        <v>0</v>
      </c>
      <c r="L33" s="50">
        <f>SUM(L30:L32)</f>
        <v>0</v>
      </c>
      <c r="M33" s="55">
        <f>IF(L33=0,0,L33/'Primary Input'!$J$29)</f>
        <v>0</v>
      </c>
      <c r="N33" s="50">
        <f>SUM(N30:N32)</f>
        <v>0</v>
      </c>
      <c r="O33" s="55">
        <f>IF(N33=0,0,N33/'Primary Input'!$J$29)</f>
        <v>0</v>
      </c>
      <c r="P33" s="50">
        <f>SUM(P30:P32)</f>
        <v>0</v>
      </c>
      <c r="Q33" s="55">
        <f>IF(P33=0,0,P33/'Primary Input'!$J$29)</f>
        <v>0</v>
      </c>
      <c r="R33" s="50">
        <f>SUM(R30:R32)</f>
        <v>0</v>
      </c>
      <c r="S33" s="55">
        <f>IF(R33=0,0,R33/'Primary Input'!$J$29)</f>
        <v>0</v>
      </c>
      <c r="T33" s="50">
        <f>SUM(T30:T32)</f>
        <v>0</v>
      </c>
      <c r="U33" s="55">
        <f>IF(T33=0,0,T33/'Primary Input'!$J$29)</f>
        <v>0</v>
      </c>
      <c r="V33" s="50">
        <f>SUM(V30:V32)</f>
        <v>0</v>
      </c>
      <c r="W33" s="55">
        <f>IF(V33=0,0,V33/'Primary Input'!$J$29)</f>
        <v>0</v>
      </c>
      <c r="X33" s="50">
        <f>SUM(X30:X32)</f>
        <v>0</v>
      </c>
      <c r="Y33" s="55">
        <f>IF(X33=0,0,X33/'Primary Input'!$J$29)</f>
        <v>0</v>
      </c>
      <c r="Z33" s="50">
        <f>SUM(Z30:Z32)</f>
        <v>0</v>
      </c>
      <c r="AA33" s="55">
        <f>IF(Z33=0,0,Z33/'Primary Input'!$J$29)</f>
        <v>0</v>
      </c>
      <c r="AB33" s="50">
        <f>SUM(AB30:AB32)</f>
        <v>0</v>
      </c>
      <c r="AC33" s="55">
        <f>IF(AB33=0,0,AB33/'Primary Input'!$J$29)</f>
        <v>0</v>
      </c>
      <c r="AD33" s="50">
        <f>SUM(AD30:AD32)</f>
        <v>0</v>
      </c>
      <c r="AE33" s="55">
        <f>IF(AD33=0,0,AD33/'Primary Input'!$J$29)</f>
        <v>0</v>
      </c>
      <c r="AF33" s="50">
        <f>SUM(AF30:AF32)</f>
        <v>0</v>
      </c>
      <c r="AG33" s="55">
        <f>IF(AF33=0,0,AF33/'Primary Input'!$J$29)</f>
        <v>0</v>
      </c>
      <c r="AH33" s="50">
        <f>SUM(AH30:AH32)</f>
        <v>0</v>
      </c>
      <c r="AI33" s="55">
        <f>IF(AH33=0,0,AH33/'Primary Input'!$J$29)</f>
        <v>0</v>
      </c>
      <c r="AJ33" s="50">
        <f>SUM(AJ30:AJ32)</f>
        <v>0</v>
      </c>
      <c r="AK33" s="55">
        <f>IF(AJ33=0,0,AJ33/'Primary Input'!$J$29)</f>
        <v>0</v>
      </c>
      <c r="AL33" s="50">
        <f>SUM(AL30:AL32)</f>
        <v>0</v>
      </c>
      <c r="AM33" s="55">
        <f>IF(AL33=0,0,AL33/'Primary Input'!$J$29)</f>
        <v>0</v>
      </c>
      <c r="AN33" s="50">
        <f>SUM(AN30:AN32)</f>
        <v>0</v>
      </c>
      <c r="AO33" s="55">
        <f>IF(AN33=0,0,AN33/'Primary Input'!$J$29)</f>
        <v>0</v>
      </c>
      <c r="AP33" s="50">
        <f>SUM(AP30:AP32)</f>
        <v>0</v>
      </c>
      <c r="AQ33" s="55">
        <f>IF(AP33=0,0,AP33/'Primary Input'!$J$29)</f>
        <v>0</v>
      </c>
    </row>
    <row r="34" spans="1:44" ht="13.5" thickBot="1" x14ac:dyDescent="0.25">
      <c r="A34" s="27"/>
      <c r="B34" s="41"/>
      <c r="C34" s="42"/>
      <c r="D34" s="43"/>
      <c r="E34" s="44"/>
      <c r="F34" s="43"/>
      <c r="G34" s="44"/>
      <c r="H34" s="43"/>
      <c r="I34" s="44"/>
      <c r="J34" s="43"/>
      <c r="K34" s="44"/>
      <c r="L34" s="45"/>
      <c r="M34" s="44"/>
      <c r="N34" s="43"/>
      <c r="O34" s="44"/>
      <c r="P34" s="43"/>
      <c r="Q34" s="44"/>
      <c r="R34" s="43"/>
      <c r="S34" s="44"/>
      <c r="T34" s="43"/>
      <c r="U34" s="44"/>
      <c r="V34" s="43"/>
      <c r="W34" s="44"/>
      <c r="X34" s="45"/>
      <c r="Y34" s="44"/>
      <c r="Z34" s="43"/>
      <c r="AA34" s="44"/>
      <c r="AB34" s="43"/>
      <c r="AC34" s="44"/>
      <c r="AD34" s="43"/>
      <c r="AE34" s="44"/>
      <c r="AF34" s="43"/>
      <c r="AG34" s="44"/>
      <c r="AH34" s="43"/>
      <c r="AI34" s="44"/>
      <c r="AJ34" s="43"/>
      <c r="AK34" s="44"/>
      <c r="AL34" s="43"/>
      <c r="AM34" s="44"/>
      <c r="AN34" s="43"/>
      <c r="AO34" s="44"/>
      <c r="AP34" s="43"/>
      <c r="AQ34" s="44"/>
    </row>
    <row r="35" spans="1:44" ht="16.5" thickTop="1" thickBot="1" x14ac:dyDescent="0.3">
      <c r="A35" s="46"/>
      <c r="B35" s="58" t="s">
        <v>421</v>
      </c>
      <c r="C35" s="59"/>
      <c r="D35" s="60">
        <f>+D27-D33</f>
        <v>0</v>
      </c>
      <c r="E35" s="61">
        <f>IF(D35=0,0,D35/'Primary Input'!$J$29)</f>
        <v>0</v>
      </c>
      <c r="F35" s="60">
        <f>+F27-F33</f>
        <v>0</v>
      </c>
      <c r="G35" s="61">
        <f>IF(F35=0,0,F35/'Primary Input'!$J$29)</f>
        <v>0</v>
      </c>
      <c r="H35" s="60">
        <f>+H27-H33</f>
        <v>0</v>
      </c>
      <c r="I35" s="61">
        <f>IF(H35=0,0,H35/'Primary Input'!$J$29)</f>
        <v>0</v>
      </c>
      <c r="J35" s="60">
        <f>+J27-J33</f>
        <v>0</v>
      </c>
      <c r="K35" s="61">
        <f>IF(J35=0,0,J35/'Primary Input'!$J$29)</f>
        <v>0</v>
      </c>
      <c r="L35" s="62">
        <f>+L27-L33</f>
        <v>0</v>
      </c>
      <c r="M35" s="61">
        <f>IF(L35=0,0,L35/'Primary Input'!$J$29)</f>
        <v>0</v>
      </c>
      <c r="N35" s="60">
        <f>+N27-N33</f>
        <v>0</v>
      </c>
      <c r="O35" s="61">
        <f>IF(N35=0,0,N35/'Primary Input'!$J$29)</f>
        <v>0</v>
      </c>
      <c r="P35" s="60">
        <f>+P27-P33</f>
        <v>0</v>
      </c>
      <c r="Q35" s="61">
        <f>IF(P35=0,0,P35/'Primary Input'!$J$29)</f>
        <v>0</v>
      </c>
      <c r="R35" s="60">
        <f>+R27-R33</f>
        <v>0</v>
      </c>
      <c r="S35" s="61">
        <f>IF(R35=0,0,R35/'Primary Input'!$J$29)</f>
        <v>0</v>
      </c>
      <c r="T35" s="60">
        <f>+T27-T33</f>
        <v>0</v>
      </c>
      <c r="U35" s="61">
        <f>IF(T35=0,0,T35/'Primary Input'!$J$29)</f>
        <v>0</v>
      </c>
      <c r="V35" s="60">
        <f>+V27-V33</f>
        <v>0</v>
      </c>
      <c r="W35" s="61">
        <f>IF(V35=0,0,V35/'Primary Input'!$J$29)</f>
        <v>0</v>
      </c>
      <c r="X35" s="62">
        <f>+X27-X33</f>
        <v>0</v>
      </c>
      <c r="Y35" s="61">
        <f>IF(X35=0,0,X35/'Primary Input'!$J$29)</f>
        <v>0</v>
      </c>
      <c r="Z35" s="60">
        <f>+Z27-Z33</f>
        <v>0</v>
      </c>
      <c r="AA35" s="61">
        <f>IF(Z35=0,0,Z35/'Primary Input'!$J$29)</f>
        <v>0</v>
      </c>
      <c r="AB35" s="60">
        <f>+AB27-AB33</f>
        <v>0</v>
      </c>
      <c r="AC35" s="61">
        <f>IF(AB35=0,0,AB35/'Primary Input'!$J$29)</f>
        <v>0</v>
      </c>
      <c r="AD35" s="60">
        <f>+AD27-AD33</f>
        <v>0</v>
      </c>
      <c r="AE35" s="61">
        <f>IF(AD35=0,0,AD35/'Primary Input'!$J$29)</f>
        <v>0</v>
      </c>
      <c r="AF35" s="60">
        <f>+AF27-AF33</f>
        <v>0</v>
      </c>
      <c r="AG35" s="61">
        <f>IF(AF35=0,0,AF35/'Primary Input'!$J$29)</f>
        <v>0</v>
      </c>
      <c r="AH35" s="60">
        <f>+AH27-AH33</f>
        <v>0</v>
      </c>
      <c r="AI35" s="61">
        <f>IF(AH35=0,0,AH35/'Primary Input'!$J$29)</f>
        <v>0</v>
      </c>
      <c r="AJ35" s="60">
        <f>+AJ27-AJ33</f>
        <v>0</v>
      </c>
      <c r="AK35" s="61">
        <f>IF(AJ35=0,0,AJ35/'Primary Input'!$J$29)</f>
        <v>0</v>
      </c>
      <c r="AL35" s="60">
        <f>+AL27-AL33</f>
        <v>0</v>
      </c>
      <c r="AM35" s="61">
        <f>IF(AL35=0,0,AL35/'Primary Input'!$J$29)</f>
        <v>0</v>
      </c>
      <c r="AN35" s="60">
        <f>+AN27-AN33</f>
        <v>0</v>
      </c>
      <c r="AO35" s="61">
        <f>IF(AN35=0,0,AN35/'Primary Input'!$J$29)</f>
        <v>0</v>
      </c>
      <c r="AP35" s="60">
        <f>+AP27-AP33</f>
        <v>0</v>
      </c>
      <c r="AQ35" s="61">
        <f>IF(AP35=0,0,AP35/'Primary Input'!$J$29)</f>
        <v>0</v>
      </c>
      <c r="AR35" s="822">
        <f>+D35+F35+H35+J35+L35+N35+P35+R35+T35+V35+X35+Z35+AB35+AD35+AF35+AH35+AJ35+AL35+AN35+AP35</f>
        <v>0</v>
      </c>
    </row>
    <row r="36" spans="1:44" ht="31.5" customHeight="1" thickTop="1" thickBot="1" x14ac:dyDescent="0.3">
      <c r="A36" s="46"/>
      <c r="B36" s="1994" t="s">
        <v>1144</v>
      </c>
      <c r="C36" s="1995"/>
      <c r="D36" s="60"/>
      <c r="E36" s="61"/>
      <c r="F36" s="60"/>
      <c r="G36" s="61"/>
      <c r="H36" s="60"/>
      <c r="I36" s="61"/>
      <c r="J36" s="60"/>
      <c r="K36" s="61"/>
      <c r="L36" s="62"/>
      <c r="M36" s="61"/>
      <c r="N36" s="60"/>
      <c r="O36" s="61"/>
      <c r="P36" s="60"/>
      <c r="Q36" s="61"/>
      <c r="R36" s="60"/>
      <c r="S36" s="61"/>
      <c r="T36" s="60"/>
      <c r="U36" s="61"/>
      <c r="V36" s="60"/>
      <c r="W36" s="61"/>
      <c r="X36" s="62"/>
      <c r="Y36" s="61"/>
      <c r="Z36" s="60"/>
      <c r="AA36" s="61"/>
      <c r="AB36" s="60"/>
      <c r="AC36" s="61"/>
      <c r="AD36" s="60"/>
      <c r="AE36" s="61"/>
      <c r="AF36" s="60"/>
      <c r="AG36" s="61"/>
      <c r="AH36" s="60"/>
      <c r="AI36" s="61"/>
      <c r="AJ36" s="60"/>
      <c r="AK36" s="61"/>
      <c r="AL36" s="60"/>
      <c r="AM36" s="61"/>
      <c r="AN36" s="60"/>
      <c r="AO36" s="61"/>
      <c r="AP36" s="60"/>
      <c r="AQ36" s="61"/>
    </row>
    <row r="37" spans="1:44" ht="16.5" thickTop="1" thickBot="1" x14ac:dyDescent="0.3">
      <c r="A37" s="27"/>
      <c r="B37" s="58" t="s">
        <v>464</v>
      </c>
      <c r="C37" s="59"/>
      <c r="D37" s="60">
        <f>+D35-D36</f>
        <v>0</v>
      </c>
      <c r="E37" s="61">
        <f>IF(D37=0,0,D37/'Primary Input'!$J$29)</f>
        <v>0</v>
      </c>
      <c r="F37" s="60">
        <f>+F35-F36</f>
        <v>0</v>
      </c>
      <c r="G37" s="61">
        <f>IF(F37=0,0,F37/'Primary Input'!$J$29)</f>
        <v>0</v>
      </c>
      <c r="H37" s="60">
        <f>+H35-H36</f>
        <v>0</v>
      </c>
      <c r="I37" s="61">
        <f>IF(H37=0,0,H37/'Primary Input'!$J$29)</f>
        <v>0</v>
      </c>
      <c r="J37" s="60">
        <f>+J35-J36</f>
        <v>0</v>
      </c>
      <c r="K37" s="61">
        <f>IF(J37=0,0,J37/'Primary Input'!$J$29)</f>
        <v>0</v>
      </c>
      <c r="L37" s="62">
        <f>+L35-L36</f>
        <v>0</v>
      </c>
      <c r="M37" s="61">
        <f>IF(L37=0,0,L37/'Primary Input'!$J$29)</f>
        <v>0</v>
      </c>
      <c r="N37" s="60">
        <f>+N35-N36</f>
        <v>0</v>
      </c>
      <c r="O37" s="61">
        <f>IF(N37=0,0,N37/'Primary Input'!$J$29)</f>
        <v>0</v>
      </c>
      <c r="P37" s="60">
        <f>+P35-P36</f>
        <v>0</v>
      </c>
      <c r="Q37" s="61">
        <f>IF(P37=0,0,P37/'Primary Input'!$J$29)</f>
        <v>0</v>
      </c>
      <c r="R37" s="60">
        <f>+R35-R36</f>
        <v>0</v>
      </c>
      <c r="S37" s="61">
        <f>IF(R37=0,0,R37/'Primary Input'!$J$29)</f>
        <v>0</v>
      </c>
      <c r="T37" s="60">
        <f>+T35-T36</f>
        <v>0</v>
      </c>
      <c r="U37" s="61">
        <f>IF(T37=0,0,T37/'Primary Input'!$J$29)</f>
        <v>0</v>
      </c>
      <c r="V37" s="60">
        <f>+V35-V36</f>
        <v>0</v>
      </c>
      <c r="W37" s="61">
        <f>IF(V37=0,0,V37/'Primary Input'!$J$29)</f>
        <v>0</v>
      </c>
      <c r="X37" s="62">
        <f>+X35-X36</f>
        <v>0</v>
      </c>
      <c r="Y37" s="61">
        <f>IF(X37=0,0,X37/'Primary Input'!$J$29)</f>
        <v>0</v>
      </c>
      <c r="Z37" s="60">
        <f>+Z35-Z36</f>
        <v>0</v>
      </c>
      <c r="AA37" s="61">
        <f>IF(Z37=0,0,Z37/'Primary Input'!$J$29)</f>
        <v>0</v>
      </c>
      <c r="AB37" s="60">
        <f>+AB35-AB36</f>
        <v>0</v>
      </c>
      <c r="AC37" s="61">
        <f>IF(AB37=0,0,AB37/'Primary Input'!$J$29)</f>
        <v>0</v>
      </c>
      <c r="AD37" s="60">
        <f>+AD35-AD36</f>
        <v>0</v>
      </c>
      <c r="AE37" s="61">
        <f>IF(AD37=0,0,AD37/'Primary Input'!$J$29)</f>
        <v>0</v>
      </c>
      <c r="AF37" s="60">
        <f>+AF35-AF36</f>
        <v>0</v>
      </c>
      <c r="AG37" s="61">
        <f>IF(AF37=0,0,AF37/'Primary Input'!$J$29)</f>
        <v>0</v>
      </c>
      <c r="AH37" s="60">
        <f>+AH35-AH36</f>
        <v>0</v>
      </c>
      <c r="AI37" s="61">
        <f>IF(AH37=0,0,AH37/'Primary Input'!$J$29)</f>
        <v>0</v>
      </c>
      <c r="AJ37" s="60">
        <f>+AJ35-AJ36</f>
        <v>0</v>
      </c>
      <c r="AK37" s="61">
        <f>IF(AJ37=0,0,AJ37/'Primary Input'!$J$29)</f>
        <v>0</v>
      </c>
      <c r="AL37" s="60">
        <f>+AL35-AL36</f>
        <v>0</v>
      </c>
      <c r="AM37" s="61">
        <f>IF(AL37=0,0,AL37/'Primary Input'!$J$29)</f>
        <v>0</v>
      </c>
      <c r="AN37" s="60">
        <f>+AN35-AN36</f>
        <v>0</v>
      </c>
      <c r="AO37" s="61">
        <f>IF(AN37=0,0,AN37/'Primary Input'!$J$29)</f>
        <v>0</v>
      </c>
      <c r="AP37" s="60">
        <f>+AP35-AP36</f>
        <v>0</v>
      </c>
      <c r="AQ37" s="61">
        <f>IF(AP37=0,0,AP37/'Primary Input'!$J$29)</f>
        <v>0</v>
      </c>
    </row>
    <row r="38" spans="1:44" ht="13.5" thickTop="1" x14ac:dyDescent="0.2">
      <c r="A38" s="27"/>
      <c r="B38" s="28" t="str">
        <f>+'Pro Forma Calculation'!B92</f>
        <v>HOME FUNDS DEBT SERVICE</v>
      </c>
      <c r="C38" s="42"/>
      <c r="D38" s="1986">
        <f>+D37*'Pro Forma Calculation'!$D92</f>
        <v>0</v>
      </c>
      <c r="E38" s="1987"/>
      <c r="F38" s="1986">
        <f>+F37*'Pro Forma Calculation'!$D92</f>
        <v>0</v>
      </c>
      <c r="G38" s="1987"/>
      <c r="H38" s="1986">
        <f>+H37*'Pro Forma Calculation'!$D92</f>
        <v>0</v>
      </c>
      <c r="I38" s="1987"/>
      <c r="J38" s="1986">
        <f>+J37*'Pro Forma Calculation'!$D92</f>
        <v>0</v>
      </c>
      <c r="K38" s="1987"/>
      <c r="L38" s="1986">
        <f>+L37*'Pro Forma Calculation'!$D92</f>
        <v>0</v>
      </c>
      <c r="M38" s="1987"/>
      <c r="N38" s="1986">
        <f>+N37*'Pro Forma Calculation'!$D92</f>
        <v>0</v>
      </c>
      <c r="O38" s="1987"/>
      <c r="P38" s="1986">
        <f>+P37*'Pro Forma Calculation'!$D92</f>
        <v>0</v>
      </c>
      <c r="Q38" s="1987"/>
      <c r="R38" s="1986">
        <f>+R37*'Pro Forma Calculation'!$D92</f>
        <v>0</v>
      </c>
      <c r="S38" s="1987"/>
      <c r="T38" s="1986">
        <f>+T37*'Pro Forma Calculation'!$D92</f>
        <v>0</v>
      </c>
      <c r="U38" s="1987"/>
      <c r="V38" s="1986">
        <f>+V37*'Pro Forma Calculation'!$D92</f>
        <v>0</v>
      </c>
      <c r="W38" s="1987"/>
      <c r="X38" s="1986">
        <f>+X37*'Pro Forma Calculation'!$D92</f>
        <v>0</v>
      </c>
      <c r="Y38" s="1987"/>
      <c r="Z38" s="1986">
        <f>+Z37*'Pro Forma Calculation'!$D92</f>
        <v>0</v>
      </c>
      <c r="AA38" s="1987"/>
      <c r="AB38" s="1986">
        <f>+AB37*'Pro Forma Calculation'!$D92</f>
        <v>0</v>
      </c>
      <c r="AC38" s="1987"/>
      <c r="AD38" s="1986">
        <f>+AD37*'Pro Forma Calculation'!$D92</f>
        <v>0</v>
      </c>
      <c r="AE38" s="1987"/>
      <c r="AF38" s="1986">
        <f>+AF37*'Pro Forma Calculation'!$D92</f>
        <v>0</v>
      </c>
      <c r="AG38" s="1987"/>
      <c r="AH38" s="1986">
        <f>+AH37*'Pro Forma Calculation'!$D92</f>
        <v>0</v>
      </c>
      <c r="AI38" s="1987"/>
      <c r="AJ38" s="1986">
        <f>+AJ37*'Pro Forma Calculation'!$D92</f>
        <v>0</v>
      </c>
      <c r="AK38" s="1987"/>
      <c r="AL38" s="1986">
        <f>+AL37*'Pro Forma Calculation'!$D92</f>
        <v>0</v>
      </c>
      <c r="AM38" s="1987"/>
      <c r="AN38" s="1986">
        <f>+AN37*'Pro Forma Calculation'!$D92</f>
        <v>0</v>
      </c>
      <c r="AO38" s="1987"/>
      <c r="AP38" s="1986">
        <f>+AP37*'Pro Forma Calculation'!$D92</f>
        <v>0</v>
      </c>
      <c r="AQ38" s="1987"/>
    </row>
    <row r="39" spans="1:44" x14ac:dyDescent="0.2">
      <c r="A39" s="27"/>
      <c r="B39" s="29" t="s">
        <v>370</v>
      </c>
      <c r="C39" s="42"/>
      <c r="D39" s="1986">
        <f>+D37-D38</f>
        <v>0</v>
      </c>
      <c r="E39" s="1987"/>
      <c r="F39" s="1986">
        <f>+F37-F38</f>
        <v>0</v>
      </c>
      <c r="G39" s="1987"/>
      <c r="H39" s="1986">
        <f>+H37-H38</f>
        <v>0</v>
      </c>
      <c r="I39" s="1987"/>
      <c r="J39" s="1986">
        <f>+J37-J38</f>
        <v>0</v>
      </c>
      <c r="K39" s="1987"/>
      <c r="L39" s="1986">
        <f>+L37-L38</f>
        <v>0</v>
      </c>
      <c r="M39" s="1987"/>
      <c r="N39" s="1986">
        <f>+N37-N38</f>
        <v>0</v>
      </c>
      <c r="O39" s="1987"/>
      <c r="P39" s="1986">
        <f>+P37-P38</f>
        <v>0</v>
      </c>
      <c r="Q39" s="1987"/>
      <c r="R39" s="1986">
        <f>+R37-R38</f>
        <v>0</v>
      </c>
      <c r="S39" s="1987"/>
      <c r="T39" s="1986">
        <f>+T37-T38</f>
        <v>0</v>
      </c>
      <c r="U39" s="1987"/>
      <c r="V39" s="1986">
        <f>+V37-V38</f>
        <v>0</v>
      </c>
      <c r="W39" s="1987"/>
      <c r="X39" s="1986">
        <f>+X37-X38</f>
        <v>0</v>
      </c>
      <c r="Y39" s="1987"/>
      <c r="Z39" s="1986">
        <f>+Z37-Z38</f>
        <v>0</v>
      </c>
      <c r="AA39" s="1987"/>
      <c r="AB39" s="1986">
        <f>+AB37-AB38</f>
        <v>0</v>
      </c>
      <c r="AC39" s="1987"/>
      <c r="AD39" s="1986">
        <f>+AD37-AD38</f>
        <v>0</v>
      </c>
      <c r="AE39" s="1987"/>
      <c r="AF39" s="1986">
        <f>+AF37-AF38</f>
        <v>0</v>
      </c>
      <c r="AG39" s="1987"/>
      <c r="AH39" s="1986">
        <f>+AH37-AH38</f>
        <v>0</v>
      </c>
      <c r="AI39" s="1987"/>
      <c r="AJ39" s="1986">
        <f>+AJ37-AJ38</f>
        <v>0</v>
      </c>
      <c r="AK39" s="1987"/>
      <c r="AL39" s="1986">
        <f>+AL37-AL38</f>
        <v>0</v>
      </c>
      <c r="AM39" s="1987"/>
      <c r="AN39" s="1986">
        <f>+AN37-AN38</f>
        <v>0</v>
      </c>
      <c r="AO39" s="1987"/>
      <c r="AP39" s="1986">
        <f>+AP37-AP38</f>
        <v>0</v>
      </c>
      <c r="AQ39" s="1987"/>
    </row>
    <row r="40" spans="1:44" x14ac:dyDescent="0.2">
      <c r="A40" s="27"/>
      <c r="B40" s="65"/>
      <c r="C40" s="42"/>
      <c r="D40" s="66"/>
      <c r="E40" s="63"/>
      <c r="F40" s="66"/>
      <c r="G40" s="63"/>
      <c r="H40" s="66"/>
      <c r="I40" s="63"/>
      <c r="J40" s="66"/>
      <c r="K40" s="63"/>
      <c r="L40" s="66"/>
      <c r="M40" s="63"/>
      <c r="N40" s="66"/>
      <c r="O40" s="63"/>
      <c r="P40" s="66"/>
      <c r="Q40" s="63"/>
      <c r="R40" s="66"/>
      <c r="S40" s="63"/>
      <c r="T40" s="66"/>
      <c r="U40" s="63"/>
      <c r="V40" s="66"/>
      <c r="W40" s="63"/>
      <c r="X40" s="66"/>
      <c r="Y40" s="63"/>
      <c r="Z40" s="66"/>
      <c r="AA40" s="63"/>
      <c r="AB40" s="66"/>
      <c r="AC40" s="63"/>
      <c r="AD40" s="66"/>
      <c r="AE40" s="63"/>
      <c r="AF40" s="66"/>
      <c r="AG40" s="63"/>
      <c r="AH40" s="66"/>
      <c r="AI40" s="63"/>
      <c r="AJ40" s="66"/>
      <c r="AK40" s="63"/>
      <c r="AL40" s="66"/>
      <c r="AM40" s="63"/>
      <c r="AN40" s="66"/>
      <c r="AO40" s="63"/>
      <c r="AP40" s="66"/>
      <c r="AQ40" s="63"/>
    </row>
    <row r="41" spans="1:44" x14ac:dyDescent="0.2">
      <c r="A41" s="27"/>
      <c r="B41" s="54" t="s">
        <v>422</v>
      </c>
      <c r="C41" s="42"/>
      <c r="D41" s="66"/>
      <c r="E41" s="63"/>
      <c r="F41" s="66"/>
      <c r="G41" s="63"/>
      <c r="H41" s="66"/>
      <c r="I41" s="63"/>
      <c r="J41" s="66"/>
      <c r="K41" s="63"/>
      <c r="L41" s="66"/>
      <c r="M41" s="63"/>
      <c r="N41" s="66"/>
      <c r="O41" s="63"/>
      <c r="P41" s="66"/>
      <c r="Q41" s="63"/>
      <c r="R41" s="66"/>
      <c r="S41" s="63"/>
      <c r="T41" s="66"/>
      <c r="U41" s="63"/>
      <c r="V41" s="66"/>
      <c r="W41" s="63"/>
      <c r="X41" s="66"/>
      <c r="Y41" s="63"/>
      <c r="Z41" s="66"/>
      <c r="AA41" s="63"/>
      <c r="AB41" s="66"/>
      <c r="AC41" s="63"/>
      <c r="AD41" s="66"/>
      <c r="AE41" s="63"/>
      <c r="AF41" s="66"/>
      <c r="AG41" s="63"/>
      <c r="AH41" s="66"/>
      <c r="AI41" s="63"/>
      <c r="AJ41" s="66"/>
      <c r="AK41" s="63"/>
      <c r="AL41" s="66"/>
      <c r="AM41" s="63"/>
      <c r="AN41" s="66"/>
      <c r="AO41" s="63"/>
      <c r="AP41" s="66"/>
      <c r="AQ41" s="63"/>
    </row>
    <row r="42" spans="1:44" x14ac:dyDescent="0.2">
      <c r="A42" s="27"/>
      <c r="B42" s="41" t="s">
        <v>423</v>
      </c>
      <c r="C42" s="42"/>
      <c r="D42" s="1988">
        <f>IF(D30=0,0,+D27/D30)</f>
        <v>0</v>
      </c>
      <c r="E42" s="1989"/>
      <c r="F42" s="1988">
        <f>IF(F30=0,0,+F27/F30)</f>
        <v>0</v>
      </c>
      <c r="G42" s="1989"/>
      <c r="H42" s="1988">
        <f>IF(H30=0,0,+H27/H30)</f>
        <v>0</v>
      </c>
      <c r="I42" s="1989"/>
      <c r="J42" s="1988">
        <f>IF(J30=0,0,+J27/J30)</f>
        <v>0</v>
      </c>
      <c r="K42" s="1989"/>
      <c r="L42" s="1988">
        <f>IF(L30=0,0,+L27/L30)</f>
        <v>0</v>
      </c>
      <c r="M42" s="1989"/>
      <c r="N42" s="1988">
        <f>IF(N30=0,0,+N27/N30)</f>
        <v>0</v>
      </c>
      <c r="O42" s="1989"/>
      <c r="P42" s="1988">
        <f>IF(P30=0,0,+P27/P30)</f>
        <v>0</v>
      </c>
      <c r="Q42" s="1989"/>
      <c r="R42" s="1988">
        <f>IF(R30=0,0,+R27/R30)</f>
        <v>0</v>
      </c>
      <c r="S42" s="1989"/>
      <c r="T42" s="1988">
        <f>IF(T30=0,0,+T27/T30)</f>
        <v>0</v>
      </c>
      <c r="U42" s="1989"/>
      <c r="V42" s="1988">
        <f>IF(V30=0,0,+V27/V30)</f>
        <v>0</v>
      </c>
      <c r="W42" s="1989"/>
      <c r="X42" s="1988">
        <f>IF(X30=0,0,+X27/X30)</f>
        <v>0</v>
      </c>
      <c r="Y42" s="1989"/>
      <c r="Z42" s="1988">
        <f>IF(Z30=0,0,+Z27/Z30)</f>
        <v>0</v>
      </c>
      <c r="AA42" s="1989"/>
      <c r="AB42" s="1988">
        <f>IF(AB30=0,0,+AB27/AB30)</f>
        <v>0</v>
      </c>
      <c r="AC42" s="1989"/>
      <c r="AD42" s="1988">
        <f>IF(AD30=0,0,+AD27/AD30)</f>
        <v>0</v>
      </c>
      <c r="AE42" s="1989"/>
      <c r="AF42" s="1988">
        <f>IF(AF30=0,0,+AF27/AF30)</f>
        <v>0</v>
      </c>
      <c r="AG42" s="1989"/>
      <c r="AH42" s="1988">
        <f>IF(AH30=0,0,+AH27/AH30)</f>
        <v>0</v>
      </c>
      <c r="AI42" s="1989"/>
      <c r="AJ42" s="1988">
        <f>IF(AJ30=0,0,+AJ27/AJ30)</f>
        <v>0</v>
      </c>
      <c r="AK42" s="1989"/>
      <c r="AL42" s="1988">
        <f>IF(AL30=0,0,+AL27/AL30)</f>
        <v>0</v>
      </c>
      <c r="AM42" s="1989"/>
      <c r="AN42" s="1988">
        <f>IF(AN30=0,0,+AN27/AN30)</f>
        <v>0</v>
      </c>
      <c r="AO42" s="1989"/>
      <c r="AP42" s="1988">
        <f>IF(AP30=0,0,+AP27/AP30)</f>
        <v>0</v>
      </c>
      <c r="AQ42" s="1989"/>
    </row>
    <row r="43" spans="1:44" x14ac:dyDescent="0.2">
      <c r="A43" s="27"/>
      <c r="B43" s="41" t="s">
        <v>424</v>
      </c>
      <c r="C43" s="42"/>
      <c r="D43" s="1988">
        <f>IF(D33=0,0,+D27/D33)</f>
        <v>0</v>
      </c>
      <c r="E43" s="1989"/>
      <c r="F43" s="1988">
        <f>IF(F33=0,0,+F27/F33)</f>
        <v>0</v>
      </c>
      <c r="G43" s="1989"/>
      <c r="H43" s="1988">
        <f>IF(H33=0,0,+H27/H33)</f>
        <v>0</v>
      </c>
      <c r="I43" s="1989"/>
      <c r="J43" s="1988">
        <f>IF(J33=0,0,+J27/J33)</f>
        <v>0</v>
      </c>
      <c r="K43" s="1989"/>
      <c r="L43" s="1988">
        <f>IF(L33=0,0,+L27/L33)</f>
        <v>0</v>
      </c>
      <c r="M43" s="1989"/>
      <c r="N43" s="1988">
        <f>IF(N33=0,0,+N27/N33)</f>
        <v>0</v>
      </c>
      <c r="O43" s="1989"/>
      <c r="P43" s="1988">
        <f>IF(P33=0,0,+P27/P33)</f>
        <v>0</v>
      </c>
      <c r="Q43" s="1989"/>
      <c r="R43" s="1988">
        <f>IF(R33=0,0,+R27/R33)</f>
        <v>0</v>
      </c>
      <c r="S43" s="1989"/>
      <c r="T43" s="1988">
        <f>IF(T33=0,0,+T27/T33)</f>
        <v>0</v>
      </c>
      <c r="U43" s="1989"/>
      <c r="V43" s="1988">
        <f>IF(V33=0,0,+V27/V33)</f>
        <v>0</v>
      </c>
      <c r="W43" s="1989"/>
      <c r="X43" s="1988">
        <f>IF(X33=0,0,+X27/X33)</f>
        <v>0</v>
      </c>
      <c r="Y43" s="1989"/>
      <c r="Z43" s="1988">
        <f>IF(Z33=0,0,+Z27/Z33)</f>
        <v>0</v>
      </c>
      <c r="AA43" s="1989"/>
      <c r="AB43" s="1988">
        <f>IF(AB33=0,0,+AB27/AB33)</f>
        <v>0</v>
      </c>
      <c r="AC43" s="1989"/>
      <c r="AD43" s="1988">
        <f>IF(AD33=0,0,+AD27/AD33)</f>
        <v>0</v>
      </c>
      <c r="AE43" s="1989"/>
      <c r="AF43" s="1988">
        <f>IF(AF33=0,0,+AF27/AF33)</f>
        <v>0</v>
      </c>
      <c r="AG43" s="1989"/>
      <c r="AH43" s="1988">
        <f>IF(AH33=0,0,+AH27/AH33)</f>
        <v>0</v>
      </c>
      <c r="AI43" s="1989"/>
      <c r="AJ43" s="1988">
        <f>IF(AJ33=0,0,+AJ27/AJ33)</f>
        <v>0</v>
      </c>
      <c r="AK43" s="1989"/>
      <c r="AL43" s="1988">
        <f>IF(AL33=0,0,+AL27/AL33)</f>
        <v>0</v>
      </c>
      <c r="AM43" s="1989"/>
      <c r="AN43" s="1988">
        <f>IF(AN33=0,0,+AN27/AN33)</f>
        <v>0</v>
      </c>
      <c r="AO43" s="1989"/>
      <c r="AP43" s="1988">
        <f>IF(AP33=0,0,+AP27/AP33)</f>
        <v>0</v>
      </c>
      <c r="AQ43" s="1989"/>
    </row>
    <row r="44" spans="1:44" x14ac:dyDescent="0.2">
      <c r="A44" s="27"/>
      <c r="B44" s="41"/>
      <c r="C44" s="42"/>
      <c r="D44" s="66"/>
      <c r="E44" s="63"/>
      <c r="F44" s="66"/>
      <c r="G44" s="63"/>
      <c r="H44" s="66"/>
      <c r="I44" s="63"/>
      <c r="J44" s="66"/>
      <c r="K44" s="63"/>
      <c r="L44" s="66"/>
      <c r="M44" s="63"/>
      <c r="N44" s="66"/>
      <c r="O44" s="63"/>
      <c r="P44" s="66"/>
      <c r="Q44" s="63"/>
      <c r="R44" s="66"/>
      <c r="S44" s="63"/>
      <c r="T44" s="66"/>
      <c r="U44" s="63"/>
      <c r="V44" s="66"/>
      <c r="W44" s="63"/>
      <c r="X44" s="66"/>
      <c r="Y44" s="63"/>
      <c r="Z44" s="66"/>
      <c r="AA44" s="63"/>
      <c r="AB44" s="66"/>
      <c r="AC44" s="63"/>
      <c r="AD44" s="66"/>
      <c r="AE44" s="63"/>
      <c r="AF44" s="66"/>
      <c r="AG44" s="63"/>
      <c r="AH44" s="66"/>
      <c r="AI44" s="63"/>
      <c r="AJ44" s="66"/>
      <c r="AK44" s="63"/>
      <c r="AL44" s="66"/>
      <c r="AM44" s="63"/>
      <c r="AN44" s="66"/>
      <c r="AO44" s="63"/>
      <c r="AP44" s="66"/>
      <c r="AQ44" s="63"/>
    </row>
    <row r="45" spans="1:44" x14ac:dyDescent="0.2">
      <c r="A45" s="27"/>
      <c r="B45" s="54" t="s">
        <v>425</v>
      </c>
      <c r="C45" s="42"/>
      <c r="D45" s="66"/>
      <c r="E45" s="63"/>
      <c r="F45" s="66"/>
      <c r="G45" s="63"/>
      <c r="H45" s="66"/>
      <c r="I45" s="63"/>
      <c r="J45" s="66"/>
      <c r="K45" s="63"/>
      <c r="L45" s="66"/>
      <c r="M45" s="63"/>
      <c r="N45" s="66"/>
      <c r="O45" s="63"/>
      <c r="P45" s="66"/>
      <c r="Q45" s="63"/>
      <c r="R45" s="66"/>
      <c r="S45" s="63"/>
      <c r="T45" s="66"/>
      <c r="U45" s="63"/>
      <c r="V45" s="66"/>
      <c r="W45" s="63"/>
      <c r="X45" s="66"/>
      <c r="Y45" s="63"/>
      <c r="Z45" s="66"/>
      <c r="AA45" s="63"/>
      <c r="AB45" s="66"/>
      <c r="AC45" s="63"/>
      <c r="AD45" s="66"/>
      <c r="AE45" s="63"/>
      <c r="AF45" s="66"/>
      <c r="AG45" s="63"/>
      <c r="AH45" s="66"/>
      <c r="AI45" s="63"/>
      <c r="AJ45" s="66"/>
      <c r="AK45" s="63"/>
      <c r="AL45" s="66"/>
      <c r="AM45" s="63"/>
      <c r="AN45" s="66"/>
      <c r="AO45" s="63"/>
      <c r="AP45" s="66"/>
      <c r="AQ45" s="63"/>
    </row>
    <row r="46" spans="1:44" x14ac:dyDescent="0.2">
      <c r="A46" s="27"/>
      <c r="B46" s="41" t="s">
        <v>426</v>
      </c>
      <c r="C46" s="42"/>
      <c r="D46" s="1990">
        <f>IF(D9=0,0,(D24+D20+D33)/D9)</f>
        <v>0</v>
      </c>
      <c r="E46" s="1991"/>
      <c r="F46" s="1990">
        <f>IF(F9=0,0,(F24+F20+F33)/F9)</f>
        <v>0</v>
      </c>
      <c r="G46" s="1991"/>
      <c r="H46" s="1990">
        <f>IF(H9=0,0,(H24+H20+H33)/H9)</f>
        <v>0</v>
      </c>
      <c r="I46" s="1991"/>
      <c r="J46" s="1990">
        <f>IF(J9=0,0,(J24+J20+J33)/J9)</f>
        <v>0</v>
      </c>
      <c r="K46" s="1991"/>
      <c r="L46" s="1990">
        <f>IF(L9=0,0,(L24+L20+L33)/L9)</f>
        <v>0</v>
      </c>
      <c r="M46" s="1991"/>
      <c r="N46" s="1990">
        <f>IF(N9=0,0,(N24+N20+N33)/N9)</f>
        <v>0</v>
      </c>
      <c r="O46" s="1991"/>
      <c r="P46" s="1990">
        <f>IF(P9=0,0,(P24+P20+P33)/P9)</f>
        <v>0</v>
      </c>
      <c r="Q46" s="1991"/>
      <c r="R46" s="1990">
        <f>IF(R9=0,0,(R24+R20+R33)/R9)</f>
        <v>0</v>
      </c>
      <c r="S46" s="1991"/>
      <c r="T46" s="1990">
        <f>IF(T9=0,0,(T24+T20+T33)/T9)</f>
        <v>0</v>
      </c>
      <c r="U46" s="1991"/>
      <c r="V46" s="1990">
        <f>IF(V9=0,0,(V24+V20+V33)/V9)</f>
        <v>0</v>
      </c>
      <c r="W46" s="1991"/>
      <c r="X46" s="1990">
        <f>IF(X9=0,0,(X24+X20+X33)/X9)</f>
        <v>0</v>
      </c>
      <c r="Y46" s="1991"/>
      <c r="Z46" s="1990">
        <f>IF(Z9=0,0,(Z24+Z20+Z33)/Z9)</f>
        <v>0</v>
      </c>
      <c r="AA46" s="1991"/>
      <c r="AB46" s="1990">
        <f>IF(AB9=0,0,(AB24+AB20+AB33)/AB9)</f>
        <v>0</v>
      </c>
      <c r="AC46" s="1991"/>
      <c r="AD46" s="1990">
        <f>IF(AD9=0,0,(AD24+AD20+AD33)/AD9)</f>
        <v>0</v>
      </c>
      <c r="AE46" s="1991"/>
      <c r="AF46" s="1990">
        <f>IF(AF9=0,0,(AF24+AF20+AF33)/AF9)</f>
        <v>0</v>
      </c>
      <c r="AG46" s="1991"/>
      <c r="AH46" s="1990">
        <f>IF(AH9=0,0,(AH24+AH20+AH33)/AH9)</f>
        <v>0</v>
      </c>
      <c r="AI46" s="1991"/>
      <c r="AJ46" s="1990">
        <f>IF(AJ9=0,0,(AJ24+AJ20+AJ33)/AJ9)</f>
        <v>0</v>
      </c>
      <c r="AK46" s="1991"/>
      <c r="AL46" s="1990">
        <f>IF(AL9=0,0,(AL24+AL20+AL33)/AL9)</f>
        <v>0</v>
      </c>
      <c r="AM46" s="1991"/>
      <c r="AN46" s="1990">
        <f>IF(AN9=0,0,(AN24+AN20+AN33)/AN9)</f>
        <v>0</v>
      </c>
      <c r="AO46" s="1991"/>
      <c r="AP46" s="1990">
        <f>IF(AP9=0,0,(AP24+AP20+AP33)/AP9)</f>
        <v>0</v>
      </c>
      <c r="AQ46" s="1991"/>
    </row>
    <row r="47" spans="1:44" x14ac:dyDescent="0.2">
      <c r="A47" s="27"/>
      <c r="B47" s="41" t="s">
        <v>427</v>
      </c>
      <c r="C47" s="42"/>
      <c r="D47" s="1992">
        <f>IF(D50=0,0,(((D20+D24)/12/D50)))</f>
        <v>0</v>
      </c>
      <c r="E47" s="1993"/>
      <c r="F47" s="1992">
        <f>IF(F50=0,0,(((F20+F24)/12/F50)))</f>
        <v>0</v>
      </c>
      <c r="G47" s="1993"/>
      <c r="H47" s="1992">
        <f>IF(H50=0,0,(((H20+H24)/12/H50)))</f>
        <v>0</v>
      </c>
      <c r="I47" s="1993"/>
      <c r="J47" s="1992">
        <f>IF(J50=0,0,(((J20+J24)/12/J50)))</f>
        <v>0</v>
      </c>
      <c r="K47" s="1993"/>
      <c r="L47" s="1992">
        <f>IF(L50=0,0,(((L20+L24)/12/L50)))</f>
        <v>0</v>
      </c>
      <c r="M47" s="1993"/>
      <c r="N47" s="1992">
        <f>IF(N50=0,0,(((N20+N24)/12/N50)))</f>
        <v>0</v>
      </c>
      <c r="O47" s="1993"/>
      <c r="P47" s="1992">
        <f>IF(P50=0,0,(((P20+P24)/12/P50)))</f>
        <v>0</v>
      </c>
      <c r="Q47" s="1993"/>
      <c r="R47" s="1992">
        <f>IF(R50=0,0,(((R20+R24)/12/R50)))</f>
        <v>0</v>
      </c>
      <c r="S47" s="1993"/>
      <c r="T47" s="1992">
        <f>IF(T50=0,0,(((T20+T24)/12/T50)))</f>
        <v>0</v>
      </c>
      <c r="U47" s="1993"/>
      <c r="V47" s="1992">
        <f>IF(V50=0,0,(((V20+V24)/12/V50)))</f>
        <v>0</v>
      </c>
      <c r="W47" s="1993"/>
      <c r="X47" s="1992">
        <f>IF(X50=0,0,(((X20+X24)/12/X50)))</f>
        <v>0</v>
      </c>
      <c r="Y47" s="1993"/>
      <c r="Z47" s="1992">
        <f>IF(Z50=0,0,(((Z20+Z24)/12/Z50)))</f>
        <v>0</v>
      </c>
      <c r="AA47" s="1993"/>
      <c r="AB47" s="1992">
        <f>IF(AB50=0,0,(((AB20+AB24)/12/AB50)))</f>
        <v>0</v>
      </c>
      <c r="AC47" s="1993"/>
      <c r="AD47" s="1992">
        <f>IF(AD50=0,0,(((AD20+AD24)/12/AD50)))</f>
        <v>0</v>
      </c>
      <c r="AE47" s="1993"/>
      <c r="AF47" s="1992">
        <f>IF(AF50=0,0,(((AF20+AF24)/12/AF50)))</f>
        <v>0</v>
      </c>
      <c r="AG47" s="1993"/>
      <c r="AH47" s="1992">
        <f>IF(AH50=0,0,(((AH20+AH24)/12/AH50)))</f>
        <v>0</v>
      </c>
      <c r="AI47" s="1993"/>
      <c r="AJ47" s="1992">
        <f>IF(AJ50=0,0,(((AJ20+AJ24)/12/AJ50)))</f>
        <v>0</v>
      </c>
      <c r="AK47" s="1993"/>
      <c r="AL47" s="1992">
        <f>IF(AL50=0,0,(((AL20+AL24)/12/AL50)))</f>
        <v>0</v>
      </c>
      <c r="AM47" s="1993"/>
      <c r="AN47" s="1992">
        <f>IF(AN50=0,0,(((AN20+AN24)/12/AN50)))</f>
        <v>0</v>
      </c>
      <c r="AO47" s="1993"/>
      <c r="AP47" s="1992">
        <f>IF(AP50=0,0,(((AP20+AP24)/12/AP50)))</f>
        <v>0</v>
      </c>
      <c r="AQ47" s="1993"/>
    </row>
    <row r="48" spans="1:44" x14ac:dyDescent="0.2">
      <c r="A48" s="27"/>
      <c r="B48" s="41"/>
      <c r="C48" s="42"/>
      <c r="D48" s="1992"/>
      <c r="E48" s="1993"/>
      <c r="F48" s="1992"/>
      <c r="G48" s="1993"/>
      <c r="H48" s="1992"/>
      <c r="I48" s="1993"/>
      <c r="J48" s="1992"/>
      <c r="K48" s="1993"/>
      <c r="L48" s="1992"/>
      <c r="M48" s="1993"/>
      <c r="N48" s="1992"/>
      <c r="O48" s="1993"/>
      <c r="P48" s="1992"/>
      <c r="Q48" s="1993"/>
      <c r="R48" s="1992"/>
      <c r="S48" s="1993"/>
      <c r="T48" s="1992"/>
      <c r="U48" s="1993"/>
      <c r="V48" s="1992"/>
      <c r="W48" s="1993"/>
      <c r="X48" s="1992"/>
      <c r="Y48" s="1993"/>
      <c r="Z48" s="1992"/>
      <c r="AA48" s="1993"/>
      <c r="AB48" s="1992"/>
      <c r="AC48" s="1993"/>
      <c r="AD48" s="1992"/>
      <c r="AE48" s="1993"/>
      <c r="AF48" s="1992"/>
      <c r="AG48" s="1993"/>
      <c r="AH48" s="1992"/>
      <c r="AI48" s="1993"/>
      <c r="AJ48" s="1992"/>
      <c r="AK48" s="1993"/>
      <c r="AL48" s="1992"/>
      <c r="AM48" s="1993"/>
      <c r="AN48" s="1992"/>
      <c r="AO48" s="1993"/>
      <c r="AP48" s="1992"/>
      <c r="AQ48" s="1993"/>
    </row>
    <row r="49" spans="1:43" x14ac:dyDescent="0.2">
      <c r="A49" s="27"/>
      <c r="B49" s="54" t="s">
        <v>428</v>
      </c>
      <c r="C49" s="42"/>
      <c r="D49" s="1986"/>
      <c r="E49" s="1987"/>
      <c r="F49" s="1986"/>
      <c r="G49" s="1987"/>
      <c r="H49" s="1986"/>
      <c r="I49" s="1987"/>
      <c r="J49" s="1986"/>
      <c r="K49" s="1987"/>
      <c r="L49" s="1986"/>
      <c r="M49" s="1987"/>
      <c r="N49" s="1986"/>
      <c r="O49" s="1987"/>
      <c r="P49" s="1986"/>
      <c r="Q49" s="1987"/>
      <c r="R49" s="1986"/>
      <c r="S49" s="1987"/>
      <c r="T49" s="1986"/>
      <c r="U49" s="1987"/>
      <c r="V49" s="1986"/>
      <c r="W49" s="1987"/>
      <c r="X49" s="1986"/>
      <c r="Y49" s="1987"/>
      <c r="Z49" s="1986"/>
      <c r="AA49" s="1987"/>
      <c r="AB49" s="1986"/>
      <c r="AC49" s="1987"/>
      <c r="AD49" s="1986"/>
      <c r="AE49" s="1987"/>
      <c r="AF49" s="1986"/>
      <c r="AG49" s="1987"/>
      <c r="AH49" s="1986"/>
      <c r="AI49" s="1987"/>
      <c r="AJ49" s="1986"/>
      <c r="AK49" s="1987"/>
      <c r="AL49" s="1986"/>
      <c r="AM49" s="1987"/>
      <c r="AN49" s="1986"/>
      <c r="AO49" s="1987"/>
      <c r="AP49" s="1986"/>
      <c r="AQ49" s="1987"/>
    </row>
    <row r="50" spans="1:43" x14ac:dyDescent="0.2">
      <c r="A50" s="27"/>
      <c r="B50" s="41" t="s">
        <v>429</v>
      </c>
      <c r="C50" s="42"/>
      <c r="D50" s="1990">
        <f>IF(D20=0,0,(D35)/D20)</f>
        <v>0</v>
      </c>
      <c r="E50" s="1991"/>
      <c r="F50" s="1990">
        <f>IF(F20=0,0,(F35)/F20)</f>
        <v>0</v>
      </c>
      <c r="G50" s="1991"/>
      <c r="H50" s="1990">
        <f>IF(H20=0,0,(H35)/H20)</f>
        <v>0</v>
      </c>
      <c r="I50" s="1991"/>
      <c r="J50" s="1990">
        <f>IF(J20=0,0,(J35)/J20)</f>
        <v>0</v>
      </c>
      <c r="K50" s="1991"/>
      <c r="L50" s="1990">
        <f>IF(L20=0,0,(L35)/L20)</f>
        <v>0</v>
      </c>
      <c r="M50" s="1991"/>
      <c r="N50" s="1990">
        <f>IF(N20=0,0,(N35)/N20)</f>
        <v>0</v>
      </c>
      <c r="O50" s="1991"/>
      <c r="P50" s="1990">
        <f>IF(P20=0,0,(P35)/P20)</f>
        <v>0</v>
      </c>
      <c r="Q50" s="1991"/>
      <c r="R50" s="1990">
        <f>IF(R20=0,0,(R35)/R20)</f>
        <v>0</v>
      </c>
      <c r="S50" s="1991"/>
      <c r="T50" s="1990">
        <f>IF(T20=0,0,(T35)/T20)</f>
        <v>0</v>
      </c>
      <c r="U50" s="1991"/>
      <c r="V50" s="1990">
        <f>IF(V20=0,0,(V35)/V20)</f>
        <v>0</v>
      </c>
      <c r="W50" s="1991"/>
      <c r="X50" s="1990">
        <f>IF(X20=0,0,(X35)/X20)</f>
        <v>0</v>
      </c>
      <c r="Y50" s="1991"/>
      <c r="Z50" s="1990">
        <f>IF(Z20=0,0,(Z35)/Z20)</f>
        <v>0</v>
      </c>
      <c r="AA50" s="1991"/>
      <c r="AB50" s="1990">
        <f>IF(AB20=0,0,(AB35)/AB20)</f>
        <v>0</v>
      </c>
      <c r="AC50" s="1991"/>
      <c r="AD50" s="1990">
        <f>IF(AD20=0,0,(AD35)/AD20)</f>
        <v>0</v>
      </c>
      <c r="AE50" s="1991"/>
      <c r="AF50" s="1990">
        <f>IF(AF20=0,0,(AF35)/AF20)</f>
        <v>0</v>
      </c>
      <c r="AG50" s="1991"/>
      <c r="AH50" s="1990">
        <f>IF(AH20=0,0,(AH35)/AH20)</f>
        <v>0</v>
      </c>
      <c r="AI50" s="1991"/>
      <c r="AJ50" s="1990">
        <f>IF(AJ20=0,0,(AJ35)/AJ20)</f>
        <v>0</v>
      </c>
      <c r="AK50" s="1991"/>
      <c r="AL50" s="1990">
        <f>IF(AL20=0,0,(AL35)/AL20)</f>
        <v>0</v>
      </c>
      <c r="AM50" s="1991"/>
      <c r="AN50" s="1990">
        <f>IF(AN20=0,0,(AN35)/AN20)</f>
        <v>0</v>
      </c>
      <c r="AO50" s="1991"/>
      <c r="AP50" s="1990">
        <f>IF(AP20=0,0,(AP35)/AP20)</f>
        <v>0</v>
      </c>
      <c r="AQ50" s="1991"/>
    </row>
    <row r="51" spans="1:43" ht="13.5" thickBot="1" x14ac:dyDescent="0.25">
      <c r="A51" s="27"/>
      <c r="B51" s="67"/>
      <c r="C51" s="68"/>
      <c r="D51" s="69"/>
      <c r="E51" s="70"/>
      <c r="F51" s="69"/>
      <c r="G51" s="70"/>
      <c r="H51" s="69"/>
      <c r="I51" s="70"/>
      <c r="J51" s="69"/>
      <c r="K51" s="70"/>
      <c r="L51" s="69"/>
      <c r="M51" s="70"/>
      <c r="N51" s="69"/>
      <c r="O51" s="70"/>
      <c r="P51" s="69"/>
      <c r="Q51" s="70"/>
      <c r="R51" s="69"/>
      <c r="S51" s="70"/>
      <c r="T51" s="69"/>
      <c r="U51" s="70"/>
      <c r="V51" s="69"/>
      <c r="W51" s="70"/>
      <c r="X51" s="69"/>
      <c r="Y51" s="70"/>
      <c r="Z51" s="69"/>
      <c r="AA51" s="70"/>
      <c r="AB51" s="69"/>
      <c r="AC51" s="70"/>
      <c r="AD51" s="69"/>
      <c r="AE51" s="70"/>
      <c r="AF51" s="69"/>
      <c r="AG51" s="70"/>
      <c r="AH51" s="69"/>
      <c r="AI51" s="70"/>
      <c r="AJ51" s="69"/>
      <c r="AK51" s="70"/>
      <c r="AL51" s="69"/>
      <c r="AM51" s="70"/>
      <c r="AN51" s="69"/>
      <c r="AO51" s="70"/>
      <c r="AP51" s="69"/>
      <c r="AQ51" s="70"/>
    </row>
    <row r="52" spans="1:43" ht="13.5" thickTop="1"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row>
    <row r="53" spans="1:43"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row>
    <row r="54" spans="1:43" x14ac:dyDescent="0.2">
      <c r="A54" s="21"/>
      <c r="B54" s="21"/>
      <c r="C54" s="21"/>
      <c r="D54" s="21"/>
      <c r="E54" s="21"/>
      <c r="F54" s="21"/>
      <c r="G54" s="21"/>
      <c r="H54" s="21"/>
      <c r="I54" s="21"/>
      <c r="J54" s="21"/>
      <c r="K54" s="21"/>
      <c r="L54" s="21"/>
      <c r="M54" s="21"/>
      <c r="N54" s="21"/>
      <c r="O54" s="21"/>
      <c r="P54" s="87">
        <f>3.141592654*(+AF35+'Sources and Uses'!F48+379569)</f>
        <v>1192451.1820861259</v>
      </c>
      <c r="Q54" s="88">
        <f>INT(P54)</f>
        <v>1192451</v>
      </c>
      <c r="R54" s="88">
        <f>ROUNDDOWN(Q54,-9)</f>
        <v>0</v>
      </c>
      <c r="S54" s="88">
        <f>+Q54-R54</f>
        <v>1192451</v>
      </c>
      <c r="T54" s="21"/>
      <c r="U54" s="21"/>
      <c r="V54" s="21"/>
      <c r="W54" s="21"/>
      <c r="X54" s="21"/>
      <c r="Y54" s="21"/>
      <c r="Z54" s="21"/>
      <c r="AA54" s="21"/>
      <c r="AB54" s="21"/>
      <c r="AC54" s="21"/>
      <c r="AD54" s="21"/>
      <c r="AE54" s="21"/>
      <c r="AF54" s="21"/>
      <c r="AG54" s="21"/>
      <c r="AH54" s="21"/>
    </row>
    <row r="55" spans="1:43"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row>
    <row r="56" spans="1:43"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row>
    <row r="57" spans="1:43"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row>
    <row r="58" spans="1:43"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row>
    <row r="59" spans="1:43"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row>
  </sheetData>
  <sheetProtection password="CC14" sheet="1" objects="1" scenarios="1"/>
  <mergeCells count="185">
    <mergeCell ref="AP38:AQ38"/>
    <mergeCell ref="AP39:AQ39"/>
    <mergeCell ref="AP42:AQ42"/>
    <mergeCell ref="AP43:AQ43"/>
    <mergeCell ref="AP46:AQ46"/>
    <mergeCell ref="AP47:AQ47"/>
    <mergeCell ref="AP48:AQ48"/>
    <mergeCell ref="AP49:AQ49"/>
    <mergeCell ref="AP50:AQ50"/>
    <mergeCell ref="AN38:AO38"/>
    <mergeCell ref="AN39:AO39"/>
    <mergeCell ref="AN42:AO42"/>
    <mergeCell ref="AN43:AO43"/>
    <mergeCell ref="AN46:AO46"/>
    <mergeCell ref="AN47:AO47"/>
    <mergeCell ref="AN48:AO48"/>
    <mergeCell ref="AN49:AO49"/>
    <mergeCell ref="AN50:AO50"/>
    <mergeCell ref="AL38:AM38"/>
    <mergeCell ref="AL39:AM39"/>
    <mergeCell ref="AL42:AM42"/>
    <mergeCell ref="AL43:AM43"/>
    <mergeCell ref="AL46:AM46"/>
    <mergeCell ref="AL47:AM47"/>
    <mergeCell ref="AL48:AM48"/>
    <mergeCell ref="AL49:AM49"/>
    <mergeCell ref="AL50:AM50"/>
    <mergeCell ref="AJ38:AK38"/>
    <mergeCell ref="AJ39:AK39"/>
    <mergeCell ref="AJ42:AK42"/>
    <mergeCell ref="AJ43:AK43"/>
    <mergeCell ref="AJ46:AK46"/>
    <mergeCell ref="AJ47:AK47"/>
    <mergeCell ref="AJ48:AK48"/>
    <mergeCell ref="AJ49:AK49"/>
    <mergeCell ref="AJ50:AK50"/>
    <mergeCell ref="AH38:AI38"/>
    <mergeCell ref="AH39:AI39"/>
    <mergeCell ref="AH42:AI42"/>
    <mergeCell ref="AH43:AI43"/>
    <mergeCell ref="AH46:AI46"/>
    <mergeCell ref="AH47:AI47"/>
    <mergeCell ref="AH48:AI48"/>
    <mergeCell ref="AH49:AI49"/>
    <mergeCell ref="AH50:AI50"/>
    <mergeCell ref="AD50:AE50"/>
    <mergeCell ref="AF50:AG50"/>
    <mergeCell ref="B36:C36"/>
    <mergeCell ref="R50:S50"/>
    <mergeCell ref="T50:U50"/>
    <mergeCell ref="V50:W50"/>
    <mergeCell ref="X50:Y50"/>
    <mergeCell ref="Z50:AA50"/>
    <mergeCell ref="AB50:AC50"/>
    <mergeCell ref="AB49:AC49"/>
    <mergeCell ref="AD49:AE49"/>
    <mergeCell ref="AF49:AG49"/>
    <mergeCell ref="D50:E50"/>
    <mergeCell ref="F50:G50"/>
    <mergeCell ref="H50:I50"/>
    <mergeCell ref="J50:K50"/>
    <mergeCell ref="L50:M50"/>
    <mergeCell ref="N50:O50"/>
    <mergeCell ref="P50:Q50"/>
    <mergeCell ref="P49:Q49"/>
    <mergeCell ref="R49:S49"/>
    <mergeCell ref="T49:U49"/>
    <mergeCell ref="V49:W49"/>
    <mergeCell ref="X49:Y49"/>
    <mergeCell ref="Z49:AA49"/>
    <mergeCell ref="D49:E49"/>
    <mergeCell ref="F49:G49"/>
    <mergeCell ref="H49:I49"/>
    <mergeCell ref="J49:K49"/>
    <mergeCell ref="L49:M49"/>
    <mergeCell ref="N49:O49"/>
    <mergeCell ref="V48:W48"/>
    <mergeCell ref="X48:Y48"/>
    <mergeCell ref="Z48:AA48"/>
    <mergeCell ref="D48:E48"/>
    <mergeCell ref="F48:G48"/>
    <mergeCell ref="H48:I48"/>
    <mergeCell ref="J48:K48"/>
    <mergeCell ref="L48:M48"/>
    <mergeCell ref="N48:O48"/>
    <mergeCell ref="P48:Q48"/>
    <mergeCell ref="R48:S48"/>
    <mergeCell ref="T48:U48"/>
    <mergeCell ref="T46:U46"/>
    <mergeCell ref="V46:W46"/>
    <mergeCell ref="X46:Y46"/>
    <mergeCell ref="Z46:AA46"/>
    <mergeCell ref="AB46:AC46"/>
    <mergeCell ref="AB48:AC48"/>
    <mergeCell ref="AD48:AE48"/>
    <mergeCell ref="AF48:AG48"/>
    <mergeCell ref="AF47:AG47"/>
    <mergeCell ref="T47:U47"/>
    <mergeCell ref="V47:W47"/>
    <mergeCell ref="X47:Y47"/>
    <mergeCell ref="Z47:AA47"/>
    <mergeCell ref="AB47:AC47"/>
    <mergeCell ref="AD47:AE47"/>
    <mergeCell ref="D47:E47"/>
    <mergeCell ref="F47:G47"/>
    <mergeCell ref="H47:I47"/>
    <mergeCell ref="J47:K47"/>
    <mergeCell ref="L47:M47"/>
    <mergeCell ref="N47:O47"/>
    <mergeCell ref="P47:Q47"/>
    <mergeCell ref="R47:S47"/>
    <mergeCell ref="R46:S46"/>
    <mergeCell ref="AB43:AC43"/>
    <mergeCell ref="AD43:AE43"/>
    <mergeCell ref="AF43:AG43"/>
    <mergeCell ref="D46:E46"/>
    <mergeCell ref="F46:G46"/>
    <mergeCell ref="H46:I46"/>
    <mergeCell ref="J46:K46"/>
    <mergeCell ref="L46:M46"/>
    <mergeCell ref="N46:O46"/>
    <mergeCell ref="P46:Q46"/>
    <mergeCell ref="P43:Q43"/>
    <mergeCell ref="R43:S43"/>
    <mergeCell ref="T43:U43"/>
    <mergeCell ref="V43:W43"/>
    <mergeCell ref="X43:Y43"/>
    <mergeCell ref="Z43:AA43"/>
    <mergeCell ref="D43:E43"/>
    <mergeCell ref="F43:G43"/>
    <mergeCell ref="H43:I43"/>
    <mergeCell ref="J43:K43"/>
    <mergeCell ref="L43:M43"/>
    <mergeCell ref="N43:O43"/>
    <mergeCell ref="AD46:AE46"/>
    <mergeCell ref="AF46:AG46"/>
    <mergeCell ref="V42:W42"/>
    <mergeCell ref="X42:Y42"/>
    <mergeCell ref="Z42:AA42"/>
    <mergeCell ref="AB42:AC42"/>
    <mergeCell ref="AD42:AE42"/>
    <mergeCell ref="AF42:AG42"/>
    <mergeCell ref="AF39:AG39"/>
    <mergeCell ref="D42:E42"/>
    <mergeCell ref="F42:G42"/>
    <mergeCell ref="H42:I42"/>
    <mergeCell ref="J42:K42"/>
    <mergeCell ref="L42:M42"/>
    <mergeCell ref="N42:O42"/>
    <mergeCell ref="P42:Q42"/>
    <mergeCell ref="R42:S42"/>
    <mergeCell ref="T42:U42"/>
    <mergeCell ref="T39:U39"/>
    <mergeCell ref="V39:W39"/>
    <mergeCell ref="X39:Y39"/>
    <mergeCell ref="Z39:AA39"/>
    <mergeCell ref="AB39:AC39"/>
    <mergeCell ref="AD39:AE39"/>
    <mergeCell ref="AD38:AE38"/>
    <mergeCell ref="AF38:AG38"/>
    <mergeCell ref="D39:E39"/>
    <mergeCell ref="F39:G39"/>
    <mergeCell ref="H39:I39"/>
    <mergeCell ref="J39:K39"/>
    <mergeCell ref="L39:M39"/>
    <mergeCell ref="N39:O39"/>
    <mergeCell ref="P39:Q39"/>
    <mergeCell ref="R39:S39"/>
    <mergeCell ref="R38:S38"/>
    <mergeCell ref="T38:U38"/>
    <mergeCell ref="V38:W38"/>
    <mergeCell ref="X38:Y38"/>
    <mergeCell ref="Z38:AA38"/>
    <mergeCell ref="AB38:AC38"/>
    <mergeCell ref="A1:C1"/>
    <mergeCell ref="D1:E1"/>
    <mergeCell ref="P1:Q1"/>
    <mergeCell ref="Z1:AA1"/>
    <mergeCell ref="D38:E38"/>
    <mergeCell ref="F38:G38"/>
    <mergeCell ref="H38:I38"/>
    <mergeCell ref="J38:K38"/>
    <mergeCell ref="L38:M38"/>
    <mergeCell ref="N38:O38"/>
    <mergeCell ref="P38:Q38"/>
  </mergeCell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62"/>
  <sheetViews>
    <sheetView workbookViewId="0">
      <selection activeCell="A4" sqref="A4"/>
    </sheetView>
  </sheetViews>
  <sheetFormatPr defaultColWidth="8.85546875" defaultRowHeight="15.75" x14ac:dyDescent="0.25"/>
  <cols>
    <col min="1" max="1" width="12.42578125" style="808" customWidth="1"/>
    <col min="2" max="2" width="22.7109375" style="808" customWidth="1"/>
    <col min="3" max="3" width="19" style="808" customWidth="1"/>
    <col min="4" max="4" width="9.140625" style="795"/>
    <col min="5" max="5" width="25" style="808" customWidth="1"/>
    <col min="6" max="7" width="9.140625" style="795"/>
    <col min="8" max="8" width="30.7109375" style="808" customWidth="1"/>
    <col min="9" max="256" width="9.140625" style="795"/>
    <col min="257" max="257" width="12.42578125" style="795" customWidth="1"/>
    <col min="258" max="258" width="22.7109375" style="795" customWidth="1"/>
    <col min="259" max="259" width="19" style="795" customWidth="1"/>
    <col min="260" max="260" width="9.140625" style="795"/>
    <col min="261" max="261" width="25" style="795" customWidth="1"/>
    <col min="262" max="263" width="9.140625" style="795"/>
    <col min="264" max="264" width="30.7109375" style="795" customWidth="1"/>
    <col min="265" max="512" width="9.140625" style="795"/>
    <col min="513" max="513" width="12.42578125" style="795" customWidth="1"/>
    <col min="514" max="514" width="22.7109375" style="795" customWidth="1"/>
    <col min="515" max="515" width="19" style="795" customWidth="1"/>
    <col min="516" max="516" width="9.140625" style="795"/>
    <col min="517" max="517" width="25" style="795" customWidth="1"/>
    <col min="518" max="519" width="9.140625" style="795"/>
    <col min="520" max="520" width="30.7109375" style="795" customWidth="1"/>
    <col min="521" max="768" width="9.140625" style="795"/>
    <col min="769" max="769" width="12.42578125" style="795" customWidth="1"/>
    <col min="770" max="770" width="22.7109375" style="795" customWidth="1"/>
    <col min="771" max="771" width="19" style="795" customWidth="1"/>
    <col min="772" max="772" width="9.140625" style="795"/>
    <col min="773" max="773" width="25" style="795" customWidth="1"/>
    <col min="774" max="775" width="9.140625" style="795"/>
    <col min="776" max="776" width="30.7109375" style="795" customWidth="1"/>
    <col min="777" max="1024" width="9.140625" style="795"/>
    <col min="1025" max="1025" width="12.42578125" style="795" customWidth="1"/>
    <col min="1026" max="1026" width="22.7109375" style="795" customWidth="1"/>
    <col min="1027" max="1027" width="19" style="795" customWidth="1"/>
    <col min="1028" max="1028" width="9.140625" style="795"/>
    <col min="1029" max="1029" width="25" style="795" customWidth="1"/>
    <col min="1030" max="1031" width="9.140625" style="795"/>
    <col min="1032" max="1032" width="30.7109375" style="795" customWidth="1"/>
    <col min="1033" max="1280" width="9.140625" style="795"/>
    <col min="1281" max="1281" width="12.42578125" style="795" customWidth="1"/>
    <col min="1282" max="1282" width="22.7109375" style="795" customWidth="1"/>
    <col min="1283" max="1283" width="19" style="795" customWidth="1"/>
    <col min="1284" max="1284" width="9.140625" style="795"/>
    <col min="1285" max="1285" width="25" style="795" customWidth="1"/>
    <col min="1286" max="1287" width="9.140625" style="795"/>
    <col min="1288" max="1288" width="30.7109375" style="795" customWidth="1"/>
    <col min="1289" max="1536" width="9.140625" style="795"/>
    <col min="1537" max="1537" width="12.42578125" style="795" customWidth="1"/>
    <col min="1538" max="1538" width="22.7109375" style="795" customWidth="1"/>
    <col min="1539" max="1539" width="19" style="795" customWidth="1"/>
    <col min="1540" max="1540" width="9.140625" style="795"/>
    <col min="1541" max="1541" width="25" style="795" customWidth="1"/>
    <col min="1542" max="1543" width="9.140625" style="795"/>
    <col min="1544" max="1544" width="30.7109375" style="795" customWidth="1"/>
    <col min="1545" max="1792" width="9.140625" style="795"/>
    <col min="1793" max="1793" width="12.42578125" style="795" customWidth="1"/>
    <col min="1794" max="1794" width="22.7109375" style="795" customWidth="1"/>
    <col min="1795" max="1795" width="19" style="795" customWidth="1"/>
    <col min="1796" max="1796" width="9.140625" style="795"/>
    <col min="1797" max="1797" width="25" style="795" customWidth="1"/>
    <col min="1798" max="1799" width="9.140625" style="795"/>
    <col min="1800" max="1800" width="30.7109375" style="795" customWidth="1"/>
    <col min="1801" max="2048" width="9.140625" style="795"/>
    <col min="2049" max="2049" width="12.42578125" style="795" customWidth="1"/>
    <col min="2050" max="2050" width="22.7109375" style="795" customWidth="1"/>
    <col min="2051" max="2051" width="19" style="795" customWidth="1"/>
    <col min="2052" max="2052" width="9.140625" style="795"/>
    <col min="2053" max="2053" width="25" style="795" customWidth="1"/>
    <col min="2054" max="2055" width="9.140625" style="795"/>
    <col min="2056" max="2056" width="30.7109375" style="795" customWidth="1"/>
    <col min="2057" max="2304" width="9.140625" style="795"/>
    <col min="2305" max="2305" width="12.42578125" style="795" customWidth="1"/>
    <col min="2306" max="2306" width="22.7109375" style="795" customWidth="1"/>
    <col min="2307" max="2307" width="19" style="795" customWidth="1"/>
    <col min="2308" max="2308" width="9.140625" style="795"/>
    <col min="2309" max="2309" width="25" style="795" customWidth="1"/>
    <col min="2310" max="2311" width="9.140625" style="795"/>
    <col min="2312" max="2312" width="30.7109375" style="795" customWidth="1"/>
    <col min="2313" max="2560" width="9.140625" style="795"/>
    <col min="2561" max="2561" width="12.42578125" style="795" customWidth="1"/>
    <col min="2562" max="2562" width="22.7109375" style="795" customWidth="1"/>
    <col min="2563" max="2563" width="19" style="795" customWidth="1"/>
    <col min="2564" max="2564" width="9.140625" style="795"/>
    <col min="2565" max="2565" width="25" style="795" customWidth="1"/>
    <col min="2566" max="2567" width="9.140625" style="795"/>
    <col min="2568" max="2568" width="30.7109375" style="795" customWidth="1"/>
    <col min="2569" max="2816" width="9.140625" style="795"/>
    <col min="2817" max="2817" width="12.42578125" style="795" customWidth="1"/>
    <col min="2818" max="2818" width="22.7109375" style="795" customWidth="1"/>
    <col min="2819" max="2819" width="19" style="795" customWidth="1"/>
    <col min="2820" max="2820" width="9.140625" style="795"/>
    <col min="2821" max="2821" width="25" style="795" customWidth="1"/>
    <col min="2822" max="2823" width="9.140625" style="795"/>
    <col min="2824" max="2824" width="30.7109375" style="795" customWidth="1"/>
    <col min="2825" max="3072" width="9.140625" style="795"/>
    <col min="3073" max="3073" width="12.42578125" style="795" customWidth="1"/>
    <col min="3074" max="3074" width="22.7109375" style="795" customWidth="1"/>
    <col min="3075" max="3075" width="19" style="795" customWidth="1"/>
    <col min="3076" max="3076" width="9.140625" style="795"/>
    <col min="3077" max="3077" width="25" style="795" customWidth="1"/>
    <col min="3078" max="3079" width="9.140625" style="795"/>
    <col min="3080" max="3080" width="30.7109375" style="795" customWidth="1"/>
    <col min="3081" max="3328" width="9.140625" style="795"/>
    <col min="3329" max="3329" width="12.42578125" style="795" customWidth="1"/>
    <col min="3330" max="3330" width="22.7109375" style="795" customWidth="1"/>
    <col min="3331" max="3331" width="19" style="795" customWidth="1"/>
    <col min="3332" max="3332" width="9.140625" style="795"/>
    <col min="3333" max="3333" width="25" style="795" customWidth="1"/>
    <col min="3334" max="3335" width="9.140625" style="795"/>
    <col min="3336" max="3336" width="30.7109375" style="795" customWidth="1"/>
    <col min="3337" max="3584" width="9.140625" style="795"/>
    <col min="3585" max="3585" width="12.42578125" style="795" customWidth="1"/>
    <col min="3586" max="3586" width="22.7109375" style="795" customWidth="1"/>
    <col min="3587" max="3587" width="19" style="795" customWidth="1"/>
    <col min="3588" max="3588" width="9.140625" style="795"/>
    <col min="3589" max="3589" width="25" style="795" customWidth="1"/>
    <col min="3590" max="3591" width="9.140625" style="795"/>
    <col min="3592" max="3592" width="30.7109375" style="795" customWidth="1"/>
    <col min="3593" max="3840" width="9.140625" style="795"/>
    <col min="3841" max="3841" width="12.42578125" style="795" customWidth="1"/>
    <col min="3842" max="3842" width="22.7109375" style="795" customWidth="1"/>
    <col min="3843" max="3843" width="19" style="795" customWidth="1"/>
    <col min="3844" max="3844" width="9.140625" style="795"/>
    <col min="3845" max="3845" width="25" style="795" customWidth="1"/>
    <col min="3846" max="3847" width="9.140625" style="795"/>
    <col min="3848" max="3848" width="30.7109375" style="795" customWidth="1"/>
    <col min="3849" max="4096" width="9.140625" style="795"/>
    <col min="4097" max="4097" width="12.42578125" style="795" customWidth="1"/>
    <col min="4098" max="4098" width="22.7109375" style="795" customWidth="1"/>
    <col min="4099" max="4099" width="19" style="795" customWidth="1"/>
    <col min="4100" max="4100" width="9.140625" style="795"/>
    <col min="4101" max="4101" width="25" style="795" customWidth="1"/>
    <col min="4102" max="4103" width="9.140625" style="795"/>
    <col min="4104" max="4104" width="30.7109375" style="795" customWidth="1"/>
    <col min="4105" max="4352" width="9.140625" style="795"/>
    <col min="4353" max="4353" width="12.42578125" style="795" customWidth="1"/>
    <col min="4354" max="4354" width="22.7109375" style="795" customWidth="1"/>
    <col min="4355" max="4355" width="19" style="795" customWidth="1"/>
    <col min="4356" max="4356" width="9.140625" style="795"/>
    <col min="4357" max="4357" width="25" style="795" customWidth="1"/>
    <col min="4358" max="4359" width="9.140625" style="795"/>
    <col min="4360" max="4360" width="30.7109375" style="795" customWidth="1"/>
    <col min="4361" max="4608" width="9.140625" style="795"/>
    <col min="4609" max="4609" width="12.42578125" style="795" customWidth="1"/>
    <col min="4610" max="4610" width="22.7109375" style="795" customWidth="1"/>
    <col min="4611" max="4611" width="19" style="795" customWidth="1"/>
    <col min="4612" max="4612" width="9.140625" style="795"/>
    <col min="4613" max="4613" width="25" style="795" customWidth="1"/>
    <col min="4614" max="4615" width="9.140625" style="795"/>
    <col min="4616" max="4616" width="30.7109375" style="795" customWidth="1"/>
    <col min="4617" max="4864" width="9.140625" style="795"/>
    <col min="4865" max="4865" width="12.42578125" style="795" customWidth="1"/>
    <col min="4866" max="4866" width="22.7109375" style="795" customWidth="1"/>
    <col min="4867" max="4867" width="19" style="795" customWidth="1"/>
    <col min="4868" max="4868" width="9.140625" style="795"/>
    <col min="4869" max="4869" width="25" style="795" customWidth="1"/>
    <col min="4870" max="4871" width="9.140625" style="795"/>
    <col min="4872" max="4872" width="30.7109375" style="795" customWidth="1"/>
    <col min="4873" max="5120" width="9.140625" style="795"/>
    <col min="5121" max="5121" width="12.42578125" style="795" customWidth="1"/>
    <col min="5122" max="5122" width="22.7109375" style="795" customWidth="1"/>
    <col min="5123" max="5123" width="19" style="795" customWidth="1"/>
    <col min="5124" max="5124" width="9.140625" style="795"/>
    <col min="5125" max="5125" width="25" style="795" customWidth="1"/>
    <col min="5126" max="5127" width="9.140625" style="795"/>
    <col min="5128" max="5128" width="30.7109375" style="795" customWidth="1"/>
    <col min="5129" max="5376" width="9.140625" style="795"/>
    <col min="5377" max="5377" width="12.42578125" style="795" customWidth="1"/>
    <col min="5378" max="5378" width="22.7109375" style="795" customWidth="1"/>
    <col min="5379" max="5379" width="19" style="795" customWidth="1"/>
    <col min="5380" max="5380" width="9.140625" style="795"/>
    <col min="5381" max="5381" width="25" style="795" customWidth="1"/>
    <col min="5382" max="5383" width="9.140625" style="795"/>
    <col min="5384" max="5384" width="30.7109375" style="795" customWidth="1"/>
    <col min="5385" max="5632" width="9.140625" style="795"/>
    <col min="5633" max="5633" width="12.42578125" style="795" customWidth="1"/>
    <col min="5634" max="5634" width="22.7109375" style="795" customWidth="1"/>
    <col min="5635" max="5635" width="19" style="795" customWidth="1"/>
    <col min="5636" max="5636" width="9.140625" style="795"/>
    <col min="5637" max="5637" width="25" style="795" customWidth="1"/>
    <col min="5638" max="5639" width="9.140625" style="795"/>
    <col min="5640" max="5640" width="30.7109375" style="795" customWidth="1"/>
    <col min="5641" max="5888" width="9.140625" style="795"/>
    <col min="5889" max="5889" width="12.42578125" style="795" customWidth="1"/>
    <col min="5890" max="5890" width="22.7109375" style="795" customWidth="1"/>
    <col min="5891" max="5891" width="19" style="795" customWidth="1"/>
    <col min="5892" max="5892" width="9.140625" style="795"/>
    <col min="5893" max="5893" width="25" style="795" customWidth="1"/>
    <col min="5894" max="5895" width="9.140625" style="795"/>
    <col min="5896" max="5896" width="30.7109375" style="795" customWidth="1"/>
    <col min="5897" max="6144" width="9.140625" style="795"/>
    <col min="6145" max="6145" width="12.42578125" style="795" customWidth="1"/>
    <col min="6146" max="6146" width="22.7109375" style="795" customWidth="1"/>
    <col min="6147" max="6147" width="19" style="795" customWidth="1"/>
    <col min="6148" max="6148" width="9.140625" style="795"/>
    <col min="6149" max="6149" width="25" style="795" customWidth="1"/>
    <col min="6150" max="6151" width="9.140625" style="795"/>
    <col min="6152" max="6152" width="30.7109375" style="795" customWidth="1"/>
    <col min="6153" max="6400" width="9.140625" style="795"/>
    <col min="6401" max="6401" width="12.42578125" style="795" customWidth="1"/>
    <col min="6402" max="6402" width="22.7109375" style="795" customWidth="1"/>
    <col min="6403" max="6403" width="19" style="795" customWidth="1"/>
    <col min="6404" max="6404" width="9.140625" style="795"/>
    <col min="6405" max="6405" width="25" style="795" customWidth="1"/>
    <col min="6406" max="6407" width="9.140625" style="795"/>
    <col min="6408" max="6408" width="30.7109375" style="795" customWidth="1"/>
    <col min="6409" max="6656" width="9.140625" style="795"/>
    <col min="6657" max="6657" width="12.42578125" style="795" customWidth="1"/>
    <col min="6658" max="6658" width="22.7109375" style="795" customWidth="1"/>
    <col min="6659" max="6659" width="19" style="795" customWidth="1"/>
    <col min="6660" max="6660" width="9.140625" style="795"/>
    <col min="6661" max="6661" width="25" style="795" customWidth="1"/>
    <col min="6662" max="6663" width="9.140625" style="795"/>
    <col min="6664" max="6664" width="30.7109375" style="795" customWidth="1"/>
    <col min="6665" max="6912" width="9.140625" style="795"/>
    <col min="6913" max="6913" width="12.42578125" style="795" customWidth="1"/>
    <col min="6914" max="6914" width="22.7109375" style="795" customWidth="1"/>
    <col min="6915" max="6915" width="19" style="795" customWidth="1"/>
    <col min="6916" max="6916" width="9.140625" style="795"/>
    <col min="6917" max="6917" width="25" style="795" customWidth="1"/>
    <col min="6918" max="6919" width="9.140625" style="795"/>
    <col min="6920" max="6920" width="30.7109375" style="795" customWidth="1"/>
    <col min="6921" max="7168" width="9.140625" style="795"/>
    <col min="7169" max="7169" width="12.42578125" style="795" customWidth="1"/>
    <col min="7170" max="7170" width="22.7109375" style="795" customWidth="1"/>
    <col min="7171" max="7171" width="19" style="795" customWidth="1"/>
    <col min="7172" max="7172" width="9.140625" style="795"/>
    <col min="7173" max="7173" width="25" style="795" customWidth="1"/>
    <col min="7174" max="7175" width="9.140625" style="795"/>
    <col min="7176" max="7176" width="30.7109375" style="795" customWidth="1"/>
    <col min="7177" max="7424" width="9.140625" style="795"/>
    <col min="7425" max="7425" width="12.42578125" style="795" customWidth="1"/>
    <col min="7426" max="7426" width="22.7109375" style="795" customWidth="1"/>
    <col min="7427" max="7427" width="19" style="795" customWidth="1"/>
    <col min="7428" max="7428" width="9.140625" style="795"/>
    <col min="7429" max="7429" width="25" style="795" customWidth="1"/>
    <col min="7430" max="7431" width="9.140625" style="795"/>
    <col min="7432" max="7432" width="30.7109375" style="795" customWidth="1"/>
    <col min="7433" max="7680" width="9.140625" style="795"/>
    <col min="7681" max="7681" width="12.42578125" style="795" customWidth="1"/>
    <col min="7682" max="7682" width="22.7109375" style="795" customWidth="1"/>
    <col min="7683" max="7683" width="19" style="795" customWidth="1"/>
    <col min="7684" max="7684" width="9.140625" style="795"/>
    <col min="7685" max="7685" width="25" style="795" customWidth="1"/>
    <col min="7686" max="7687" width="9.140625" style="795"/>
    <col min="7688" max="7688" width="30.7109375" style="795" customWidth="1"/>
    <col min="7689" max="7936" width="9.140625" style="795"/>
    <col min="7937" max="7937" width="12.42578125" style="795" customWidth="1"/>
    <col min="7938" max="7938" width="22.7109375" style="795" customWidth="1"/>
    <col min="7939" max="7939" width="19" style="795" customWidth="1"/>
    <col min="7940" max="7940" width="9.140625" style="795"/>
    <col min="7941" max="7941" width="25" style="795" customWidth="1"/>
    <col min="7942" max="7943" width="9.140625" style="795"/>
    <col min="7944" max="7944" width="30.7109375" style="795" customWidth="1"/>
    <col min="7945" max="8192" width="9.140625" style="795"/>
    <col min="8193" max="8193" width="12.42578125" style="795" customWidth="1"/>
    <col min="8194" max="8194" width="22.7109375" style="795" customWidth="1"/>
    <col min="8195" max="8195" width="19" style="795" customWidth="1"/>
    <col min="8196" max="8196" width="9.140625" style="795"/>
    <col min="8197" max="8197" width="25" style="795" customWidth="1"/>
    <col min="8198" max="8199" width="9.140625" style="795"/>
    <col min="8200" max="8200" width="30.7109375" style="795" customWidth="1"/>
    <col min="8201" max="8448" width="9.140625" style="795"/>
    <col min="8449" max="8449" width="12.42578125" style="795" customWidth="1"/>
    <col min="8450" max="8450" width="22.7109375" style="795" customWidth="1"/>
    <col min="8451" max="8451" width="19" style="795" customWidth="1"/>
    <col min="8452" max="8452" width="9.140625" style="795"/>
    <col min="8453" max="8453" width="25" style="795" customWidth="1"/>
    <col min="8454" max="8455" width="9.140625" style="795"/>
    <col min="8456" max="8456" width="30.7109375" style="795" customWidth="1"/>
    <col min="8457" max="8704" width="9.140625" style="795"/>
    <col min="8705" max="8705" width="12.42578125" style="795" customWidth="1"/>
    <col min="8706" max="8706" width="22.7109375" style="795" customWidth="1"/>
    <col min="8707" max="8707" width="19" style="795" customWidth="1"/>
    <col min="8708" max="8708" width="9.140625" style="795"/>
    <col min="8709" max="8709" width="25" style="795" customWidth="1"/>
    <col min="8710" max="8711" width="9.140625" style="795"/>
    <col min="8712" max="8712" width="30.7109375" style="795" customWidth="1"/>
    <col min="8713" max="8960" width="9.140625" style="795"/>
    <col min="8961" max="8961" width="12.42578125" style="795" customWidth="1"/>
    <col min="8962" max="8962" width="22.7109375" style="795" customWidth="1"/>
    <col min="8963" max="8963" width="19" style="795" customWidth="1"/>
    <col min="8964" max="8964" width="9.140625" style="795"/>
    <col min="8965" max="8965" width="25" style="795" customWidth="1"/>
    <col min="8966" max="8967" width="9.140625" style="795"/>
    <col min="8968" max="8968" width="30.7109375" style="795" customWidth="1"/>
    <col min="8969" max="9216" width="9.140625" style="795"/>
    <col min="9217" max="9217" width="12.42578125" style="795" customWidth="1"/>
    <col min="9218" max="9218" width="22.7109375" style="795" customWidth="1"/>
    <col min="9219" max="9219" width="19" style="795" customWidth="1"/>
    <col min="9220" max="9220" width="9.140625" style="795"/>
    <col min="9221" max="9221" width="25" style="795" customWidth="1"/>
    <col min="9222" max="9223" width="9.140625" style="795"/>
    <col min="9224" max="9224" width="30.7109375" style="795" customWidth="1"/>
    <col min="9225" max="9472" width="9.140625" style="795"/>
    <col min="9473" max="9473" width="12.42578125" style="795" customWidth="1"/>
    <col min="9474" max="9474" width="22.7109375" style="795" customWidth="1"/>
    <col min="9475" max="9475" width="19" style="795" customWidth="1"/>
    <col min="9476" max="9476" width="9.140625" style="795"/>
    <col min="9477" max="9477" width="25" style="795" customWidth="1"/>
    <col min="9478" max="9479" width="9.140625" style="795"/>
    <col min="9480" max="9480" width="30.7109375" style="795" customWidth="1"/>
    <col min="9481" max="9728" width="9.140625" style="795"/>
    <col min="9729" max="9729" width="12.42578125" style="795" customWidth="1"/>
    <col min="9730" max="9730" width="22.7109375" style="795" customWidth="1"/>
    <col min="9731" max="9731" width="19" style="795" customWidth="1"/>
    <col min="9732" max="9732" width="9.140625" style="795"/>
    <col min="9733" max="9733" width="25" style="795" customWidth="1"/>
    <col min="9734" max="9735" width="9.140625" style="795"/>
    <col min="9736" max="9736" width="30.7109375" style="795" customWidth="1"/>
    <col min="9737" max="9984" width="9.140625" style="795"/>
    <col min="9985" max="9985" width="12.42578125" style="795" customWidth="1"/>
    <col min="9986" max="9986" width="22.7109375" style="795" customWidth="1"/>
    <col min="9987" max="9987" width="19" style="795" customWidth="1"/>
    <col min="9988" max="9988" width="9.140625" style="795"/>
    <col min="9989" max="9989" width="25" style="795" customWidth="1"/>
    <col min="9990" max="9991" width="9.140625" style="795"/>
    <col min="9992" max="9992" width="30.7109375" style="795" customWidth="1"/>
    <col min="9993" max="10240" width="9.140625" style="795"/>
    <col min="10241" max="10241" width="12.42578125" style="795" customWidth="1"/>
    <col min="10242" max="10242" width="22.7109375" style="795" customWidth="1"/>
    <col min="10243" max="10243" width="19" style="795" customWidth="1"/>
    <col min="10244" max="10244" width="9.140625" style="795"/>
    <col min="10245" max="10245" width="25" style="795" customWidth="1"/>
    <col min="10246" max="10247" width="9.140625" style="795"/>
    <col min="10248" max="10248" width="30.7109375" style="795" customWidth="1"/>
    <col min="10249" max="10496" width="9.140625" style="795"/>
    <col min="10497" max="10497" width="12.42578125" style="795" customWidth="1"/>
    <col min="10498" max="10498" width="22.7109375" style="795" customWidth="1"/>
    <col min="10499" max="10499" width="19" style="795" customWidth="1"/>
    <col min="10500" max="10500" width="9.140625" style="795"/>
    <col min="10501" max="10501" width="25" style="795" customWidth="1"/>
    <col min="10502" max="10503" width="9.140625" style="795"/>
    <col min="10504" max="10504" width="30.7109375" style="795" customWidth="1"/>
    <col min="10505" max="10752" width="9.140625" style="795"/>
    <col min="10753" max="10753" width="12.42578125" style="795" customWidth="1"/>
    <col min="10754" max="10754" width="22.7109375" style="795" customWidth="1"/>
    <col min="10755" max="10755" width="19" style="795" customWidth="1"/>
    <col min="10756" max="10756" width="9.140625" style="795"/>
    <col min="10757" max="10757" width="25" style="795" customWidth="1"/>
    <col min="10758" max="10759" width="9.140625" style="795"/>
    <col min="10760" max="10760" width="30.7109375" style="795" customWidth="1"/>
    <col min="10761" max="11008" width="9.140625" style="795"/>
    <col min="11009" max="11009" width="12.42578125" style="795" customWidth="1"/>
    <col min="11010" max="11010" width="22.7109375" style="795" customWidth="1"/>
    <col min="11011" max="11011" width="19" style="795" customWidth="1"/>
    <col min="11012" max="11012" width="9.140625" style="795"/>
    <col min="11013" max="11013" width="25" style="795" customWidth="1"/>
    <col min="11014" max="11015" width="9.140625" style="795"/>
    <col min="11016" max="11016" width="30.7109375" style="795" customWidth="1"/>
    <col min="11017" max="11264" width="9.140625" style="795"/>
    <col min="11265" max="11265" width="12.42578125" style="795" customWidth="1"/>
    <col min="11266" max="11266" width="22.7109375" style="795" customWidth="1"/>
    <col min="11267" max="11267" width="19" style="795" customWidth="1"/>
    <col min="11268" max="11268" width="9.140625" style="795"/>
    <col min="11269" max="11269" width="25" style="795" customWidth="1"/>
    <col min="11270" max="11271" width="9.140625" style="795"/>
    <col min="11272" max="11272" width="30.7109375" style="795" customWidth="1"/>
    <col min="11273" max="11520" width="9.140625" style="795"/>
    <col min="11521" max="11521" width="12.42578125" style="795" customWidth="1"/>
    <col min="11522" max="11522" width="22.7109375" style="795" customWidth="1"/>
    <col min="11523" max="11523" width="19" style="795" customWidth="1"/>
    <col min="11524" max="11524" width="9.140625" style="795"/>
    <col min="11525" max="11525" width="25" style="795" customWidth="1"/>
    <col min="11526" max="11527" width="9.140625" style="795"/>
    <col min="11528" max="11528" width="30.7109375" style="795" customWidth="1"/>
    <col min="11529" max="11776" width="9.140625" style="795"/>
    <col min="11777" max="11777" width="12.42578125" style="795" customWidth="1"/>
    <col min="11778" max="11778" width="22.7109375" style="795" customWidth="1"/>
    <col min="11779" max="11779" width="19" style="795" customWidth="1"/>
    <col min="11780" max="11780" width="9.140625" style="795"/>
    <col min="11781" max="11781" width="25" style="795" customWidth="1"/>
    <col min="11782" max="11783" width="9.140625" style="795"/>
    <col min="11784" max="11784" width="30.7109375" style="795" customWidth="1"/>
    <col min="11785" max="12032" width="9.140625" style="795"/>
    <col min="12033" max="12033" width="12.42578125" style="795" customWidth="1"/>
    <col min="12034" max="12034" width="22.7109375" style="795" customWidth="1"/>
    <col min="12035" max="12035" width="19" style="795" customWidth="1"/>
    <col min="12036" max="12036" width="9.140625" style="795"/>
    <col min="12037" max="12037" width="25" style="795" customWidth="1"/>
    <col min="12038" max="12039" width="9.140625" style="795"/>
    <col min="12040" max="12040" width="30.7109375" style="795" customWidth="1"/>
    <col min="12041" max="12288" width="9.140625" style="795"/>
    <col min="12289" max="12289" width="12.42578125" style="795" customWidth="1"/>
    <col min="12290" max="12290" width="22.7109375" style="795" customWidth="1"/>
    <col min="12291" max="12291" width="19" style="795" customWidth="1"/>
    <col min="12292" max="12292" width="9.140625" style="795"/>
    <col min="12293" max="12293" width="25" style="795" customWidth="1"/>
    <col min="12294" max="12295" width="9.140625" style="795"/>
    <col min="12296" max="12296" width="30.7109375" style="795" customWidth="1"/>
    <col min="12297" max="12544" width="9.140625" style="795"/>
    <col min="12545" max="12545" width="12.42578125" style="795" customWidth="1"/>
    <col min="12546" max="12546" width="22.7109375" style="795" customWidth="1"/>
    <col min="12547" max="12547" width="19" style="795" customWidth="1"/>
    <col min="12548" max="12548" width="9.140625" style="795"/>
    <col min="12549" max="12549" width="25" style="795" customWidth="1"/>
    <col min="12550" max="12551" width="9.140625" style="795"/>
    <col min="12552" max="12552" width="30.7109375" style="795" customWidth="1"/>
    <col min="12553" max="12800" width="9.140625" style="795"/>
    <col min="12801" max="12801" width="12.42578125" style="795" customWidth="1"/>
    <col min="12802" max="12802" width="22.7109375" style="795" customWidth="1"/>
    <col min="12803" max="12803" width="19" style="795" customWidth="1"/>
    <col min="12804" max="12804" width="9.140625" style="795"/>
    <col min="12805" max="12805" width="25" style="795" customWidth="1"/>
    <col min="12806" max="12807" width="9.140625" style="795"/>
    <col min="12808" max="12808" width="30.7109375" style="795" customWidth="1"/>
    <col min="12809" max="13056" width="9.140625" style="795"/>
    <col min="13057" max="13057" width="12.42578125" style="795" customWidth="1"/>
    <col min="13058" max="13058" width="22.7109375" style="795" customWidth="1"/>
    <col min="13059" max="13059" width="19" style="795" customWidth="1"/>
    <col min="13060" max="13060" width="9.140625" style="795"/>
    <col min="13061" max="13061" width="25" style="795" customWidth="1"/>
    <col min="13062" max="13063" width="9.140625" style="795"/>
    <col min="13064" max="13064" width="30.7109375" style="795" customWidth="1"/>
    <col min="13065" max="13312" width="9.140625" style="795"/>
    <col min="13313" max="13313" width="12.42578125" style="795" customWidth="1"/>
    <col min="13314" max="13314" width="22.7109375" style="795" customWidth="1"/>
    <col min="13315" max="13315" width="19" style="795" customWidth="1"/>
    <col min="13316" max="13316" width="9.140625" style="795"/>
    <col min="13317" max="13317" width="25" style="795" customWidth="1"/>
    <col min="13318" max="13319" width="9.140625" style="795"/>
    <col min="13320" max="13320" width="30.7109375" style="795" customWidth="1"/>
    <col min="13321" max="13568" width="9.140625" style="795"/>
    <col min="13569" max="13569" width="12.42578125" style="795" customWidth="1"/>
    <col min="13570" max="13570" width="22.7109375" style="795" customWidth="1"/>
    <col min="13571" max="13571" width="19" style="795" customWidth="1"/>
    <col min="13572" max="13572" width="9.140625" style="795"/>
    <col min="13573" max="13573" width="25" style="795" customWidth="1"/>
    <col min="13574" max="13575" width="9.140625" style="795"/>
    <col min="13576" max="13576" width="30.7109375" style="795" customWidth="1"/>
    <col min="13577" max="13824" width="9.140625" style="795"/>
    <col min="13825" max="13825" width="12.42578125" style="795" customWidth="1"/>
    <col min="13826" max="13826" width="22.7109375" style="795" customWidth="1"/>
    <col min="13827" max="13827" width="19" style="795" customWidth="1"/>
    <col min="13828" max="13828" width="9.140625" style="795"/>
    <col min="13829" max="13829" width="25" style="795" customWidth="1"/>
    <col min="13830" max="13831" width="9.140625" style="795"/>
    <col min="13832" max="13832" width="30.7109375" style="795" customWidth="1"/>
    <col min="13833" max="14080" width="9.140625" style="795"/>
    <col min="14081" max="14081" width="12.42578125" style="795" customWidth="1"/>
    <col min="14082" max="14082" width="22.7109375" style="795" customWidth="1"/>
    <col min="14083" max="14083" width="19" style="795" customWidth="1"/>
    <col min="14084" max="14084" width="9.140625" style="795"/>
    <col min="14085" max="14085" width="25" style="795" customWidth="1"/>
    <col min="14086" max="14087" width="9.140625" style="795"/>
    <col min="14088" max="14088" width="30.7109375" style="795" customWidth="1"/>
    <col min="14089" max="14336" width="9.140625" style="795"/>
    <col min="14337" max="14337" width="12.42578125" style="795" customWidth="1"/>
    <col min="14338" max="14338" width="22.7109375" style="795" customWidth="1"/>
    <col min="14339" max="14339" width="19" style="795" customWidth="1"/>
    <col min="14340" max="14340" width="9.140625" style="795"/>
    <col min="14341" max="14341" width="25" style="795" customWidth="1"/>
    <col min="14342" max="14343" width="9.140625" style="795"/>
    <col min="14344" max="14344" width="30.7109375" style="795" customWidth="1"/>
    <col min="14345" max="14592" width="9.140625" style="795"/>
    <col min="14593" max="14593" width="12.42578125" style="795" customWidth="1"/>
    <col min="14594" max="14594" width="22.7109375" style="795" customWidth="1"/>
    <col min="14595" max="14595" width="19" style="795" customWidth="1"/>
    <col min="14596" max="14596" width="9.140625" style="795"/>
    <col min="14597" max="14597" width="25" style="795" customWidth="1"/>
    <col min="14598" max="14599" width="9.140625" style="795"/>
    <col min="14600" max="14600" width="30.7109375" style="795" customWidth="1"/>
    <col min="14601" max="14848" width="9.140625" style="795"/>
    <col min="14849" max="14849" width="12.42578125" style="795" customWidth="1"/>
    <col min="14850" max="14850" width="22.7109375" style="795" customWidth="1"/>
    <col min="14851" max="14851" width="19" style="795" customWidth="1"/>
    <col min="14852" max="14852" width="9.140625" style="795"/>
    <col min="14853" max="14853" width="25" style="795" customWidth="1"/>
    <col min="14854" max="14855" width="9.140625" style="795"/>
    <col min="14856" max="14856" width="30.7109375" style="795" customWidth="1"/>
    <col min="14857" max="15104" width="9.140625" style="795"/>
    <col min="15105" max="15105" width="12.42578125" style="795" customWidth="1"/>
    <col min="15106" max="15106" width="22.7109375" style="795" customWidth="1"/>
    <col min="15107" max="15107" width="19" style="795" customWidth="1"/>
    <col min="15108" max="15108" width="9.140625" style="795"/>
    <col min="15109" max="15109" width="25" style="795" customWidth="1"/>
    <col min="15110" max="15111" width="9.140625" style="795"/>
    <col min="15112" max="15112" width="30.7109375" style="795" customWidth="1"/>
    <col min="15113" max="15360" width="9.140625" style="795"/>
    <col min="15361" max="15361" width="12.42578125" style="795" customWidth="1"/>
    <col min="15362" max="15362" width="22.7109375" style="795" customWidth="1"/>
    <col min="15363" max="15363" width="19" style="795" customWidth="1"/>
    <col min="15364" max="15364" width="9.140625" style="795"/>
    <col min="15365" max="15365" width="25" style="795" customWidth="1"/>
    <col min="15366" max="15367" width="9.140625" style="795"/>
    <col min="15368" max="15368" width="30.7109375" style="795" customWidth="1"/>
    <col min="15369" max="15616" width="9.140625" style="795"/>
    <col min="15617" max="15617" width="12.42578125" style="795" customWidth="1"/>
    <col min="15618" max="15618" width="22.7109375" style="795" customWidth="1"/>
    <col min="15619" max="15619" width="19" style="795" customWidth="1"/>
    <col min="15620" max="15620" width="9.140625" style="795"/>
    <col min="15621" max="15621" width="25" style="795" customWidth="1"/>
    <col min="15622" max="15623" width="9.140625" style="795"/>
    <col min="15624" max="15624" width="30.7109375" style="795" customWidth="1"/>
    <col min="15625" max="15872" width="9.140625" style="795"/>
    <col min="15873" max="15873" width="12.42578125" style="795" customWidth="1"/>
    <col min="15874" max="15874" width="22.7109375" style="795" customWidth="1"/>
    <col min="15875" max="15875" width="19" style="795" customWidth="1"/>
    <col min="15876" max="15876" width="9.140625" style="795"/>
    <col min="15877" max="15877" width="25" style="795" customWidth="1"/>
    <col min="15878" max="15879" width="9.140625" style="795"/>
    <col min="15880" max="15880" width="30.7109375" style="795" customWidth="1"/>
    <col min="15881" max="16128" width="9.140625" style="795"/>
    <col min="16129" max="16129" width="12.42578125" style="795" customWidth="1"/>
    <col min="16130" max="16130" width="22.7109375" style="795" customWidth="1"/>
    <col min="16131" max="16131" width="19" style="795" customWidth="1"/>
    <col min="16132" max="16132" width="9.140625" style="795"/>
    <col min="16133" max="16133" width="25" style="795" customWidth="1"/>
    <col min="16134" max="16135" width="9.140625" style="795"/>
    <col min="16136" max="16136" width="30.7109375" style="795" customWidth="1"/>
    <col min="16137" max="16384" width="9.140625" style="795"/>
  </cols>
  <sheetData>
    <row r="1" spans="1:8" ht="16.5" thickBot="1" x14ac:dyDescent="0.3">
      <c r="A1" s="1021"/>
      <c r="B1" s="1021"/>
      <c r="C1" s="1021"/>
      <c r="D1" s="1022"/>
      <c r="E1" s="1021"/>
      <c r="F1" s="1022"/>
      <c r="G1" s="1022"/>
      <c r="H1" s="1021">
        <f>+Cover!E10</f>
        <v>0</v>
      </c>
    </row>
    <row r="2" spans="1:8" ht="66" customHeight="1" thickTop="1" x14ac:dyDescent="0.25">
      <c r="A2" s="1996" t="s">
        <v>1166</v>
      </c>
      <c r="B2" s="1997"/>
      <c r="C2" s="1997"/>
      <c r="D2" s="1997"/>
      <c r="E2" s="1997"/>
      <c r="F2" s="1997"/>
      <c r="G2" s="1997"/>
      <c r="H2" s="1998"/>
    </row>
    <row r="3" spans="1:8" ht="31.5" x14ac:dyDescent="0.25">
      <c r="A3" s="796" t="s">
        <v>1167</v>
      </c>
      <c r="B3" s="797" t="s">
        <v>1168</v>
      </c>
      <c r="C3" s="797" t="s">
        <v>1169</v>
      </c>
      <c r="D3" s="798" t="s">
        <v>1170</v>
      </c>
      <c r="E3" s="797" t="s">
        <v>111</v>
      </c>
      <c r="F3" s="798" t="s">
        <v>1171</v>
      </c>
      <c r="G3" s="798" t="s">
        <v>1172</v>
      </c>
      <c r="H3" s="799" t="s">
        <v>1556</v>
      </c>
    </row>
    <row r="4" spans="1:8" x14ac:dyDescent="0.25">
      <c r="A4" s="800"/>
      <c r="B4" s="1076"/>
      <c r="C4" s="1076"/>
      <c r="D4" s="1077"/>
      <c r="E4" s="1076"/>
      <c r="F4" s="802"/>
      <c r="G4" s="802"/>
      <c r="H4" s="803"/>
    </row>
    <row r="5" spans="1:8" x14ac:dyDescent="0.25">
      <c r="A5" s="800"/>
      <c r="B5" s="1076"/>
      <c r="C5" s="1076"/>
      <c r="D5" s="1077"/>
      <c r="E5" s="1076"/>
      <c r="F5" s="802"/>
      <c r="G5" s="802"/>
      <c r="H5" s="803"/>
    </row>
    <row r="6" spans="1:8" x14ac:dyDescent="0.25">
      <c r="A6" s="800"/>
      <c r="B6" s="1076"/>
      <c r="C6" s="1076"/>
      <c r="D6" s="1077"/>
      <c r="E6" s="1076"/>
      <c r="F6" s="802"/>
      <c r="G6" s="802"/>
      <c r="H6" s="803"/>
    </row>
    <row r="7" spans="1:8" x14ac:dyDescent="0.25">
      <c r="A7" s="800"/>
      <c r="B7" s="801"/>
      <c r="C7" s="801"/>
      <c r="D7" s="802"/>
      <c r="E7" s="801"/>
      <c r="F7" s="802"/>
      <c r="G7" s="802"/>
      <c r="H7" s="803"/>
    </row>
    <row r="8" spans="1:8" x14ac:dyDescent="0.25">
      <c r="A8" s="800"/>
      <c r="B8" s="801"/>
      <c r="C8" s="801"/>
      <c r="D8" s="802"/>
      <c r="E8" s="801"/>
      <c r="F8" s="802"/>
      <c r="G8" s="802"/>
      <c r="H8" s="803"/>
    </row>
    <row r="9" spans="1:8" x14ac:dyDescent="0.25">
      <c r="A9" s="800"/>
      <c r="B9" s="801"/>
      <c r="C9" s="801"/>
      <c r="D9" s="802"/>
      <c r="E9" s="801"/>
      <c r="F9" s="802"/>
      <c r="G9" s="802"/>
      <c r="H9" s="803"/>
    </row>
    <row r="10" spans="1:8" x14ac:dyDescent="0.25">
      <c r="A10" s="800"/>
      <c r="B10" s="801"/>
      <c r="C10" s="801"/>
      <c r="D10" s="802"/>
      <c r="E10" s="801"/>
      <c r="F10" s="802"/>
      <c r="G10" s="802"/>
      <c r="H10" s="803"/>
    </row>
    <row r="11" spans="1:8" x14ac:dyDescent="0.25">
      <c r="A11" s="800"/>
      <c r="B11" s="801"/>
      <c r="C11" s="801"/>
      <c r="D11" s="802"/>
      <c r="E11" s="801"/>
      <c r="F11" s="802"/>
      <c r="G11" s="802"/>
      <c r="H11" s="803"/>
    </row>
    <row r="12" spans="1:8" x14ac:dyDescent="0.25">
      <c r="A12" s="800"/>
      <c r="B12" s="801"/>
      <c r="C12" s="801"/>
      <c r="D12" s="802"/>
      <c r="E12" s="801"/>
      <c r="F12" s="802"/>
      <c r="G12" s="802"/>
      <c r="H12" s="803"/>
    </row>
    <row r="13" spans="1:8" x14ac:dyDescent="0.25">
      <c r="A13" s="800"/>
      <c r="B13" s="801"/>
      <c r="C13" s="801"/>
      <c r="D13" s="802"/>
      <c r="E13" s="801"/>
      <c r="F13" s="802"/>
      <c r="G13" s="802"/>
      <c r="H13" s="803"/>
    </row>
    <row r="14" spans="1:8" x14ac:dyDescent="0.25">
      <c r="A14" s="800"/>
      <c r="B14" s="801"/>
      <c r="C14" s="801"/>
      <c r="D14" s="802"/>
      <c r="E14" s="801"/>
      <c r="F14" s="802"/>
      <c r="G14" s="802"/>
      <c r="H14" s="803"/>
    </row>
    <row r="15" spans="1:8" x14ac:dyDescent="0.25">
      <c r="A15" s="800"/>
      <c r="B15" s="801"/>
      <c r="C15" s="801"/>
      <c r="D15" s="802"/>
      <c r="E15" s="801"/>
      <c r="F15" s="802"/>
      <c r="G15" s="802"/>
      <c r="H15" s="803"/>
    </row>
    <row r="16" spans="1:8" x14ac:dyDescent="0.25">
      <c r="A16" s="800"/>
      <c r="B16" s="801"/>
      <c r="C16" s="801"/>
      <c r="D16" s="802"/>
      <c r="E16" s="801"/>
      <c r="F16" s="802"/>
      <c r="G16" s="802"/>
      <c r="H16" s="803"/>
    </row>
    <row r="17" spans="1:8" x14ac:dyDescent="0.25">
      <c r="A17" s="800"/>
      <c r="B17" s="801"/>
      <c r="C17" s="801"/>
      <c r="D17" s="802"/>
      <c r="E17" s="801"/>
      <c r="F17" s="802"/>
      <c r="G17" s="802"/>
      <c r="H17" s="803"/>
    </row>
    <row r="18" spans="1:8" x14ac:dyDescent="0.25">
      <c r="A18" s="800"/>
      <c r="B18" s="801"/>
      <c r="C18" s="801"/>
      <c r="D18" s="802"/>
      <c r="E18" s="801"/>
      <c r="F18" s="802"/>
      <c r="G18" s="802"/>
      <c r="H18" s="803"/>
    </row>
    <row r="19" spans="1:8" x14ac:dyDescent="0.25">
      <c r="A19" s="800"/>
      <c r="B19" s="801"/>
      <c r="C19" s="801"/>
      <c r="D19" s="802"/>
      <c r="E19" s="801"/>
      <c r="F19" s="802"/>
      <c r="G19" s="802"/>
      <c r="H19" s="803"/>
    </row>
    <row r="20" spans="1:8" x14ac:dyDescent="0.25">
      <c r="A20" s="800"/>
      <c r="B20" s="801"/>
      <c r="C20" s="801"/>
      <c r="D20" s="802"/>
      <c r="E20" s="801"/>
      <c r="F20" s="802"/>
      <c r="G20" s="802"/>
      <c r="H20" s="803"/>
    </row>
    <row r="21" spans="1:8" x14ac:dyDescent="0.25">
      <c r="A21" s="800"/>
      <c r="B21" s="801"/>
      <c r="C21" s="801"/>
      <c r="D21" s="802"/>
      <c r="E21" s="801"/>
      <c r="F21" s="802"/>
      <c r="G21" s="802"/>
      <c r="H21" s="803"/>
    </row>
    <row r="22" spans="1:8" x14ac:dyDescent="0.25">
      <c r="A22" s="800"/>
      <c r="B22" s="801"/>
      <c r="C22" s="801"/>
      <c r="D22" s="802"/>
      <c r="E22" s="801"/>
      <c r="F22" s="802"/>
      <c r="G22" s="802"/>
      <c r="H22" s="803"/>
    </row>
    <row r="23" spans="1:8" x14ac:dyDescent="0.25">
      <c r="A23" s="800"/>
      <c r="B23" s="801"/>
      <c r="C23" s="801"/>
      <c r="D23" s="802"/>
      <c r="E23" s="801"/>
      <c r="F23" s="802"/>
      <c r="G23" s="802"/>
      <c r="H23" s="803"/>
    </row>
    <row r="24" spans="1:8" x14ac:dyDescent="0.25">
      <c r="A24" s="800"/>
      <c r="B24" s="801"/>
      <c r="C24" s="801"/>
      <c r="D24" s="802"/>
      <c r="E24" s="801"/>
      <c r="F24" s="802"/>
      <c r="G24" s="802"/>
      <c r="H24" s="803"/>
    </row>
    <row r="25" spans="1:8" x14ac:dyDescent="0.25">
      <c r="A25" s="800"/>
      <c r="B25" s="801"/>
      <c r="C25" s="801"/>
      <c r="D25" s="802"/>
      <c r="E25" s="801"/>
      <c r="F25" s="802"/>
      <c r="G25" s="802"/>
      <c r="H25" s="803"/>
    </row>
    <row r="26" spans="1:8" x14ac:dyDescent="0.25">
      <c r="A26" s="800"/>
      <c r="B26" s="801"/>
      <c r="C26" s="801"/>
      <c r="D26" s="802"/>
      <c r="E26" s="801"/>
      <c r="F26" s="802"/>
      <c r="G26" s="802"/>
      <c r="H26" s="803"/>
    </row>
    <row r="27" spans="1:8" x14ac:dyDescent="0.25">
      <c r="A27" s="800"/>
      <c r="B27" s="801"/>
      <c r="C27" s="801"/>
      <c r="D27" s="802"/>
      <c r="E27" s="801"/>
      <c r="F27" s="802"/>
      <c r="G27" s="802"/>
      <c r="H27" s="803"/>
    </row>
    <row r="28" spans="1:8" x14ac:dyDescent="0.25">
      <c r="A28" s="800"/>
      <c r="B28" s="801"/>
      <c r="C28" s="801"/>
      <c r="D28" s="802"/>
      <c r="E28" s="801"/>
      <c r="F28" s="802"/>
      <c r="G28" s="802"/>
      <c r="H28" s="803"/>
    </row>
    <row r="29" spans="1:8" x14ac:dyDescent="0.25">
      <c r="A29" s="800"/>
      <c r="B29" s="801"/>
      <c r="C29" s="801"/>
      <c r="D29" s="802"/>
      <c r="E29" s="801"/>
      <c r="F29" s="802"/>
      <c r="G29" s="802"/>
      <c r="H29" s="803"/>
    </row>
    <row r="30" spans="1:8" x14ac:dyDescent="0.25">
      <c r="A30" s="800"/>
      <c r="B30" s="801"/>
      <c r="C30" s="801"/>
      <c r="D30" s="802"/>
      <c r="E30" s="801"/>
      <c r="F30" s="802"/>
      <c r="G30" s="802"/>
      <c r="H30" s="803"/>
    </row>
    <row r="31" spans="1:8" x14ac:dyDescent="0.25">
      <c r="A31" s="800"/>
      <c r="B31" s="801"/>
      <c r="C31" s="801"/>
      <c r="D31" s="802"/>
      <c r="E31" s="801"/>
      <c r="F31" s="802"/>
      <c r="G31" s="802"/>
      <c r="H31" s="803"/>
    </row>
    <row r="32" spans="1:8" x14ac:dyDescent="0.25">
      <c r="A32" s="800"/>
      <c r="B32" s="801"/>
      <c r="C32" s="801"/>
      <c r="D32" s="802"/>
      <c r="E32" s="801"/>
      <c r="F32" s="802"/>
      <c r="G32" s="802"/>
      <c r="H32" s="803"/>
    </row>
    <row r="33" spans="1:8" x14ac:dyDescent="0.25">
      <c r="A33" s="800"/>
      <c r="B33" s="801"/>
      <c r="C33" s="801"/>
      <c r="D33" s="802"/>
      <c r="E33" s="801"/>
      <c r="F33" s="802"/>
      <c r="G33" s="802"/>
      <c r="H33" s="803"/>
    </row>
    <row r="34" spans="1:8" x14ac:dyDescent="0.25">
      <c r="A34" s="800"/>
      <c r="B34" s="801"/>
      <c r="C34" s="801"/>
      <c r="D34" s="802"/>
      <c r="E34" s="801"/>
      <c r="F34" s="802"/>
      <c r="G34" s="802"/>
      <c r="H34" s="803"/>
    </row>
    <row r="35" spans="1:8" x14ac:dyDescent="0.25">
      <c r="A35" s="800"/>
      <c r="B35" s="801"/>
      <c r="C35" s="801"/>
      <c r="D35" s="802"/>
      <c r="E35" s="801"/>
      <c r="F35" s="802"/>
      <c r="G35" s="802"/>
      <c r="H35" s="803"/>
    </row>
    <row r="36" spans="1:8" x14ac:dyDescent="0.25">
      <c r="A36" s="800"/>
      <c r="B36" s="801"/>
      <c r="C36" s="801"/>
      <c r="D36" s="802"/>
      <c r="E36" s="801"/>
      <c r="F36" s="802"/>
      <c r="G36" s="802"/>
      <c r="H36" s="803"/>
    </row>
    <row r="37" spans="1:8" x14ac:dyDescent="0.25">
      <c r="A37" s="800"/>
      <c r="B37" s="801"/>
      <c r="C37" s="801"/>
      <c r="D37" s="802"/>
      <c r="E37" s="801"/>
      <c r="F37" s="802"/>
      <c r="G37" s="802"/>
      <c r="H37" s="803"/>
    </row>
    <row r="38" spans="1:8" x14ac:dyDescent="0.25">
      <c r="A38" s="800"/>
      <c r="B38" s="801"/>
      <c r="C38" s="801"/>
      <c r="D38" s="802"/>
      <c r="E38" s="801"/>
      <c r="F38" s="802"/>
      <c r="G38" s="802"/>
      <c r="H38" s="803"/>
    </row>
    <row r="39" spans="1:8" x14ac:dyDescent="0.25">
      <c r="A39" s="800"/>
      <c r="B39" s="801"/>
      <c r="C39" s="801"/>
      <c r="D39" s="802"/>
      <c r="E39" s="801"/>
      <c r="F39" s="802"/>
      <c r="G39" s="802"/>
      <c r="H39" s="803"/>
    </row>
    <row r="40" spans="1:8" x14ac:dyDescent="0.25">
      <c r="A40" s="800"/>
      <c r="B40" s="801"/>
      <c r="C40" s="801"/>
      <c r="D40" s="802"/>
      <c r="E40" s="801"/>
      <c r="F40" s="802"/>
      <c r="G40" s="802"/>
      <c r="H40" s="803"/>
    </row>
    <row r="41" spans="1:8" x14ac:dyDescent="0.25">
      <c r="A41" s="800"/>
      <c r="B41" s="801"/>
      <c r="C41" s="801"/>
      <c r="D41" s="802"/>
      <c r="E41" s="801"/>
      <c r="F41" s="802"/>
      <c r="G41" s="802"/>
      <c r="H41" s="803"/>
    </row>
    <row r="42" spans="1:8" x14ac:dyDescent="0.25">
      <c r="A42" s="800"/>
      <c r="B42" s="801"/>
      <c r="C42" s="801"/>
      <c r="D42" s="802"/>
      <c r="E42" s="801"/>
      <c r="F42" s="802"/>
      <c r="G42" s="802"/>
      <c r="H42" s="803"/>
    </row>
    <row r="43" spans="1:8" x14ac:dyDescent="0.25">
      <c r="A43" s="800"/>
      <c r="B43" s="801"/>
      <c r="C43" s="801"/>
      <c r="D43" s="802"/>
      <c r="E43" s="801"/>
      <c r="F43" s="802"/>
      <c r="G43" s="802"/>
      <c r="H43" s="803"/>
    </row>
    <row r="44" spans="1:8" x14ac:dyDescent="0.25">
      <c r="A44" s="800"/>
      <c r="B44" s="801"/>
      <c r="C44" s="801"/>
      <c r="D44" s="802"/>
      <c r="E44" s="801"/>
      <c r="F44" s="802"/>
      <c r="G44" s="802"/>
      <c r="H44" s="803"/>
    </row>
    <row r="45" spans="1:8" x14ac:dyDescent="0.25">
      <c r="A45" s="800"/>
      <c r="B45" s="801"/>
      <c r="C45" s="801"/>
      <c r="D45" s="802"/>
      <c r="E45" s="801"/>
      <c r="F45" s="802"/>
      <c r="G45" s="802"/>
      <c r="H45" s="803"/>
    </row>
    <row r="46" spans="1:8" x14ac:dyDescent="0.25">
      <c r="A46" s="800"/>
      <c r="B46" s="801"/>
      <c r="C46" s="801"/>
      <c r="D46" s="802"/>
      <c r="E46" s="801"/>
      <c r="F46" s="802"/>
      <c r="G46" s="802"/>
      <c r="H46" s="803"/>
    </row>
    <row r="47" spans="1:8" x14ac:dyDescent="0.25">
      <c r="A47" s="800"/>
      <c r="B47" s="801"/>
      <c r="C47" s="801"/>
      <c r="D47" s="802"/>
      <c r="E47" s="801"/>
      <c r="F47" s="802"/>
      <c r="G47" s="802"/>
      <c r="H47" s="803"/>
    </row>
    <row r="48" spans="1:8" x14ac:dyDescent="0.25">
      <c r="A48" s="800"/>
      <c r="B48" s="801"/>
      <c r="C48" s="801"/>
      <c r="D48" s="802"/>
      <c r="E48" s="801"/>
      <c r="F48" s="802"/>
      <c r="G48" s="802"/>
      <c r="H48" s="803"/>
    </row>
    <row r="49" spans="1:8" x14ac:dyDescent="0.25">
      <c r="A49" s="800"/>
      <c r="B49" s="801"/>
      <c r="C49" s="801"/>
      <c r="D49" s="802"/>
      <c r="E49" s="801"/>
      <c r="F49" s="802"/>
      <c r="G49" s="802"/>
      <c r="H49" s="803"/>
    </row>
    <row r="50" spans="1:8" x14ac:dyDescent="0.25">
      <c r="A50" s="800"/>
      <c r="B50" s="801"/>
      <c r="C50" s="801"/>
      <c r="D50" s="802"/>
      <c r="E50" s="801"/>
      <c r="F50" s="802"/>
      <c r="G50" s="802"/>
      <c r="H50" s="803"/>
    </row>
    <row r="51" spans="1:8" x14ac:dyDescent="0.25">
      <c r="A51" s="800"/>
      <c r="B51" s="801"/>
      <c r="C51" s="801"/>
      <c r="D51" s="802"/>
      <c r="E51" s="801"/>
      <c r="F51" s="802"/>
      <c r="G51" s="802"/>
      <c r="H51" s="803"/>
    </row>
    <row r="52" spans="1:8" x14ac:dyDescent="0.25">
      <c r="A52" s="800"/>
      <c r="B52" s="801"/>
      <c r="C52" s="801"/>
      <c r="D52" s="802"/>
      <c r="E52" s="801"/>
      <c r="F52" s="802"/>
      <c r="G52" s="802"/>
      <c r="H52" s="803"/>
    </row>
    <row r="53" spans="1:8" x14ac:dyDescent="0.25">
      <c r="A53" s="800"/>
      <c r="B53" s="801"/>
      <c r="C53" s="801"/>
      <c r="D53" s="802"/>
      <c r="E53" s="801"/>
      <c r="F53" s="802"/>
      <c r="G53" s="802"/>
      <c r="H53" s="803"/>
    </row>
    <row r="54" spans="1:8" x14ac:dyDescent="0.25">
      <c r="A54" s="800"/>
      <c r="B54" s="801"/>
      <c r="C54" s="801"/>
      <c r="D54" s="802"/>
      <c r="E54" s="801"/>
      <c r="F54" s="802"/>
      <c r="G54" s="802"/>
      <c r="H54" s="803"/>
    </row>
    <row r="55" spans="1:8" x14ac:dyDescent="0.25">
      <c r="A55" s="800"/>
      <c r="B55" s="801"/>
      <c r="C55" s="801"/>
      <c r="D55" s="802"/>
      <c r="E55" s="801"/>
      <c r="F55" s="802"/>
      <c r="G55" s="802"/>
      <c r="H55" s="803"/>
    </row>
    <row r="56" spans="1:8" x14ac:dyDescent="0.25">
      <c r="A56" s="800"/>
      <c r="B56" s="801"/>
      <c r="C56" s="801"/>
      <c r="D56" s="802"/>
      <c r="E56" s="801"/>
      <c r="F56" s="802"/>
      <c r="G56" s="802"/>
      <c r="H56" s="803"/>
    </row>
    <row r="57" spans="1:8" x14ac:dyDescent="0.25">
      <c r="A57" s="800"/>
      <c r="B57" s="801"/>
      <c r="C57" s="801"/>
      <c r="D57" s="802"/>
      <c r="E57" s="801"/>
      <c r="F57" s="802"/>
      <c r="G57" s="802"/>
      <c r="H57" s="803"/>
    </row>
    <row r="58" spans="1:8" x14ac:dyDescent="0.25">
      <c r="A58" s="800"/>
      <c r="B58" s="801"/>
      <c r="C58" s="801"/>
      <c r="D58" s="802"/>
      <c r="E58" s="801"/>
      <c r="F58" s="802"/>
      <c r="G58" s="802"/>
      <c r="H58" s="803"/>
    </row>
    <row r="59" spans="1:8" x14ac:dyDescent="0.25">
      <c r="A59" s="800"/>
      <c r="B59" s="801"/>
      <c r="C59" s="801"/>
      <c r="D59" s="802"/>
      <c r="E59" s="801"/>
      <c r="F59" s="802"/>
      <c r="G59" s="802"/>
      <c r="H59" s="803"/>
    </row>
    <row r="60" spans="1:8" x14ac:dyDescent="0.25">
      <c r="A60" s="800"/>
      <c r="B60" s="801"/>
      <c r="C60" s="801"/>
      <c r="D60" s="802"/>
      <c r="E60" s="801"/>
      <c r="F60" s="802"/>
      <c r="G60" s="802"/>
      <c r="H60" s="803"/>
    </row>
    <row r="61" spans="1:8" ht="16.5" thickBot="1" x14ac:dyDescent="0.3">
      <c r="A61" s="804"/>
      <c r="B61" s="805"/>
      <c r="C61" s="805"/>
      <c r="D61" s="806"/>
      <c r="E61" s="805"/>
      <c r="F61" s="806"/>
      <c r="G61" s="806"/>
      <c r="H61" s="807"/>
    </row>
    <row r="62" spans="1:8" ht="16.5" thickTop="1" x14ac:dyDescent="0.25"/>
  </sheetData>
  <sheetProtection password="CC14" sheet="1" objects="1" scenarios="1"/>
  <mergeCells count="1">
    <mergeCell ref="A2:H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M55"/>
  <sheetViews>
    <sheetView workbookViewId="0">
      <selection activeCell="H1" sqref="H1"/>
    </sheetView>
  </sheetViews>
  <sheetFormatPr defaultColWidth="8.85546875" defaultRowHeight="12.75" x14ac:dyDescent="0.2"/>
  <cols>
    <col min="1" max="2" width="3.7109375" customWidth="1"/>
    <col min="7" max="7" width="18.28515625" customWidth="1"/>
    <col min="8" max="8" width="29.42578125" customWidth="1"/>
    <col min="9" max="9" width="3.7109375" customWidth="1"/>
  </cols>
  <sheetData>
    <row r="1" spans="1:9" ht="15" thickTop="1" thickBot="1" x14ac:dyDescent="0.3">
      <c r="A1" s="360" t="s">
        <v>249</v>
      </c>
      <c r="B1" s="208"/>
      <c r="C1" s="208"/>
      <c r="D1" s="208"/>
      <c r="E1" s="2011">
        <f>+Cover!E10</f>
        <v>0</v>
      </c>
      <c r="F1" s="2011"/>
      <c r="G1" s="2011"/>
      <c r="H1" s="208" t="str">
        <f>+Cover!D7</f>
        <v>02142019.SA1</v>
      </c>
      <c r="I1" s="361"/>
    </row>
    <row r="2" spans="1:9" ht="14.25" thickTop="1" thickBot="1" x14ac:dyDescent="0.25">
      <c r="A2" s="209"/>
      <c r="B2" s="2008" t="s">
        <v>250</v>
      </c>
      <c r="C2" s="2009"/>
      <c r="D2" s="2009"/>
      <c r="E2" s="2009"/>
      <c r="F2" s="2009"/>
      <c r="G2" s="2009"/>
      <c r="H2" s="2010"/>
      <c r="I2" s="210"/>
    </row>
    <row r="3" spans="1:9" ht="16.5" thickTop="1" x14ac:dyDescent="0.25">
      <c r="A3" s="209"/>
      <c r="B3" s="2012">
        <f>+Cover!E10</f>
        <v>0</v>
      </c>
      <c r="C3" s="2012"/>
      <c r="D3" s="2012"/>
      <c r="E3" s="2012"/>
      <c r="F3" s="189"/>
      <c r="G3" s="189"/>
      <c r="H3" s="362" t="s">
        <v>251</v>
      </c>
      <c r="I3" s="210"/>
    </row>
    <row r="4" spans="1:9" ht="15.75" x14ac:dyDescent="0.25">
      <c r="A4" s="209"/>
      <c r="B4" s="189"/>
      <c r="C4" s="363" t="s">
        <v>252</v>
      </c>
      <c r="D4" s="364"/>
      <c r="E4" s="364"/>
      <c r="F4" s="189"/>
      <c r="G4" s="189"/>
      <c r="H4" s="362" t="s">
        <v>253</v>
      </c>
      <c r="I4" s="210"/>
    </row>
    <row r="5" spans="1:9" ht="15.75" x14ac:dyDescent="0.25">
      <c r="A5" s="209"/>
      <c r="B5" s="197" t="s">
        <v>254</v>
      </c>
      <c r="C5" s="197" t="s">
        <v>255</v>
      </c>
      <c r="D5" s="189"/>
      <c r="E5" s="189"/>
      <c r="F5" s="189"/>
      <c r="G5" s="189"/>
      <c r="H5" s="189"/>
      <c r="I5" s="210"/>
    </row>
    <row r="6" spans="1:9" ht="15.75" x14ac:dyDescent="0.25">
      <c r="A6" s="209"/>
      <c r="B6" s="189"/>
      <c r="C6" s="203"/>
      <c r="D6" s="2005" t="s">
        <v>256</v>
      </c>
      <c r="E6" s="2006"/>
      <c r="F6" s="2006"/>
      <c r="G6" s="2007"/>
      <c r="H6" s="179"/>
      <c r="I6" s="210"/>
    </row>
    <row r="7" spans="1:9" ht="15.75" x14ac:dyDescent="0.25">
      <c r="A7" s="209"/>
      <c r="B7" s="189"/>
      <c r="C7" s="203"/>
      <c r="D7" s="2005" t="s">
        <v>257</v>
      </c>
      <c r="E7" s="2006"/>
      <c r="F7" s="2006"/>
      <c r="G7" s="2007"/>
      <c r="H7" s="1075"/>
      <c r="I7" s="210"/>
    </row>
    <row r="8" spans="1:9" ht="15.75" x14ac:dyDescent="0.25">
      <c r="A8" s="209"/>
      <c r="B8" s="189"/>
      <c r="C8" s="203"/>
      <c r="D8" s="2005" t="s">
        <v>258</v>
      </c>
      <c r="E8" s="2006"/>
      <c r="F8" s="2006"/>
      <c r="G8" s="2007"/>
      <c r="H8" s="180"/>
      <c r="I8" s="210"/>
    </row>
    <row r="9" spans="1:9" ht="15.75" x14ac:dyDescent="0.25">
      <c r="A9" s="209"/>
      <c r="B9" s="189"/>
      <c r="C9" s="203"/>
      <c r="D9" s="2005" t="s">
        <v>259</v>
      </c>
      <c r="E9" s="2006"/>
      <c r="F9" s="2006"/>
      <c r="G9" s="2007"/>
      <c r="H9" s="180"/>
      <c r="I9" s="210"/>
    </row>
    <row r="10" spans="1:9" ht="15.75" x14ac:dyDescent="0.25">
      <c r="A10" s="209"/>
      <c r="B10" s="189"/>
      <c r="C10" s="203"/>
      <c r="D10" s="2005" t="s">
        <v>260</v>
      </c>
      <c r="E10" s="2006"/>
      <c r="F10" s="2006"/>
      <c r="G10" s="2007"/>
      <c r="H10" s="180"/>
      <c r="I10" s="210"/>
    </row>
    <row r="11" spans="1:9" ht="15.75" x14ac:dyDescent="0.25">
      <c r="A11" s="209"/>
      <c r="B11" s="189"/>
      <c r="C11" s="203"/>
      <c r="D11" s="189"/>
      <c r="E11" s="189"/>
      <c r="F11" s="189"/>
      <c r="G11" s="189"/>
      <c r="H11" s="373"/>
      <c r="I11" s="210"/>
    </row>
    <row r="12" spans="1:9" ht="15.75" x14ac:dyDescent="0.25">
      <c r="A12" s="209"/>
      <c r="B12" s="197" t="s">
        <v>261</v>
      </c>
      <c r="C12" s="197" t="s">
        <v>262</v>
      </c>
      <c r="D12" s="189"/>
      <c r="E12" s="189"/>
      <c r="F12" s="189"/>
      <c r="G12" s="189"/>
      <c r="H12" s="373"/>
      <c r="I12" s="210"/>
    </row>
    <row r="13" spans="1:9" ht="15.75" x14ac:dyDescent="0.25">
      <c r="A13" s="209"/>
      <c r="B13" s="365" t="s">
        <v>263</v>
      </c>
      <c r="C13" s="203" t="s">
        <v>264</v>
      </c>
      <c r="D13" s="189"/>
      <c r="E13" s="189"/>
      <c r="F13" s="189"/>
      <c r="G13" s="189"/>
      <c r="H13" s="373"/>
      <c r="I13" s="210"/>
    </row>
    <row r="14" spans="1:9" ht="15.75" x14ac:dyDescent="0.25">
      <c r="A14" s="209"/>
      <c r="B14" s="189"/>
      <c r="C14" s="203"/>
      <c r="D14" s="366" t="s">
        <v>265</v>
      </c>
      <c r="E14" s="367"/>
      <c r="F14" s="367"/>
      <c r="G14" s="367"/>
      <c r="H14" s="179"/>
      <c r="I14" s="210"/>
    </row>
    <row r="15" spans="1:9" ht="15.75" x14ac:dyDescent="0.25">
      <c r="A15" s="209"/>
      <c r="B15" s="189"/>
      <c r="C15" s="203"/>
      <c r="D15" s="366" t="s">
        <v>266</v>
      </c>
      <c r="E15" s="367"/>
      <c r="F15" s="367"/>
      <c r="G15" s="367"/>
      <c r="H15" s="180"/>
      <c r="I15" s="210"/>
    </row>
    <row r="16" spans="1:9" ht="15.75" x14ac:dyDescent="0.25">
      <c r="A16" s="209"/>
      <c r="B16" s="189"/>
      <c r="C16" s="203"/>
      <c r="D16" s="366" t="s">
        <v>267</v>
      </c>
      <c r="E16" s="367"/>
      <c r="F16" s="368"/>
      <c r="G16" s="369"/>
      <c r="H16" s="180"/>
      <c r="I16" s="210"/>
    </row>
    <row r="17" spans="1:13" ht="15.75" x14ac:dyDescent="0.25">
      <c r="A17" s="209"/>
      <c r="B17" s="189"/>
      <c r="C17" s="203"/>
      <c r="D17" s="203"/>
      <c r="E17" s="189"/>
      <c r="F17" s="189"/>
      <c r="G17" s="189"/>
      <c r="H17" s="373"/>
      <c r="I17" s="210"/>
    </row>
    <row r="18" spans="1:13" ht="15.75" x14ac:dyDescent="0.25">
      <c r="A18" s="209"/>
      <c r="B18" s="365" t="s">
        <v>268</v>
      </c>
      <c r="C18" s="203" t="s">
        <v>269</v>
      </c>
      <c r="D18" s="203"/>
      <c r="E18" s="189"/>
      <c r="F18" s="189"/>
      <c r="G18" s="189"/>
      <c r="H18" s="373"/>
      <c r="I18" s="210"/>
    </row>
    <row r="19" spans="1:13" ht="15.75" x14ac:dyDescent="0.25">
      <c r="A19" s="209"/>
      <c r="B19" s="189"/>
      <c r="C19" s="203"/>
      <c r="D19" s="2002" t="s">
        <v>265</v>
      </c>
      <c r="E19" s="2003"/>
      <c r="F19" s="2003"/>
      <c r="G19" s="2004"/>
      <c r="H19" s="181"/>
      <c r="I19" s="210"/>
    </row>
    <row r="20" spans="1:13" ht="15.75" x14ac:dyDescent="0.25">
      <c r="A20" s="209"/>
      <c r="B20" s="189"/>
      <c r="C20" s="203"/>
      <c r="D20" s="2002" t="s">
        <v>266</v>
      </c>
      <c r="E20" s="2003"/>
      <c r="F20" s="2003"/>
      <c r="G20" s="2004"/>
      <c r="H20" s="182"/>
      <c r="I20" s="210"/>
    </row>
    <row r="21" spans="1:13" ht="15.75" x14ac:dyDescent="0.25">
      <c r="A21" s="209"/>
      <c r="B21" s="189"/>
      <c r="C21" s="203"/>
      <c r="D21" s="2002" t="s">
        <v>267</v>
      </c>
      <c r="E21" s="2003"/>
      <c r="F21" s="2003"/>
      <c r="G21" s="2004"/>
      <c r="H21" s="180"/>
      <c r="I21" s="210"/>
    </row>
    <row r="22" spans="1:13" ht="15.75" x14ac:dyDescent="0.25">
      <c r="A22" s="209"/>
      <c r="B22" s="189"/>
      <c r="C22" s="203"/>
      <c r="D22" s="203"/>
      <c r="E22" s="189"/>
      <c r="F22" s="189"/>
      <c r="G22" s="189"/>
      <c r="H22" s="373"/>
      <c r="I22" s="210"/>
    </row>
    <row r="23" spans="1:13" ht="15.75" x14ac:dyDescent="0.25">
      <c r="A23" s="209"/>
      <c r="B23" s="365" t="s">
        <v>270</v>
      </c>
      <c r="C23" s="203" t="s">
        <v>271</v>
      </c>
      <c r="D23" s="203"/>
      <c r="E23" s="189"/>
      <c r="F23" s="189"/>
      <c r="G23" s="189"/>
      <c r="H23" s="373"/>
      <c r="I23" s="210"/>
    </row>
    <row r="24" spans="1:13" ht="15.75" x14ac:dyDescent="0.25">
      <c r="A24" s="209"/>
      <c r="B24" s="189"/>
      <c r="C24" s="203"/>
      <c r="D24" s="2002" t="s">
        <v>272</v>
      </c>
      <c r="E24" s="2003"/>
      <c r="F24" s="2003"/>
      <c r="G24" s="2004"/>
      <c r="H24" s="179"/>
      <c r="I24" s="210"/>
    </row>
    <row r="25" spans="1:13" ht="15.75" x14ac:dyDescent="0.25">
      <c r="A25" s="209"/>
      <c r="B25" s="189"/>
      <c r="C25" s="203"/>
      <c r="D25" s="2002" t="s">
        <v>273</v>
      </c>
      <c r="E25" s="2003"/>
      <c r="F25" s="2003"/>
      <c r="G25" s="2004"/>
      <c r="H25" s="182"/>
      <c r="I25" s="210"/>
    </row>
    <row r="26" spans="1:13" ht="15.75" x14ac:dyDescent="0.25">
      <c r="A26" s="209"/>
      <c r="B26" s="189"/>
      <c r="C26" s="203"/>
      <c r="D26" s="2002" t="s">
        <v>274</v>
      </c>
      <c r="E26" s="2003"/>
      <c r="F26" s="2003"/>
      <c r="G26" s="2004"/>
      <c r="H26" s="182"/>
      <c r="I26" s="210"/>
    </row>
    <row r="27" spans="1:13" ht="15.75" x14ac:dyDescent="0.25">
      <c r="A27" s="209"/>
      <c r="B27" s="189"/>
      <c r="C27" s="203"/>
      <c r="D27" s="203"/>
      <c r="E27" s="189"/>
      <c r="F27" s="189"/>
      <c r="G27" s="189"/>
      <c r="H27" s="373"/>
      <c r="I27" s="210"/>
    </row>
    <row r="28" spans="1:13" ht="15.75" x14ac:dyDescent="0.25">
      <c r="A28" s="209"/>
      <c r="B28" s="365" t="s">
        <v>275</v>
      </c>
      <c r="C28" s="203" t="s">
        <v>271</v>
      </c>
      <c r="D28" s="203"/>
      <c r="E28" s="189"/>
      <c r="F28" s="189"/>
      <c r="G28" s="189"/>
      <c r="H28" s="373"/>
      <c r="I28" s="210"/>
    </row>
    <row r="29" spans="1:13" ht="15.75" x14ac:dyDescent="0.25">
      <c r="A29" s="209"/>
      <c r="B29" s="189"/>
      <c r="C29" s="203"/>
      <c r="D29" s="2002" t="s">
        <v>272</v>
      </c>
      <c r="E29" s="2003"/>
      <c r="F29" s="2003"/>
      <c r="G29" s="2004"/>
      <c r="H29" s="179"/>
      <c r="I29" s="210"/>
      <c r="M29" s="732"/>
    </row>
    <row r="30" spans="1:13" ht="15.75" x14ac:dyDescent="0.25">
      <c r="A30" s="209"/>
      <c r="B30" s="189"/>
      <c r="C30" s="203"/>
      <c r="D30" s="2005" t="s">
        <v>273</v>
      </c>
      <c r="E30" s="2006"/>
      <c r="F30" s="2006"/>
      <c r="G30" s="2007"/>
      <c r="H30" s="182"/>
      <c r="I30" s="210"/>
    </row>
    <row r="31" spans="1:13" ht="15.75" x14ac:dyDescent="0.25">
      <c r="A31" s="209"/>
      <c r="B31" s="189"/>
      <c r="C31" s="203"/>
      <c r="D31" s="2005" t="s">
        <v>274</v>
      </c>
      <c r="E31" s="2006"/>
      <c r="F31" s="2006"/>
      <c r="G31" s="2007"/>
      <c r="H31" s="182"/>
      <c r="I31" s="210"/>
    </row>
    <row r="32" spans="1:13" ht="15.75" x14ac:dyDescent="0.25">
      <c r="A32" s="209"/>
      <c r="B32" s="189"/>
      <c r="C32" s="203"/>
      <c r="D32" s="203"/>
      <c r="E32" s="189"/>
      <c r="F32" s="189"/>
      <c r="G32" s="189"/>
      <c r="H32" s="189"/>
      <c r="I32" s="210"/>
    </row>
    <row r="33" spans="1:9" ht="15.75" x14ac:dyDescent="0.25">
      <c r="A33" s="209"/>
      <c r="B33" s="197" t="s">
        <v>276</v>
      </c>
      <c r="C33" s="197" t="s">
        <v>277</v>
      </c>
      <c r="D33" s="203"/>
      <c r="E33" s="189"/>
      <c r="F33" s="189"/>
      <c r="G33" s="189"/>
      <c r="H33" s="179"/>
      <c r="I33" s="210"/>
    </row>
    <row r="34" spans="1:9" ht="15.75" x14ac:dyDescent="0.25">
      <c r="A34" s="209"/>
      <c r="B34" s="197"/>
      <c r="C34" s="197" t="s">
        <v>278</v>
      </c>
      <c r="D34" s="203"/>
      <c r="E34" s="189"/>
      <c r="F34" s="189"/>
      <c r="G34" s="189"/>
      <c r="H34" s="374"/>
      <c r="I34" s="210"/>
    </row>
    <row r="35" spans="1:9" ht="15.75" x14ac:dyDescent="0.25">
      <c r="A35" s="209"/>
      <c r="B35" s="189"/>
      <c r="C35" s="197"/>
      <c r="D35" s="203"/>
      <c r="E35" s="189"/>
      <c r="F35" s="189"/>
      <c r="G35" s="189"/>
      <c r="H35" s="373"/>
      <c r="I35" s="210"/>
    </row>
    <row r="36" spans="1:9" ht="15.75" x14ac:dyDescent="0.25">
      <c r="A36" s="209"/>
      <c r="B36" s="197" t="s">
        <v>279</v>
      </c>
      <c r="C36" s="197" t="s">
        <v>280</v>
      </c>
      <c r="D36" s="203"/>
      <c r="E36" s="189"/>
      <c r="F36" s="189"/>
      <c r="G36" s="189"/>
      <c r="H36" s="179"/>
      <c r="I36" s="210"/>
    </row>
    <row r="37" spans="1:9" ht="15.75" x14ac:dyDescent="0.25">
      <c r="A37" s="209"/>
      <c r="B37" s="189"/>
      <c r="C37" s="203" t="s">
        <v>108</v>
      </c>
      <c r="D37" s="203"/>
      <c r="E37" s="189"/>
      <c r="F37" s="189"/>
      <c r="G37" s="189"/>
      <c r="H37" s="373"/>
      <c r="I37" s="210"/>
    </row>
    <row r="38" spans="1:9" ht="15.75" x14ac:dyDescent="0.25">
      <c r="A38" s="209"/>
      <c r="B38" s="197" t="s">
        <v>281</v>
      </c>
      <c r="C38" s="197" t="s">
        <v>282</v>
      </c>
      <c r="D38" s="203"/>
      <c r="E38" s="189"/>
      <c r="F38" s="189"/>
      <c r="G38" s="189"/>
      <c r="H38" s="179"/>
      <c r="I38" s="210"/>
    </row>
    <row r="39" spans="1:9" ht="15.75" x14ac:dyDescent="0.25">
      <c r="A39" s="209"/>
      <c r="B39" s="197"/>
      <c r="C39" s="197"/>
      <c r="D39" s="203"/>
      <c r="E39" s="189"/>
      <c r="F39" s="189"/>
      <c r="G39" s="189"/>
      <c r="H39" s="373"/>
      <c r="I39" s="210"/>
    </row>
    <row r="40" spans="1:9" ht="15.75" x14ac:dyDescent="0.25">
      <c r="A40" s="209"/>
      <c r="B40" s="197"/>
      <c r="C40" s="197"/>
      <c r="D40" s="1999" t="s">
        <v>283</v>
      </c>
      <c r="E40" s="2000"/>
      <c r="F40" s="2000"/>
      <c r="G40" s="2001"/>
      <c r="H40" s="179"/>
      <c r="I40" s="210"/>
    </row>
    <row r="41" spans="1:9" ht="15.75" x14ac:dyDescent="0.25">
      <c r="A41" s="209"/>
      <c r="B41" s="197"/>
      <c r="C41" s="197"/>
      <c r="D41" s="1999" t="s">
        <v>284</v>
      </c>
      <c r="E41" s="2000"/>
      <c r="F41" s="2000"/>
      <c r="G41" s="2001"/>
      <c r="H41" s="179"/>
      <c r="I41" s="210"/>
    </row>
    <row r="42" spans="1:9" ht="15.75" x14ac:dyDescent="0.25">
      <c r="A42" s="209"/>
      <c r="B42" s="197"/>
      <c r="C42" s="197"/>
      <c r="D42" s="1999" t="s">
        <v>285</v>
      </c>
      <c r="E42" s="2000"/>
      <c r="F42" s="2000"/>
      <c r="G42" s="2001"/>
      <c r="H42" s="179"/>
      <c r="I42" s="210"/>
    </row>
    <row r="43" spans="1:9" ht="15.75" x14ac:dyDescent="0.25">
      <c r="A43" s="209"/>
      <c r="B43" s="189"/>
      <c r="C43" s="203"/>
      <c r="D43" s="203"/>
      <c r="E43" s="189"/>
      <c r="F43" s="189"/>
      <c r="G43" s="189"/>
      <c r="H43" s="373"/>
      <c r="I43" s="210"/>
    </row>
    <row r="44" spans="1:9" ht="15.75" x14ac:dyDescent="0.25">
      <c r="A44" s="209"/>
      <c r="B44" s="197" t="s">
        <v>286</v>
      </c>
      <c r="C44" s="197" t="s">
        <v>287</v>
      </c>
      <c r="D44" s="203"/>
      <c r="E44" s="189"/>
      <c r="F44" s="189"/>
      <c r="G44" s="189"/>
      <c r="H44" s="179"/>
      <c r="I44" s="210"/>
    </row>
    <row r="45" spans="1:9" ht="15.75" x14ac:dyDescent="0.25">
      <c r="A45" s="209"/>
      <c r="B45" s="189"/>
      <c r="C45" s="203"/>
      <c r="D45" s="203"/>
      <c r="E45" s="189"/>
      <c r="F45" s="189"/>
      <c r="G45" s="189"/>
      <c r="H45" s="373"/>
      <c r="I45" s="210"/>
    </row>
    <row r="46" spans="1:9" ht="15.75" x14ac:dyDescent="0.25">
      <c r="A46" s="209"/>
      <c r="B46" s="197" t="s">
        <v>288</v>
      </c>
      <c r="C46" s="197" t="s">
        <v>289</v>
      </c>
      <c r="D46" s="203"/>
      <c r="E46" s="189"/>
      <c r="F46" s="189"/>
      <c r="G46" s="189"/>
      <c r="H46" s="179"/>
      <c r="I46" s="210"/>
    </row>
    <row r="47" spans="1:9" ht="15.75" x14ac:dyDescent="0.25">
      <c r="A47" s="209"/>
      <c r="B47" s="189"/>
      <c r="C47" s="203"/>
      <c r="D47" s="203"/>
      <c r="E47" s="189"/>
      <c r="F47" s="189"/>
      <c r="G47" s="189"/>
      <c r="H47" s="373"/>
      <c r="I47" s="210"/>
    </row>
    <row r="48" spans="1:9" ht="15.75" x14ac:dyDescent="0.25">
      <c r="A48" s="209"/>
      <c r="B48" s="197" t="s">
        <v>290</v>
      </c>
      <c r="C48" s="197" t="s">
        <v>744</v>
      </c>
      <c r="D48" s="203"/>
      <c r="E48" s="189"/>
      <c r="F48" s="189"/>
      <c r="G48" s="189"/>
      <c r="H48" s="179"/>
      <c r="I48" s="210"/>
    </row>
    <row r="49" spans="1:9" ht="15.75" x14ac:dyDescent="0.25">
      <c r="A49" s="209"/>
      <c r="B49" s="197"/>
      <c r="C49" s="197"/>
      <c r="D49" s="203"/>
      <c r="E49" s="189"/>
      <c r="F49" s="189"/>
      <c r="G49" s="189"/>
      <c r="H49" s="374"/>
      <c r="I49" s="210"/>
    </row>
    <row r="50" spans="1:9" ht="15.75" x14ac:dyDescent="0.25">
      <c r="A50" s="209"/>
      <c r="B50" s="189"/>
      <c r="C50" s="203"/>
      <c r="D50" s="189"/>
      <c r="E50" s="189"/>
      <c r="F50" s="189"/>
      <c r="G50" s="189"/>
      <c r="H50" s="373"/>
      <c r="I50" s="210"/>
    </row>
    <row r="51" spans="1:9" ht="15.75" x14ac:dyDescent="0.25">
      <c r="A51" s="209"/>
      <c r="B51" s="197" t="s">
        <v>291</v>
      </c>
      <c r="C51" s="197" t="s">
        <v>745</v>
      </c>
      <c r="D51" s="189"/>
      <c r="E51" s="189"/>
      <c r="F51" s="189"/>
      <c r="G51" s="189"/>
      <c r="H51" s="179"/>
      <c r="I51" s="210"/>
    </row>
    <row r="52" spans="1:9" ht="15.75" x14ac:dyDescent="0.25">
      <c r="A52" s="209"/>
      <c r="B52" s="197"/>
      <c r="C52" s="197" t="s">
        <v>292</v>
      </c>
      <c r="D52" s="189"/>
      <c r="E52" s="189"/>
      <c r="F52" s="189"/>
      <c r="G52" s="189"/>
      <c r="H52" s="375"/>
      <c r="I52" s="210"/>
    </row>
    <row r="53" spans="1:9" x14ac:dyDescent="0.2">
      <c r="A53" s="209"/>
      <c r="B53" s="189"/>
      <c r="C53" s="189"/>
      <c r="D53" s="189"/>
      <c r="E53" s="189"/>
      <c r="F53" s="189"/>
      <c r="G53" s="189"/>
      <c r="H53" s="189"/>
      <c r="I53" s="210"/>
    </row>
    <row r="54" spans="1:9" ht="16.5" thickBot="1" x14ac:dyDescent="0.3">
      <c r="A54" s="370"/>
      <c r="B54" s="371" t="s">
        <v>293</v>
      </c>
      <c r="C54" s="371" t="s">
        <v>746</v>
      </c>
      <c r="D54" s="234"/>
      <c r="E54" s="234"/>
      <c r="F54" s="234"/>
      <c r="G54" s="234"/>
      <c r="H54" s="183"/>
      <c r="I54" s="372"/>
    </row>
    <row r="55" spans="1:9" ht="13.5" thickTop="1" x14ac:dyDescent="0.2">
      <c r="A55" s="3"/>
      <c r="B55" s="3"/>
      <c r="C55" s="3"/>
      <c r="D55" s="3"/>
      <c r="E55" s="3"/>
      <c r="F55" s="3"/>
      <c r="G55" s="3"/>
      <c r="H55" s="3"/>
      <c r="I55" s="3"/>
    </row>
  </sheetData>
  <sheetProtection password="CC14" sheet="1" objects="1" scenarios="1"/>
  <mergeCells count="20">
    <mergeCell ref="D9:G9"/>
    <mergeCell ref="D10:G10"/>
    <mergeCell ref="D21:G21"/>
    <mergeCell ref="D19:G19"/>
    <mergeCell ref="D20:G20"/>
    <mergeCell ref="B2:H2"/>
    <mergeCell ref="D6:G6"/>
    <mergeCell ref="D7:G7"/>
    <mergeCell ref="D8:G8"/>
    <mergeCell ref="E1:G1"/>
    <mergeCell ref="B3:E3"/>
    <mergeCell ref="D40:G40"/>
    <mergeCell ref="D41:G41"/>
    <mergeCell ref="D42:G42"/>
    <mergeCell ref="D24:G24"/>
    <mergeCell ref="D25:G25"/>
    <mergeCell ref="D26:G26"/>
    <mergeCell ref="D29:G29"/>
    <mergeCell ref="D30:G30"/>
    <mergeCell ref="D31:G31"/>
  </mergeCells>
  <pageMargins left="0.7" right="0.7" top="0.75" bottom="0.75" header="0.3" footer="0.3"/>
  <pageSetup scale="8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tint="0.39997558519241921"/>
    <pageSetUpPr fitToPage="1"/>
  </sheetPr>
  <dimension ref="A1:CF183"/>
  <sheetViews>
    <sheetView zoomScaleNormal="100" workbookViewId="0">
      <selection activeCell="E5" sqref="E5"/>
    </sheetView>
  </sheetViews>
  <sheetFormatPr defaultColWidth="9.140625" defaultRowHeight="12" x14ac:dyDescent="0.2"/>
  <cols>
    <col min="1" max="2" width="3.7109375" style="4" customWidth="1"/>
    <col min="3" max="3" width="9.140625" style="4"/>
    <col min="4" max="4" width="38" style="4" customWidth="1"/>
    <col min="5" max="6" width="9.140625" style="4"/>
    <col min="7" max="7" width="30.28515625" style="4" customWidth="1"/>
    <col min="8" max="8" width="48.7109375" style="4" customWidth="1"/>
    <col min="9" max="10" width="3.7109375" style="4" customWidth="1"/>
    <col min="11" max="14" width="9.140625" style="4"/>
    <col min="15" max="15" width="9.140625" style="4" customWidth="1"/>
    <col min="16" max="16" width="97.28515625" style="4" customWidth="1"/>
    <col min="17" max="34" width="9.140625" style="4" hidden="1" customWidth="1"/>
    <col min="35" max="35" width="25.140625" style="4" hidden="1" customWidth="1"/>
    <col min="36" max="44" width="9.140625" style="4" hidden="1" customWidth="1"/>
    <col min="45" max="45" width="31.7109375" style="4" hidden="1" customWidth="1"/>
    <col min="46" max="50" width="11.140625" style="4" hidden="1" customWidth="1"/>
    <col min="51" max="51" width="25.42578125" style="4" hidden="1" customWidth="1"/>
    <col min="52" max="52" width="9.140625" style="4" hidden="1" customWidth="1"/>
    <col min="53" max="53" width="24.7109375" style="4" hidden="1" customWidth="1"/>
    <col min="54" max="55" width="9.140625" style="4" hidden="1" customWidth="1"/>
    <col min="56" max="56" width="46.85546875" style="4" hidden="1" customWidth="1"/>
    <col min="57" max="57" width="23.85546875" style="4" hidden="1" customWidth="1"/>
    <col min="58" max="59" width="9.140625" style="4" hidden="1" customWidth="1"/>
    <col min="60" max="60" width="12.85546875" style="4" hidden="1" customWidth="1"/>
    <col min="61" max="61" width="9.140625" style="4" hidden="1" customWidth="1"/>
    <col min="62" max="62" width="10.140625" style="4" hidden="1" customWidth="1"/>
    <col min="63" max="63" width="11.140625" style="4" hidden="1" customWidth="1"/>
    <col min="64" max="64" width="12.28515625" style="4" hidden="1" customWidth="1"/>
    <col min="65" max="65" width="9.140625" style="4" hidden="1" customWidth="1"/>
    <col min="66" max="66" width="9.85546875" style="4" hidden="1" customWidth="1"/>
    <col min="67" max="67" width="9.140625" style="4" hidden="1" customWidth="1"/>
    <col min="68" max="68" width="11.42578125" style="4" hidden="1" customWidth="1"/>
    <col min="69" max="84" width="9.140625" style="4" hidden="1" customWidth="1"/>
    <col min="85" max="85" width="0" style="4" hidden="1" customWidth="1"/>
    <col min="86" max="16384" width="9.140625" style="4"/>
  </cols>
  <sheetData>
    <row r="1" spans="1:72" ht="17.25" customHeight="1" thickTop="1" x14ac:dyDescent="0.2">
      <c r="A1" s="504" t="s">
        <v>9</v>
      </c>
      <c r="B1" s="505"/>
      <c r="C1" s="506"/>
      <c r="D1" s="507"/>
      <c r="E1" s="506"/>
      <c r="F1" s="506"/>
      <c r="G1" s="506"/>
      <c r="H1" s="508">
        <f>+Cover!E10</f>
        <v>0</v>
      </c>
      <c r="I1" s="7"/>
      <c r="AS1" s="509"/>
    </row>
    <row r="2" spans="1:72" ht="15" customHeight="1" x14ac:dyDescent="0.2">
      <c r="A2" s="1484" t="str">
        <f>+Cover!D7</f>
        <v>02142019.SA1</v>
      </c>
      <c r="B2" s="1485"/>
      <c r="C2" s="1485"/>
      <c r="D2" s="511"/>
      <c r="E2" s="511"/>
      <c r="F2" s="206"/>
      <c r="G2" s="206"/>
      <c r="H2" s="211"/>
      <c r="I2" s="7"/>
      <c r="AS2" s="1439"/>
      <c r="AT2" s="1439"/>
      <c r="AU2" s="1439"/>
      <c r="AV2" s="1439"/>
      <c r="AW2" s="1439"/>
      <c r="AX2" s="1439"/>
      <c r="AY2" s="512"/>
      <c r="AZ2" s="512"/>
      <c r="BA2" s="512"/>
      <c r="BB2" s="512"/>
      <c r="BF2" s="1381"/>
      <c r="BG2" s="1381"/>
      <c r="BH2" s="1381"/>
      <c r="BI2" s="1381"/>
      <c r="BJ2" s="1381"/>
      <c r="BK2" s="1381"/>
      <c r="BL2" s="1381"/>
      <c r="BM2" s="1381"/>
      <c r="BN2" s="1381"/>
      <c r="BO2" s="1381"/>
    </row>
    <row r="3" spans="1:72" ht="54.75" customHeight="1" thickBot="1" x14ac:dyDescent="0.25">
      <c r="A3" s="510"/>
      <c r="B3" s="206"/>
      <c r="C3" s="513"/>
      <c r="D3" s="513"/>
      <c r="E3" s="514"/>
      <c r="F3" s="206"/>
      <c r="G3" s="206"/>
      <c r="H3" s="211"/>
      <c r="I3" s="7"/>
      <c r="AI3" s="1443" t="s">
        <v>1173</v>
      </c>
      <c r="AJ3" s="1443"/>
      <c r="AS3" s="509"/>
      <c r="AT3" s="515"/>
      <c r="AU3" s="515"/>
      <c r="AV3" s="515"/>
      <c r="AW3" s="515"/>
      <c r="AX3" s="516"/>
      <c r="AY3" s="515"/>
      <c r="AZ3" s="515"/>
      <c r="BA3" s="515"/>
      <c r="BB3" s="515"/>
      <c r="BF3" s="517"/>
      <c r="BG3" s="517"/>
      <c r="BH3" s="518"/>
      <c r="BI3" s="517"/>
      <c r="BJ3" s="517"/>
      <c r="BK3" s="517"/>
      <c r="BL3" s="517"/>
      <c r="BM3" s="517"/>
      <c r="BN3" s="517"/>
      <c r="BO3" s="517"/>
      <c r="BP3" s="517"/>
      <c r="BQ3" s="517"/>
      <c r="BR3" s="517"/>
      <c r="BS3" s="517"/>
      <c r="BT3" s="517"/>
    </row>
    <row r="4" spans="1:72" ht="16.5" thickTop="1" thickBot="1" x14ac:dyDescent="0.3">
      <c r="A4" s="510"/>
      <c r="B4" s="163" t="s">
        <v>10</v>
      </c>
      <c r="C4" s="519"/>
      <c r="D4" s="519"/>
      <c r="E4" s="520" t="s">
        <v>1203</v>
      </c>
      <c r="F4" s="521" t="s">
        <v>1204</v>
      </c>
      <c r="G4" s="522" t="s">
        <v>432</v>
      </c>
      <c r="H4" s="211"/>
      <c r="I4" s="7"/>
      <c r="Q4" s="4" t="s">
        <v>19</v>
      </c>
      <c r="T4" s="4" t="s">
        <v>20</v>
      </c>
      <c r="W4" s="4" t="s">
        <v>21</v>
      </c>
      <c r="Z4" s="4" t="s">
        <v>22</v>
      </c>
      <c r="AF4" s="4" t="s">
        <v>24</v>
      </c>
      <c r="AS4" s="509"/>
      <c r="AT4" s="809"/>
      <c r="AU4" s="809"/>
      <c r="AV4" s="809"/>
      <c r="AW4" s="809"/>
      <c r="AX4" s="809"/>
      <c r="AY4"/>
      <c r="AZ4"/>
      <c r="BA4" s="515"/>
      <c r="BB4" s="515"/>
      <c r="BE4" s="509"/>
      <c r="BF4" s="810"/>
      <c r="BG4" s="810"/>
      <c r="BH4" s="810"/>
      <c r="BI4" s="810"/>
      <c r="BJ4" s="810"/>
      <c r="BK4" s="810"/>
      <c r="BL4" s="810"/>
      <c r="BM4" s="810"/>
      <c r="BN4" s="810"/>
      <c r="BO4" s="810"/>
      <c r="BP4" s="525"/>
      <c r="BQ4" s="524"/>
      <c r="BR4" s="524"/>
      <c r="BS4" s="524"/>
      <c r="BT4" s="524"/>
    </row>
    <row r="5" spans="1:72" ht="16.5" thickTop="1" thickBot="1" x14ac:dyDescent="0.3">
      <c r="A5" s="510"/>
      <c r="B5" s="1385" t="s">
        <v>1579</v>
      </c>
      <c r="C5" s="1386"/>
      <c r="D5" s="1387"/>
      <c r="E5" s="951"/>
      <c r="F5" s="951"/>
      <c r="G5" s="951"/>
      <c r="H5" s="211"/>
      <c r="I5" s="7"/>
      <c r="AS5" s="509"/>
      <c r="AT5" s="809"/>
      <c r="AU5" s="809"/>
      <c r="AV5" s="809"/>
      <c r="AW5" s="809"/>
      <c r="AX5" s="809"/>
      <c r="AY5"/>
      <c r="AZ5"/>
      <c r="BA5" s="515"/>
      <c r="BB5" s="515"/>
      <c r="BE5" s="509"/>
      <c r="BF5" s="810"/>
      <c r="BG5" s="810"/>
      <c r="BH5" s="810"/>
      <c r="BI5" s="810"/>
      <c r="BJ5" s="810"/>
      <c r="BK5" s="810"/>
      <c r="BL5" s="810"/>
      <c r="BM5" s="810"/>
      <c r="BN5" s="810"/>
      <c r="BO5" s="810"/>
      <c r="BP5" s="525"/>
      <c r="BQ5" s="524"/>
      <c r="BR5" s="524"/>
      <c r="BS5" s="524"/>
      <c r="BT5" s="524"/>
    </row>
    <row r="6" spans="1:72" ht="15.75" thickTop="1" x14ac:dyDescent="0.25">
      <c r="A6" s="510"/>
      <c r="B6" s="1405" t="s">
        <v>1563</v>
      </c>
      <c r="C6" s="1405"/>
      <c r="D6" s="1405"/>
      <c r="E6" s="1440"/>
      <c r="F6" s="1441"/>
      <c r="G6" s="1442"/>
      <c r="H6" s="211"/>
      <c r="I6" s="7"/>
      <c r="AS6" s="509"/>
      <c r="AT6" s="809"/>
      <c r="AU6" s="809"/>
      <c r="AV6" s="809"/>
      <c r="AW6" s="809"/>
      <c r="AX6" s="809"/>
      <c r="AY6"/>
      <c r="AZ6"/>
      <c r="BA6" s="515"/>
      <c r="BB6" s="515"/>
      <c r="BE6" s="509"/>
      <c r="BF6" s="810"/>
      <c r="BG6" s="810"/>
      <c r="BH6" s="810"/>
      <c r="BI6" s="810"/>
      <c r="BJ6" s="810"/>
      <c r="BK6" s="810"/>
      <c r="BL6" s="810"/>
      <c r="BM6" s="810"/>
      <c r="BN6" s="810"/>
      <c r="BO6" s="810"/>
      <c r="BP6" s="525"/>
      <c r="BQ6" s="524"/>
      <c r="BR6" s="524"/>
      <c r="BS6" s="524"/>
      <c r="BT6" s="524"/>
    </row>
    <row r="7" spans="1:72" ht="15" x14ac:dyDescent="0.25">
      <c r="A7" s="510"/>
      <c r="B7" s="1406" t="s">
        <v>11</v>
      </c>
      <c r="C7" s="1407"/>
      <c r="D7" s="1408"/>
      <c r="E7" s="1409"/>
      <c r="F7" s="1410"/>
      <c r="G7" s="1411"/>
      <c r="H7" s="211"/>
      <c r="I7" s="7"/>
      <c r="Q7" s="4" t="s">
        <v>26</v>
      </c>
      <c r="T7" s="4" t="s">
        <v>27</v>
      </c>
      <c r="W7" s="4" t="s">
        <v>28</v>
      </c>
      <c r="Z7" s="4" t="s">
        <v>29</v>
      </c>
      <c r="AF7" s="4" t="s">
        <v>30</v>
      </c>
      <c r="AI7" s="509" t="s">
        <v>478</v>
      </c>
      <c r="AJ7" s="726">
        <f>24400*2</f>
        <v>48800</v>
      </c>
      <c r="AS7" s="509"/>
      <c r="AT7" s="809"/>
      <c r="AU7" s="809"/>
      <c r="AV7" s="809"/>
      <c r="AW7" s="809"/>
      <c r="AX7" s="809"/>
      <c r="AY7"/>
      <c r="AZ7"/>
      <c r="BA7" s="515"/>
      <c r="BB7" s="515"/>
      <c r="BE7" s="509"/>
      <c r="BF7" s="810"/>
      <c r="BG7" s="810"/>
      <c r="BH7" s="810"/>
      <c r="BI7" s="810"/>
      <c r="BJ7" s="810"/>
      <c r="BK7" s="810"/>
      <c r="BL7" s="810"/>
      <c r="BM7" s="810"/>
      <c r="BN7" s="810"/>
      <c r="BO7" s="810"/>
      <c r="BP7" s="525"/>
      <c r="BQ7" s="524"/>
      <c r="BR7" s="524"/>
      <c r="BS7" s="524"/>
      <c r="BT7" s="524"/>
    </row>
    <row r="8" spans="1:72" ht="15" x14ac:dyDescent="0.25">
      <c r="A8" s="510"/>
      <c r="B8" s="1394" t="s">
        <v>402</v>
      </c>
      <c r="C8" s="1397"/>
      <c r="D8" s="1398"/>
      <c r="E8" s="1412"/>
      <c r="F8" s="1413"/>
      <c r="G8" s="1414"/>
      <c r="H8" s="211"/>
      <c r="I8" s="7"/>
      <c r="Q8" s="4" t="s">
        <v>32</v>
      </c>
      <c r="T8" s="4" t="s">
        <v>33</v>
      </c>
      <c r="W8" s="4" t="s">
        <v>34</v>
      </c>
      <c r="Z8" s="4" t="s">
        <v>35</v>
      </c>
      <c r="AI8" s="509" t="s">
        <v>479</v>
      </c>
      <c r="AJ8" s="523">
        <f>25150*2</f>
        <v>50300</v>
      </c>
      <c r="AS8" s="509"/>
      <c r="AT8" s="809"/>
      <c r="AU8" s="809"/>
      <c r="AV8" s="809"/>
      <c r="AW8" s="809"/>
      <c r="AX8" s="809"/>
      <c r="AY8"/>
      <c r="AZ8"/>
      <c r="BA8" s="515"/>
      <c r="BB8" s="515"/>
      <c r="BE8" s="509"/>
      <c r="BF8" s="810"/>
      <c r="BG8" s="810"/>
      <c r="BH8" s="810"/>
      <c r="BI8" s="810"/>
      <c r="BJ8" s="810"/>
      <c r="BK8" s="810"/>
      <c r="BL8" s="810"/>
      <c r="BM8" s="810"/>
      <c r="BN8" s="810"/>
      <c r="BO8" s="810"/>
      <c r="BP8" s="525"/>
      <c r="BQ8" s="524"/>
      <c r="BR8" s="524"/>
      <c r="BS8" s="524"/>
      <c r="BT8" s="524"/>
    </row>
    <row r="9" spans="1:72" ht="15" x14ac:dyDescent="0.25">
      <c r="A9" s="510"/>
      <c r="B9" s="1394" t="s">
        <v>403</v>
      </c>
      <c r="C9" s="1397"/>
      <c r="D9" s="1398"/>
      <c r="E9" s="1388"/>
      <c r="F9" s="1389"/>
      <c r="G9" s="1390"/>
      <c r="H9" s="211"/>
      <c r="I9" s="7"/>
      <c r="Q9" s="4" t="s">
        <v>37</v>
      </c>
      <c r="T9" s="4" t="s">
        <v>38</v>
      </c>
      <c r="W9" s="4" t="s">
        <v>39</v>
      </c>
      <c r="AC9" s="4" t="s">
        <v>1177</v>
      </c>
      <c r="AF9" s="4" t="s">
        <v>41</v>
      </c>
      <c r="AI9" s="509" t="s">
        <v>480</v>
      </c>
      <c r="AJ9" s="523">
        <f>32750*2</f>
        <v>65500</v>
      </c>
      <c r="AS9" s="509"/>
      <c r="AT9" s="809"/>
      <c r="AU9" s="809"/>
      <c r="AV9" s="809"/>
      <c r="AW9" s="809"/>
      <c r="AX9" s="809"/>
      <c r="AY9"/>
      <c r="AZ9"/>
      <c r="BA9" s="515"/>
      <c r="BB9" s="515"/>
      <c r="BE9" s="509"/>
      <c r="BF9" s="810"/>
      <c r="BG9" s="810"/>
      <c r="BH9" s="810"/>
      <c r="BI9" s="810"/>
      <c r="BJ9" s="810"/>
      <c r="BK9" s="810"/>
      <c r="BL9" s="810"/>
      <c r="BM9" s="810"/>
      <c r="BN9" s="810"/>
      <c r="BO9" s="810"/>
      <c r="BP9" s="525"/>
      <c r="BQ9" s="524"/>
      <c r="BR9" s="524"/>
      <c r="BS9" s="524"/>
      <c r="BT9" s="524"/>
    </row>
    <row r="10" spans="1:72" ht="15" x14ac:dyDescent="0.25">
      <c r="A10" s="510"/>
      <c r="B10" s="1394" t="s">
        <v>12</v>
      </c>
      <c r="C10" s="1397"/>
      <c r="D10" s="1398"/>
      <c r="E10" s="1388"/>
      <c r="F10" s="1389"/>
      <c r="G10" s="1390"/>
      <c r="H10" s="211"/>
      <c r="I10" s="7"/>
      <c r="Q10" s="4" t="s">
        <v>43</v>
      </c>
      <c r="T10" s="4" t="s">
        <v>44</v>
      </c>
      <c r="AC10" s="4" t="s">
        <v>23</v>
      </c>
      <c r="AF10" s="4" t="s">
        <v>46</v>
      </c>
      <c r="AI10" s="509" t="s">
        <v>481</v>
      </c>
      <c r="AJ10" s="523">
        <f>28500*2</f>
        <v>57000</v>
      </c>
      <c r="AS10" s="509"/>
      <c r="AT10" s="809"/>
      <c r="AU10" s="809"/>
      <c r="AV10" s="809"/>
      <c r="AW10" s="809"/>
      <c r="AX10" s="809"/>
      <c r="AY10"/>
      <c r="AZ10"/>
      <c r="BA10" s="515"/>
      <c r="BB10" s="515"/>
      <c r="BE10" s="509"/>
      <c r="BF10" s="810"/>
      <c r="BG10" s="810"/>
      <c r="BH10" s="810"/>
      <c r="BI10" s="810"/>
      <c r="BJ10" s="810"/>
      <c r="BK10" s="810"/>
      <c r="BL10" s="810"/>
      <c r="BM10" s="810"/>
      <c r="BN10" s="810"/>
      <c r="BO10" s="810"/>
      <c r="BP10" s="525"/>
      <c r="BQ10" s="524"/>
      <c r="BR10" s="524"/>
      <c r="BS10" s="524"/>
      <c r="BT10" s="524"/>
    </row>
    <row r="11" spans="1:72" ht="28.5" customHeight="1" x14ac:dyDescent="0.25">
      <c r="A11" s="510"/>
      <c r="B11" s="1486" t="s">
        <v>1689</v>
      </c>
      <c r="C11" s="1487"/>
      <c r="D11" s="1488"/>
      <c r="E11" s="1412"/>
      <c r="F11" s="1413"/>
      <c r="G11" s="1414"/>
      <c r="H11" s="211"/>
      <c r="I11" s="7"/>
      <c r="Q11" s="4" t="s">
        <v>48</v>
      </c>
      <c r="AC11" s="4" t="s">
        <v>36</v>
      </c>
      <c r="AI11" s="509" t="s">
        <v>482</v>
      </c>
      <c r="AJ11" s="523">
        <f>24400*2</f>
        <v>48800</v>
      </c>
      <c r="AS11" s="509"/>
      <c r="AT11" s="809"/>
      <c r="AU11" s="809"/>
      <c r="AV11" s="809"/>
      <c r="AW11" s="809"/>
      <c r="AX11" s="809"/>
      <c r="AY11"/>
      <c r="AZ11"/>
      <c r="BA11" s="515"/>
      <c r="BB11" s="515"/>
      <c r="BF11" s="810"/>
      <c r="BG11" s="810"/>
      <c r="BH11" s="810"/>
      <c r="BI11" s="810"/>
      <c r="BJ11" s="810"/>
      <c r="BK11" s="810"/>
      <c r="BL11" s="810"/>
      <c r="BM11" s="810"/>
      <c r="BN11" s="810"/>
      <c r="BO11" s="810"/>
      <c r="BP11" s="525"/>
      <c r="BQ11" s="524"/>
      <c r="BR11" s="524"/>
      <c r="BS11" s="524"/>
      <c r="BT11" s="524"/>
    </row>
    <row r="12" spans="1:72" ht="15" x14ac:dyDescent="0.25">
      <c r="A12" s="510"/>
      <c r="B12" s="1394" t="s">
        <v>406</v>
      </c>
      <c r="C12" s="1397"/>
      <c r="D12" s="1398"/>
      <c r="E12" s="1412"/>
      <c r="F12" s="1413"/>
      <c r="G12" s="1414"/>
      <c r="H12" s="211"/>
      <c r="I12" s="7"/>
      <c r="Q12" s="4" t="s">
        <v>49</v>
      </c>
      <c r="AC12" s="4" t="s">
        <v>40</v>
      </c>
      <c r="AI12" s="4" t="s">
        <v>483</v>
      </c>
      <c r="AJ12" s="523">
        <f>29150*2</f>
        <v>58300</v>
      </c>
      <c r="AS12" s="509"/>
      <c r="AT12" s="809"/>
      <c r="AU12" s="809"/>
      <c r="AV12" s="809"/>
      <c r="AW12" s="809"/>
      <c r="AX12" s="809"/>
      <c r="AY12"/>
      <c r="AZ12"/>
      <c r="BA12" s="515"/>
      <c r="BB12" s="515"/>
      <c r="BE12" s="509"/>
      <c r="BF12" s="810"/>
      <c r="BG12" s="810"/>
      <c r="BH12" s="810"/>
      <c r="BI12" s="810"/>
      <c r="BJ12" s="810"/>
      <c r="BK12" s="810"/>
      <c r="BL12" s="810"/>
      <c r="BM12" s="810"/>
      <c r="BN12" s="810"/>
      <c r="BO12" s="810"/>
      <c r="BP12" s="525"/>
      <c r="BQ12" s="524"/>
      <c r="BR12" s="524"/>
      <c r="BS12" s="524"/>
      <c r="BT12" s="524"/>
    </row>
    <row r="13" spans="1:72" ht="15" x14ac:dyDescent="0.25">
      <c r="A13" s="510"/>
      <c r="B13" s="1394" t="s">
        <v>407</v>
      </c>
      <c r="C13" s="1397"/>
      <c r="D13" s="1398"/>
      <c r="E13" s="1412"/>
      <c r="F13" s="1413"/>
      <c r="G13" s="1414"/>
      <c r="H13" s="211"/>
      <c r="I13" s="7"/>
      <c r="Q13" s="4" t="s">
        <v>50</v>
      </c>
      <c r="AC13" s="4" t="s">
        <v>45</v>
      </c>
      <c r="AI13" s="509" t="s">
        <v>484</v>
      </c>
      <c r="AJ13" s="523">
        <f>24400*2</f>
        <v>48800</v>
      </c>
      <c r="AS13" s="509"/>
      <c r="AT13" s="809"/>
      <c r="AU13" s="809"/>
      <c r="AV13" s="809"/>
      <c r="AW13" s="809"/>
      <c r="AX13" s="809"/>
      <c r="AY13"/>
      <c r="AZ13"/>
      <c r="BA13" s="515"/>
      <c r="BB13" s="515"/>
      <c r="BE13" s="509"/>
      <c r="BF13" s="810"/>
      <c r="BG13" s="810"/>
      <c r="BH13" s="810"/>
      <c r="BI13" s="810"/>
      <c r="BJ13" s="810"/>
      <c r="BK13" s="810"/>
      <c r="BL13" s="810"/>
      <c r="BM13" s="810"/>
      <c r="BN13" s="810"/>
      <c r="BO13" s="810"/>
      <c r="BP13" s="525"/>
      <c r="BQ13" s="524"/>
      <c r="BR13" s="524"/>
      <c r="BS13" s="524"/>
      <c r="BT13" s="524"/>
    </row>
    <row r="14" spans="1:72" ht="15" x14ac:dyDescent="0.25">
      <c r="A14" s="510"/>
      <c r="B14" s="526" t="s">
        <v>623</v>
      </c>
      <c r="C14" s="527"/>
      <c r="D14" s="528"/>
      <c r="E14" s="1421"/>
      <c r="F14" s="1413"/>
      <c r="G14" s="1414"/>
      <c r="H14" s="211"/>
      <c r="I14" s="7"/>
      <c r="AC14" s="4" t="s">
        <v>39</v>
      </c>
      <c r="AI14" s="509" t="s">
        <v>485</v>
      </c>
      <c r="AJ14" s="523">
        <f>28800*2</f>
        <v>57600</v>
      </c>
      <c r="AS14" s="509"/>
      <c r="AT14" s="809"/>
      <c r="AU14" s="809"/>
      <c r="AV14" s="809"/>
      <c r="AW14" s="809"/>
      <c r="AX14" s="809"/>
      <c r="AY14"/>
      <c r="AZ14"/>
      <c r="BA14" s="515"/>
      <c r="BB14" s="515"/>
      <c r="BE14" s="509"/>
      <c r="BF14" s="810"/>
      <c r="BG14" s="810"/>
      <c r="BH14" s="810"/>
      <c r="BI14" s="810"/>
      <c r="BJ14" s="810"/>
      <c r="BK14" s="810"/>
      <c r="BL14" s="810"/>
      <c r="BM14" s="810"/>
      <c r="BN14" s="810"/>
      <c r="BO14" s="810"/>
      <c r="BP14" s="525"/>
      <c r="BQ14" s="524"/>
      <c r="BR14" s="524"/>
      <c r="BS14" s="524"/>
      <c r="BT14" s="524"/>
    </row>
    <row r="15" spans="1:72" ht="12.75" x14ac:dyDescent="0.2">
      <c r="A15" s="510"/>
      <c r="B15" s="526" t="s">
        <v>626</v>
      </c>
      <c r="C15" s="527"/>
      <c r="D15" s="528"/>
      <c r="E15" s="1494"/>
      <c r="F15" s="1495"/>
      <c r="G15" s="1496"/>
      <c r="H15" s="211"/>
      <c r="I15" s="7"/>
      <c r="AI15" s="509" t="s">
        <v>486</v>
      </c>
      <c r="AJ15" s="523">
        <f>28300*2</f>
        <v>56600</v>
      </c>
      <c r="AS15" s="509"/>
      <c r="AT15" s="809"/>
      <c r="AU15" s="809"/>
      <c r="AV15" s="809"/>
      <c r="AW15" s="809"/>
      <c r="AX15" s="809"/>
      <c r="AY15"/>
      <c r="AZ15"/>
      <c r="BA15" s="515"/>
      <c r="BB15" s="515"/>
      <c r="BE15" s="509"/>
      <c r="BF15" s="524"/>
      <c r="BG15" s="524"/>
      <c r="BH15" s="525"/>
      <c r="BI15" s="524"/>
      <c r="BJ15" s="525"/>
      <c r="BK15" s="524"/>
      <c r="BL15" s="525"/>
      <c r="BM15" s="524"/>
      <c r="BN15" s="525"/>
      <c r="BO15" s="524"/>
      <c r="BP15" s="525"/>
      <c r="BQ15" s="524"/>
      <c r="BR15" s="524"/>
      <c r="BS15" s="524"/>
      <c r="BT15" s="524"/>
    </row>
    <row r="16" spans="1:72" ht="12.75" x14ac:dyDescent="0.2">
      <c r="A16" s="510"/>
      <c r="B16" s="526" t="s">
        <v>624</v>
      </c>
      <c r="C16" s="527"/>
      <c r="D16" s="528"/>
      <c r="E16" s="1491"/>
      <c r="F16" s="1492"/>
      <c r="G16" s="1493"/>
      <c r="H16" s="211"/>
      <c r="I16" s="7"/>
      <c r="T16" s="4" t="s">
        <v>650</v>
      </c>
      <c r="AI16" s="509"/>
      <c r="AJ16" s="523"/>
      <c r="AS16" s="509"/>
      <c r="AT16" s="809"/>
      <c r="AU16" s="809"/>
      <c r="AV16" s="809"/>
      <c r="AW16" s="809"/>
      <c r="AX16" s="809"/>
      <c r="AY16"/>
      <c r="AZ16"/>
      <c r="BA16" s="515"/>
      <c r="BB16" s="515"/>
      <c r="BE16" s="509"/>
      <c r="BF16" s="524"/>
      <c r="BG16" s="524"/>
      <c r="BH16" s="525"/>
      <c r="BI16" s="524"/>
      <c r="BJ16" s="525"/>
      <c r="BK16" s="524"/>
      <c r="BL16" s="525"/>
      <c r="BM16" s="524"/>
      <c r="BN16" s="525"/>
      <c r="BO16" s="524"/>
      <c r="BP16" s="525"/>
      <c r="BQ16" s="524"/>
      <c r="BR16" s="524"/>
      <c r="BS16" s="524"/>
      <c r="BT16" s="524"/>
    </row>
    <row r="17" spans="1:72" ht="15" x14ac:dyDescent="0.25">
      <c r="A17" s="510"/>
      <c r="B17" s="1394" t="s">
        <v>408</v>
      </c>
      <c r="C17" s="1397"/>
      <c r="D17" s="1398"/>
      <c r="E17" s="1412"/>
      <c r="F17" s="1413"/>
      <c r="G17" s="1414"/>
      <c r="H17" s="211"/>
      <c r="I17" s="7"/>
      <c r="T17" s="4" t="s">
        <v>68</v>
      </c>
      <c r="Z17" s="4" t="s">
        <v>87</v>
      </c>
      <c r="AI17" s="530"/>
      <c r="AJ17" s="523"/>
      <c r="AS17" s="509"/>
      <c r="AT17" s="809"/>
      <c r="AU17" s="809"/>
      <c r="AV17" s="809"/>
      <c r="AW17" s="809"/>
      <c r="AX17" s="809"/>
      <c r="AY17"/>
      <c r="AZ17"/>
      <c r="BA17" s="515"/>
      <c r="BB17" s="515"/>
      <c r="BE17" s="509"/>
      <c r="BF17" s="810"/>
      <c r="BG17" s="810"/>
      <c r="BH17" s="810"/>
      <c r="BI17" s="810"/>
      <c r="BJ17" s="810"/>
      <c r="BK17" s="810"/>
      <c r="BL17" s="810"/>
      <c r="BM17" s="810"/>
      <c r="BN17" s="810"/>
      <c r="BO17" s="810"/>
      <c r="BP17" s="525"/>
      <c r="BQ17" s="524"/>
      <c r="BR17" s="524"/>
      <c r="BS17" s="524"/>
      <c r="BT17" s="524"/>
    </row>
    <row r="18" spans="1:72" ht="15" x14ac:dyDescent="0.25">
      <c r="A18" s="510"/>
      <c r="B18" s="1394" t="s">
        <v>13</v>
      </c>
      <c r="C18" s="1397"/>
      <c r="D18" s="1398"/>
      <c r="E18" s="1412"/>
      <c r="F18" s="1413"/>
      <c r="G18" s="1414"/>
      <c r="H18" s="211"/>
      <c r="I18" s="7"/>
      <c r="T18" s="4" t="s">
        <v>69</v>
      </c>
      <c r="Z18" s="4" t="s">
        <v>477</v>
      </c>
      <c r="AI18" s="509" t="s">
        <v>487</v>
      </c>
      <c r="AJ18" s="523">
        <f>29600*2</f>
        <v>59200</v>
      </c>
      <c r="AS18" s="509"/>
      <c r="AT18" s="809"/>
      <c r="AU18" s="809"/>
      <c r="AV18" s="809"/>
      <c r="AW18" s="809"/>
      <c r="AX18" s="809"/>
      <c r="AY18"/>
      <c r="AZ18"/>
      <c r="BA18" s="515"/>
      <c r="BB18" s="515"/>
      <c r="BE18" s="509"/>
      <c r="BF18" s="810"/>
      <c r="BG18" s="810"/>
      <c r="BH18" s="810"/>
      <c r="BI18" s="810"/>
      <c r="BJ18" s="810"/>
      <c r="BK18" s="810"/>
      <c r="BL18" s="810"/>
      <c r="BM18" s="810"/>
      <c r="BN18" s="810"/>
      <c r="BO18" s="810"/>
      <c r="BP18" s="525"/>
      <c r="BQ18" s="524"/>
      <c r="BR18" s="524"/>
      <c r="BS18" s="524"/>
      <c r="BT18" s="524"/>
    </row>
    <row r="19" spans="1:72" ht="15" x14ac:dyDescent="0.25">
      <c r="A19" s="510"/>
      <c r="B19" s="1394" t="s">
        <v>845</v>
      </c>
      <c r="C19" s="1397"/>
      <c r="D19" s="1398"/>
      <c r="E19" s="1412"/>
      <c r="F19" s="1413"/>
      <c r="G19" s="1414"/>
      <c r="H19" s="211"/>
      <c r="I19" s="7"/>
      <c r="T19" s="4" t="s">
        <v>70</v>
      </c>
      <c r="AI19" s="509" t="s">
        <v>488</v>
      </c>
      <c r="AJ19" s="523">
        <f>25100*2</f>
        <v>50200</v>
      </c>
      <c r="AS19" s="509"/>
      <c r="AT19" s="809"/>
      <c r="AU19" s="809"/>
      <c r="AV19" s="809"/>
      <c r="AW19" s="809"/>
      <c r="AX19" s="809"/>
      <c r="AY19"/>
      <c r="AZ19"/>
      <c r="BA19" s="515"/>
      <c r="BB19" s="515"/>
      <c r="BE19" s="509"/>
      <c r="BF19" s="810"/>
      <c r="BG19" s="810"/>
      <c r="BH19" s="810"/>
      <c r="BI19" s="810"/>
      <c r="BJ19" s="810"/>
      <c r="BK19" s="810"/>
      <c r="BL19" s="810"/>
      <c r="BM19" s="810"/>
      <c r="BN19" s="810"/>
      <c r="BO19" s="810"/>
      <c r="BP19" s="525"/>
      <c r="BQ19" s="524"/>
      <c r="BR19" s="524"/>
      <c r="BS19" s="524"/>
      <c r="BT19" s="524"/>
    </row>
    <row r="20" spans="1:72" ht="15" x14ac:dyDescent="0.25">
      <c r="A20" s="510"/>
      <c r="B20" s="1394" t="s">
        <v>14</v>
      </c>
      <c r="C20" s="1397"/>
      <c r="D20" s="1398"/>
      <c r="E20" s="1418"/>
      <c r="F20" s="1419"/>
      <c r="G20" s="1420"/>
      <c r="H20" s="211"/>
      <c r="I20" s="7"/>
      <c r="T20" s="4" t="s">
        <v>71</v>
      </c>
      <c r="AI20" s="509" t="s">
        <v>489</v>
      </c>
      <c r="AJ20" s="523">
        <f>29600*2</f>
        <v>59200</v>
      </c>
      <c r="AS20" s="509"/>
      <c r="AT20" s="809"/>
      <c r="AU20" s="809"/>
      <c r="AV20" s="809"/>
      <c r="AW20" s="809"/>
      <c r="AX20" s="809"/>
      <c r="AY20"/>
      <c r="AZ20"/>
      <c r="BA20" s="515"/>
      <c r="BB20" s="515"/>
      <c r="BE20" s="509"/>
      <c r="BF20" s="810"/>
      <c r="BG20" s="810"/>
      <c r="BH20" s="810"/>
      <c r="BI20" s="810"/>
      <c r="BJ20" s="810"/>
      <c r="BK20" s="810"/>
      <c r="BL20" s="810"/>
      <c r="BM20" s="810"/>
      <c r="BN20" s="810"/>
      <c r="BO20" s="810"/>
      <c r="BP20" s="525"/>
      <c r="BQ20" s="524"/>
      <c r="BR20" s="524"/>
      <c r="BS20" s="524"/>
      <c r="BT20" s="524"/>
    </row>
    <row r="21" spans="1:72" ht="15" x14ac:dyDescent="0.25">
      <c r="A21" s="510"/>
      <c r="B21" s="1394" t="s">
        <v>15</v>
      </c>
      <c r="C21" s="1397"/>
      <c r="D21" s="1398"/>
      <c r="E21" s="1418"/>
      <c r="F21" s="1419"/>
      <c r="G21" s="1420"/>
      <c r="H21" s="211"/>
      <c r="I21" s="7"/>
      <c r="T21" s="4" t="s">
        <v>72</v>
      </c>
      <c r="Z21" s="4" t="s">
        <v>1175</v>
      </c>
      <c r="AI21" s="509" t="s">
        <v>490</v>
      </c>
      <c r="AJ21" s="523">
        <f>24400*2</f>
        <v>48800</v>
      </c>
      <c r="AS21" s="509"/>
      <c r="AT21" s="809"/>
      <c r="AU21" s="809"/>
      <c r="AV21" s="809"/>
      <c r="AW21" s="809"/>
      <c r="AX21" s="809"/>
      <c r="AY21"/>
      <c r="AZ21"/>
      <c r="BA21" s="515"/>
      <c r="BB21" s="515"/>
      <c r="BE21" s="509"/>
      <c r="BF21" s="810"/>
      <c r="BG21" s="810"/>
      <c r="BH21" s="810"/>
      <c r="BI21" s="810"/>
      <c r="BJ21" s="810"/>
      <c r="BK21" s="810"/>
      <c r="BL21" s="810"/>
      <c r="BM21" s="810"/>
      <c r="BN21" s="810"/>
      <c r="BO21" s="810"/>
      <c r="BP21" s="525"/>
      <c r="BQ21" s="524"/>
      <c r="BR21" s="524"/>
      <c r="BS21" s="524"/>
      <c r="BT21" s="524"/>
    </row>
    <row r="22" spans="1:72" ht="15" x14ac:dyDescent="0.25">
      <c r="A22" s="510"/>
      <c r="B22" s="1394" t="s">
        <v>16</v>
      </c>
      <c r="C22" s="1397"/>
      <c r="D22" s="1398"/>
      <c r="E22" s="1421"/>
      <c r="F22" s="1413"/>
      <c r="G22" s="1414"/>
      <c r="H22" s="211"/>
      <c r="I22" s="7"/>
      <c r="Z22" s="4" t="s">
        <v>1176</v>
      </c>
      <c r="AI22" s="509" t="s">
        <v>491</v>
      </c>
      <c r="AJ22" s="523">
        <f>24400*2</f>
        <v>48800</v>
      </c>
      <c r="AS22" s="509"/>
      <c r="AT22" s="809"/>
      <c r="AU22" s="809"/>
      <c r="AV22" s="809"/>
      <c r="AW22" s="809"/>
      <c r="AX22" s="809"/>
      <c r="AY22"/>
      <c r="AZ22"/>
      <c r="BA22" s="515"/>
      <c r="BB22" s="515"/>
      <c r="BE22" s="509"/>
      <c r="BF22" s="810"/>
      <c r="BG22" s="810"/>
      <c r="BH22" s="810"/>
      <c r="BI22" s="810"/>
      <c r="BJ22" s="810"/>
      <c r="BK22" s="810"/>
      <c r="BL22" s="810"/>
      <c r="BM22" s="810"/>
      <c r="BN22" s="810"/>
      <c r="BO22" s="810"/>
      <c r="BP22" s="524"/>
      <c r="BQ22" s="524"/>
      <c r="BR22" s="524"/>
      <c r="BS22" s="524"/>
      <c r="BT22" s="524"/>
    </row>
    <row r="23" spans="1:72" ht="15" x14ac:dyDescent="0.25">
      <c r="A23" s="510"/>
      <c r="B23" s="1394" t="s">
        <v>17</v>
      </c>
      <c r="C23" s="1397"/>
      <c r="D23" s="1398"/>
      <c r="E23" s="1412"/>
      <c r="F23" s="1413"/>
      <c r="G23" s="1414"/>
      <c r="H23" s="211"/>
      <c r="I23" s="7"/>
      <c r="AI23" s="509" t="s">
        <v>492</v>
      </c>
      <c r="AJ23" s="523">
        <f>24400*2</f>
        <v>48800</v>
      </c>
      <c r="AS23" s="509"/>
      <c r="AT23" s="809"/>
      <c r="AU23" s="809"/>
      <c r="AV23" s="809"/>
      <c r="AW23" s="809"/>
      <c r="AX23" s="809"/>
      <c r="AY23"/>
      <c r="AZ23"/>
      <c r="BA23" s="515"/>
      <c r="BB23" s="515"/>
      <c r="BE23" s="509"/>
      <c r="BF23" s="810"/>
      <c r="BG23" s="810"/>
      <c r="BH23" s="810"/>
      <c r="BI23" s="810"/>
      <c r="BJ23" s="810"/>
      <c r="BK23" s="810"/>
      <c r="BL23" s="810"/>
      <c r="BM23" s="810"/>
      <c r="BN23" s="810"/>
      <c r="BO23" s="810"/>
      <c r="BP23" s="525"/>
      <c r="BQ23" s="524"/>
      <c r="BR23" s="524"/>
      <c r="BS23" s="524"/>
      <c r="BT23" s="524"/>
    </row>
    <row r="24" spans="1:72" ht="15" x14ac:dyDescent="0.25">
      <c r="A24" s="510"/>
      <c r="B24" s="1402" t="s">
        <v>1683</v>
      </c>
      <c r="C24" s="1403"/>
      <c r="D24" s="1404"/>
      <c r="E24" s="1412"/>
      <c r="F24" s="1413"/>
      <c r="G24" s="1414"/>
      <c r="H24" s="211"/>
      <c r="I24" s="7"/>
      <c r="AI24" s="509"/>
      <c r="AJ24" s="523"/>
      <c r="AS24" s="509"/>
      <c r="AT24" s="809"/>
      <c r="AU24" s="809"/>
      <c r="AV24" s="809"/>
      <c r="AW24" s="809"/>
      <c r="AX24" s="809"/>
      <c r="AY24"/>
      <c r="AZ24"/>
      <c r="BA24" s="515"/>
      <c r="BB24" s="515"/>
      <c r="BE24" s="509"/>
      <c r="BF24" s="810"/>
      <c r="BG24" s="810"/>
      <c r="BH24" s="810"/>
      <c r="BI24" s="810"/>
      <c r="BJ24" s="810"/>
      <c r="BK24" s="810"/>
      <c r="BL24" s="810"/>
      <c r="BM24" s="810"/>
      <c r="BN24" s="810"/>
      <c r="BO24" s="810"/>
      <c r="BP24" s="525"/>
      <c r="BQ24" s="524"/>
      <c r="BR24" s="524"/>
      <c r="BS24" s="524"/>
      <c r="BT24" s="524"/>
    </row>
    <row r="25" spans="1:72" ht="15" x14ac:dyDescent="0.25">
      <c r="A25" s="510"/>
      <c r="B25" s="1402" t="s">
        <v>1684</v>
      </c>
      <c r="C25" s="1403"/>
      <c r="D25" s="1404"/>
      <c r="E25" s="1412"/>
      <c r="F25" s="1413"/>
      <c r="G25" s="1414"/>
      <c r="H25" s="211"/>
      <c r="I25" s="7"/>
      <c r="AI25" s="509"/>
      <c r="AJ25" s="523"/>
      <c r="AS25" s="509"/>
      <c r="AT25" s="809"/>
      <c r="AU25" s="809"/>
      <c r="AV25" s="809"/>
      <c r="AW25" s="809"/>
      <c r="AX25" s="809"/>
      <c r="AY25"/>
      <c r="AZ25"/>
      <c r="BA25" s="515"/>
      <c r="BB25" s="515"/>
      <c r="BE25" s="509"/>
      <c r="BF25" s="810"/>
      <c r="BG25" s="810"/>
      <c r="BH25" s="810"/>
      <c r="BI25" s="810"/>
      <c r="BJ25" s="810"/>
      <c r="BK25" s="810"/>
      <c r="BL25" s="810"/>
      <c r="BM25" s="810"/>
      <c r="BN25" s="810"/>
      <c r="BO25" s="810"/>
      <c r="BP25" s="525"/>
      <c r="BQ25" s="524"/>
      <c r="BR25" s="524"/>
      <c r="BS25" s="524"/>
      <c r="BT25" s="524"/>
    </row>
    <row r="26" spans="1:72" ht="15" x14ac:dyDescent="0.25">
      <c r="A26" s="510"/>
      <c r="B26" s="1402" t="s">
        <v>1685</v>
      </c>
      <c r="C26" s="1403"/>
      <c r="D26" s="1404"/>
      <c r="E26" s="1412"/>
      <c r="F26" s="1413"/>
      <c r="G26" s="1414"/>
      <c r="H26" s="749"/>
      <c r="I26" s="7"/>
      <c r="AI26" s="509"/>
      <c r="AJ26" s="523"/>
      <c r="AS26" s="509"/>
      <c r="AT26" s="809"/>
      <c r="AU26" s="809"/>
      <c r="AV26" s="809"/>
      <c r="AW26" s="809"/>
      <c r="AX26" s="809"/>
      <c r="AY26"/>
      <c r="AZ26"/>
      <c r="BA26" s="515"/>
      <c r="BB26" s="515"/>
      <c r="BE26" s="509"/>
      <c r="BF26" s="810"/>
      <c r="BG26" s="810"/>
      <c r="BH26" s="810"/>
      <c r="BI26" s="810"/>
      <c r="BJ26" s="810"/>
      <c r="BK26" s="810"/>
      <c r="BL26" s="810"/>
      <c r="BM26" s="810"/>
      <c r="BN26" s="810"/>
      <c r="BO26" s="810"/>
      <c r="BP26" s="525"/>
      <c r="BQ26" s="524"/>
      <c r="BR26" s="524"/>
      <c r="BS26" s="524"/>
      <c r="BT26" s="524"/>
    </row>
    <row r="27" spans="1:72" ht="15" x14ac:dyDescent="0.25">
      <c r="A27" s="510"/>
      <c r="B27" s="1402" t="s">
        <v>1686</v>
      </c>
      <c r="C27" s="1403"/>
      <c r="D27" s="1404"/>
      <c r="E27" s="1412"/>
      <c r="F27" s="1413"/>
      <c r="G27" s="1414"/>
      <c r="H27" s="211"/>
      <c r="I27" s="7"/>
      <c r="AI27" s="509"/>
      <c r="AJ27" s="523"/>
      <c r="AS27" s="509"/>
      <c r="AT27" s="809"/>
      <c r="AU27" s="809"/>
      <c r="AV27" s="809"/>
      <c r="AW27" s="809"/>
      <c r="AX27" s="809"/>
      <c r="AY27"/>
      <c r="AZ27"/>
      <c r="BA27" s="515"/>
      <c r="BB27" s="515"/>
      <c r="BE27" s="509"/>
      <c r="BF27" s="810"/>
      <c r="BG27" s="810"/>
      <c r="BH27" s="810"/>
      <c r="BI27" s="810"/>
      <c r="BJ27" s="810"/>
      <c r="BK27" s="810"/>
      <c r="BL27" s="810"/>
      <c r="BM27" s="810"/>
      <c r="BN27" s="810"/>
      <c r="BO27" s="810"/>
      <c r="BP27" s="525"/>
      <c r="BQ27" s="524"/>
      <c r="BR27" s="524"/>
      <c r="BS27" s="524"/>
      <c r="BT27" s="524"/>
    </row>
    <row r="28" spans="1:72" ht="15" x14ac:dyDescent="0.25">
      <c r="A28" s="510"/>
      <c r="B28" s="526" t="s">
        <v>18</v>
      </c>
      <c r="C28" s="527"/>
      <c r="D28" s="528"/>
      <c r="E28" s="1399"/>
      <c r="F28" s="1400"/>
      <c r="G28" s="1401"/>
      <c r="H28" s="211"/>
      <c r="I28" s="7"/>
      <c r="AI28" s="509" t="s">
        <v>493</v>
      </c>
      <c r="AJ28" s="523">
        <f>24400*2</f>
        <v>48800</v>
      </c>
      <c r="AS28" s="509"/>
      <c r="AT28" s="809"/>
      <c r="AU28" s="809"/>
      <c r="AV28" s="809"/>
      <c r="AW28" s="809"/>
      <c r="AX28" s="809"/>
      <c r="AY28"/>
      <c r="AZ28"/>
      <c r="BA28" s="515"/>
      <c r="BB28" s="515"/>
      <c r="BE28" s="509"/>
      <c r="BF28" s="810"/>
      <c r="BG28" s="810"/>
      <c r="BH28" s="810"/>
      <c r="BI28" s="810"/>
      <c r="BJ28" s="810"/>
      <c r="BK28" s="810"/>
      <c r="BL28" s="810"/>
      <c r="BM28" s="810"/>
      <c r="BN28" s="810"/>
      <c r="BO28" s="810"/>
      <c r="BP28" s="525"/>
      <c r="BQ28" s="524"/>
      <c r="BR28" s="524"/>
      <c r="BS28" s="524"/>
      <c r="BT28" s="524"/>
    </row>
    <row r="29" spans="1:72" ht="15" x14ac:dyDescent="0.25">
      <c r="A29" s="510"/>
      <c r="B29" s="1394" t="s">
        <v>409</v>
      </c>
      <c r="C29" s="1397"/>
      <c r="D29" s="1398"/>
      <c r="E29" s="1388"/>
      <c r="F29" s="1389"/>
      <c r="G29" s="1390"/>
      <c r="H29" s="211"/>
      <c r="I29" s="7"/>
      <c r="J29" s="71">
        <f>E88</f>
        <v>0</v>
      </c>
      <c r="AI29" s="509" t="s">
        <v>494</v>
      </c>
      <c r="AJ29" s="523">
        <f>32750*2</f>
        <v>65500</v>
      </c>
      <c r="AS29" s="509"/>
      <c r="AT29" s="809"/>
      <c r="AU29" s="809"/>
      <c r="AV29" s="809"/>
      <c r="AW29" s="809"/>
      <c r="AX29" s="809"/>
      <c r="AY29"/>
      <c r="AZ29"/>
      <c r="BA29" s="515"/>
      <c r="BB29" s="515"/>
      <c r="BE29" s="509"/>
      <c r="BF29" s="810"/>
      <c r="BG29" s="810"/>
      <c r="BH29" s="810"/>
      <c r="BI29" s="810"/>
      <c r="BJ29" s="810"/>
      <c r="BK29" s="810"/>
      <c r="BL29" s="810"/>
      <c r="BM29" s="810"/>
      <c r="BN29" s="810"/>
      <c r="BO29" s="810"/>
      <c r="BP29" s="525"/>
      <c r="BQ29" s="524"/>
      <c r="BR29" s="524"/>
      <c r="BS29" s="524"/>
      <c r="BT29" s="524"/>
    </row>
    <row r="30" spans="1:72" ht="15" x14ac:dyDescent="0.25">
      <c r="A30" s="510"/>
      <c r="B30" s="1394" t="s">
        <v>73</v>
      </c>
      <c r="C30" s="1397"/>
      <c r="D30" s="1398"/>
      <c r="E30" s="1388"/>
      <c r="F30" s="1389"/>
      <c r="G30" s="1390"/>
      <c r="H30" s="211"/>
      <c r="I30" s="7"/>
      <c r="AI30" s="509" t="s">
        <v>495</v>
      </c>
      <c r="AJ30" s="523">
        <f>24400*2</f>
        <v>48800</v>
      </c>
      <c r="AS30" s="509"/>
      <c r="AT30" s="809"/>
      <c r="AU30" s="809"/>
      <c r="AV30" s="809"/>
      <c r="AW30" s="809"/>
      <c r="AX30" s="809"/>
      <c r="AY30"/>
      <c r="AZ30"/>
      <c r="BA30" s="515"/>
      <c r="BB30" s="515"/>
      <c r="BE30" s="509"/>
      <c r="BF30" s="810"/>
      <c r="BG30" s="810"/>
      <c r="BH30" s="810"/>
      <c r="BI30" s="810"/>
      <c r="BJ30" s="810"/>
      <c r="BK30" s="810"/>
      <c r="BL30" s="810"/>
      <c r="BM30" s="810"/>
      <c r="BN30" s="810"/>
      <c r="BO30" s="810"/>
      <c r="BP30" s="525"/>
      <c r="BQ30" s="524"/>
      <c r="BR30" s="524"/>
      <c r="BS30" s="524"/>
      <c r="BT30" s="524"/>
    </row>
    <row r="31" spans="1:72" ht="12.75" customHeight="1" x14ac:dyDescent="0.25">
      <c r="A31" s="510"/>
      <c r="B31" s="1394" t="s">
        <v>444</v>
      </c>
      <c r="C31" s="1397"/>
      <c r="D31" s="1398"/>
      <c r="E31" s="1415"/>
      <c r="F31" s="1416"/>
      <c r="G31" s="1417"/>
      <c r="H31" s="211"/>
      <c r="I31" s="7"/>
      <c r="AI31" s="509" t="s">
        <v>496</v>
      </c>
      <c r="AJ31" s="523">
        <f>32750*2</f>
        <v>65500</v>
      </c>
      <c r="AS31" s="509"/>
      <c r="AT31" s="809"/>
      <c r="AU31" s="809"/>
      <c r="AV31" s="809"/>
      <c r="AW31" s="809"/>
      <c r="AX31" s="809"/>
      <c r="AY31"/>
      <c r="AZ31"/>
      <c r="BA31" s="515"/>
      <c r="BB31" s="515"/>
      <c r="BE31" s="509"/>
      <c r="BF31" s="810"/>
      <c r="BG31" s="810"/>
      <c r="BH31" s="810"/>
      <c r="BI31" s="810"/>
      <c r="BJ31" s="810"/>
      <c r="BK31" s="810"/>
      <c r="BL31" s="810"/>
      <c r="BM31" s="810"/>
      <c r="BN31" s="810"/>
      <c r="BO31" s="810"/>
      <c r="BP31" s="525"/>
      <c r="BQ31" s="524"/>
      <c r="BR31" s="524"/>
      <c r="BS31" s="524"/>
      <c r="BT31" s="524"/>
    </row>
    <row r="32" spans="1:72" ht="23.25" customHeight="1" x14ac:dyDescent="0.25">
      <c r="A32" s="510"/>
      <c r="B32" s="1394" t="s">
        <v>629</v>
      </c>
      <c r="C32" s="1395"/>
      <c r="D32" s="1396"/>
      <c r="E32" s="1391"/>
      <c r="F32" s="1392"/>
      <c r="G32" s="1393"/>
      <c r="H32" s="770" t="str">
        <f>IF(E32&gt;Lists!F46, "Ineligible as submitted. Must be 4 or fewer units for NOAH", "Ok")</f>
        <v>Ok</v>
      </c>
      <c r="I32" s="7"/>
      <c r="AI32" s="509" t="s">
        <v>497</v>
      </c>
      <c r="AJ32" s="523">
        <f>24400*2</f>
        <v>48800</v>
      </c>
      <c r="AS32" s="509"/>
      <c r="AT32" s="809"/>
      <c r="AU32" s="809"/>
      <c r="AV32" s="809"/>
      <c r="AW32" s="809"/>
      <c r="AX32" s="809"/>
      <c r="AY32"/>
      <c r="AZ32"/>
      <c r="BA32" s="515"/>
      <c r="BB32" s="515"/>
      <c r="BE32" s="530"/>
      <c r="BF32" s="810"/>
      <c r="BG32" s="810"/>
      <c r="BH32" s="810"/>
      <c r="BI32" s="810"/>
      <c r="BJ32" s="810"/>
      <c r="BK32" s="810"/>
      <c r="BL32" s="810"/>
      <c r="BM32" s="810"/>
      <c r="BN32" s="810"/>
      <c r="BO32" s="810"/>
      <c r="BP32" s="525"/>
      <c r="BQ32" s="524"/>
      <c r="BR32" s="524"/>
      <c r="BS32" s="524"/>
      <c r="BT32" s="524"/>
    </row>
    <row r="33" spans="1:72" ht="14.25" customHeight="1" x14ac:dyDescent="0.2">
      <c r="A33" s="510"/>
      <c r="B33" s="1428" t="s">
        <v>696</v>
      </c>
      <c r="C33" s="1429"/>
      <c r="D33" s="1430"/>
      <c r="E33" s="1382"/>
      <c r="F33" s="1383"/>
      <c r="G33" s="1384"/>
      <c r="H33" s="768" t="str">
        <f>IF(E33&lt;'Funding and Units Worksheet'!N20, "Error. Need More HOME Units","")</f>
        <v/>
      </c>
      <c r="P33" s="531"/>
      <c r="AI33" s="530" t="s">
        <v>694</v>
      </c>
      <c r="AJ33" s="523">
        <f>24400*2</f>
        <v>48800</v>
      </c>
      <c r="AS33" s="509"/>
      <c r="AT33" s="809"/>
      <c r="AU33" s="809"/>
      <c r="AV33" s="809"/>
      <c r="AW33" s="809"/>
      <c r="AX33" s="809"/>
      <c r="AY33"/>
      <c r="AZ33"/>
      <c r="BA33" s="515"/>
      <c r="BB33" s="515"/>
      <c r="BE33" s="509"/>
      <c r="BF33" s="524"/>
      <c r="BG33" s="524"/>
      <c r="BH33" s="525"/>
      <c r="BI33" s="524"/>
      <c r="BJ33" s="525"/>
      <c r="BK33" s="524"/>
      <c r="BL33" s="525"/>
      <c r="BM33" s="524"/>
      <c r="BN33" s="525"/>
      <c r="BO33" s="524"/>
      <c r="BP33" s="525"/>
      <c r="BQ33" s="524"/>
      <c r="BR33" s="524"/>
      <c r="BS33" s="524"/>
      <c r="BT33" s="524"/>
    </row>
    <row r="34" spans="1:72" ht="14.25" customHeight="1" thickBot="1" x14ac:dyDescent="0.25">
      <c r="A34" s="510"/>
      <c r="B34" s="1431" t="s">
        <v>1195</v>
      </c>
      <c r="C34" s="1432"/>
      <c r="D34" s="1433"/>
      <c r="E34" s="1391"/>
      <c r="F34" s="1437"/>
      <c r="G34" s="1438"/>
      <c r="H34" s="768" t="str">
        <f>IF(E34&lt;'Funding and Units Worksheet'!N30, "Error. Need MORE HTF Units", " ")</f>
        <v xml:space="preserve"> </v>
      </c>
      <c r="P34" s="531"/>
      <c r="AI34" s="530"/>
      <c r="AJ34" s="523"/>
      <c r="AS34" s="509"/>
      <c r="AT34" s="809"/>
      <c r="AU34" s="809"/>
      <c r="AV34" s="809"/>
      <c r="AW34" s="809"/>
      <c r="AX34" s="809"/>
      <c r="AY34"/>
      <c r="AZ34"/>
      <c r="BA34" s="515"/>
      <c r="BB34" s="515"/>
      <c r="BE34" s="509"/>
      <c r="BF34" s="524"/>
      <c r="BG34" s="524"/>
      <c r="BH34" s="525"/>
      <c r="BI34" s="524"/>
      <c r="BJ34" s="525"/>
      <c r="BK34" s="524"/>
      <c r="BL34" s="525"/>
      <c r="BM34" s="524"/>
      <c r="BN34" s="525"/>
      <c r="BO34" s="524"/>
      <c r="BP34" s="525"/>
      <c r="BQ34" s="524"/>
      <c r="BR34" s="524"/>
      <c r="BS34" s="524"/>
      <c r="BT34" s="524"/>
    </row>
    <row r="35" spans="1:72" ht="14.25" customHeight="1" thickTop="1" thickBot="1" x14ac:dyDescent="0.25">
      <c r="A35" s="510"/>
      <c r="B35" s="532"/>
      <c r="C35" s="532"/>
      <c r="D35" s="532"/>
      <c r="E35" s="532"/>
      <c r="F35" s="532"/>
      <c r="G35" s="532"/>
      <c r="H35" s="529"/>
      <c r="I35" s="7"/>
      <c r="AI35" s="509"/>
      <c r="AJ35" s="523"/>
      <c r="AS35" s="509"/>
      <c r="AT35" s="809"/>
      <c r="AU35" s="809"/>
      <c r="AV35" s="809"/>
      <c r="AW35" s="809"/>
      <c r="AX35" s="809"/>
      <c r="AY35"/>
      <c r="AZ35"/>
      <c r="BA35" s="515"/>
      <c r="BB35" s="515"/>
      <c r="BE35" s="509"/>
      <c r="BF35" s="524"/>
      <c r="BG35" s="524"/>
      <c r="BH35" s="525"/>
      <c r="BI35" s="524"/>
      <c r="BJ35" s="525"/>
      <c r="BK35" s="524"/>
      <c r="BL35" s="525"/>
      <c r="BM35" s="524"/>
      <c r="BN35" s="525"/>
      <c r="BO35" s="524"/>
      <c r="BP35" s="525"/>
      <c r="BQ35" s="524"/>
      <c r="BR35" s="524"/>
      <c r="BS35" s="524"/>
      <c r="BT35" s="524"/>
    </row>
    <row r="36" spans="1:72" ht="16.5" thickTop="1" thickBot="1" x14ac:dyDescent="0.3">
      <c r="A36" s="510"/>
      <c r="B36" s="163" t="s">
        <v>625</v>
      </c>
      <c r="C36" s="519"/>
      <c r="D36" s="519"/>
      <c r="E36" s="533"/>
      <c r="F36" s="534"/>
      <c r="G36" s="535"/>
      <c r="H36" s="529"/>
      <c r="I36" s="7"/>
      <c r="AI36" s="509"/>
      <c r="AJ36" s="523"/>
      <c r="AS36" s="509"/>
      <c r="AT36" s="809"/>
      <c r="AU36" s="809"/>
      <c r="AV36" s="809"/>
      <c r="AW36" s="809"/>
      <c r="AX36" s="809"/>
      <c r="AY36"/>
      <c r="AZ36"/>
      <c r="BA36" s="515"/>
      <c r="BB36" s="515"/>
      <c r="BE36" s="509"/>
      <c r="BF36" s="810"/>
      <c r="BG36" s="810"/>
      <c r="BH36" s="810"/>
      <c r="BI36" s="810"/>
      <c r="BJ36" s="810"/>
      <c r="BK36" s="810"/>
      <c r="BL36" s="810"/>
      <c r="BM36" s="810"/>
      <c r="BN36" s="810"/>
      <c r="BO36" s="810"/>
      <c r="BP36" s="525"/>
      <c r="BQ36" s="524"/>
      <c r="BR36" s="524"/>
      <c r="BS36" s="524"/>
      <c r="BT36" s="524"/>
    </row>
    <row r="37" spans="1:72" ht="15.75" thickTop="1" x14ac:dyDescent="0.25">
      <c r="A37" s="510"/>
      <c r="B37" s="1422" t="s">
        <v>604</v>
      </c>
      <c r="C37" s="1489"/>
      <c r="D37" s="1490"/>
      <c r="E37" s="1434"/>
      <c r="F37" s="1435"/>
      <c r="G37" s="1436"/>
      <c r="H37" s="1174" t="str">
        <f>IF(E37&gt;Lists!F45, "Invalid Input. Value exceeds per project limit.", "")</f>
        <v/>
      </c>
      <c r="I37" s="7"/>
      <c r="AI37" s="509" t="s">
        <v>498</v>
      </c>
      <c r="AJ37" s="523">
        <f>25400*2</f>
        <v>50800</v>
      </c>
      <c r="AS37" s="509"/>
      <c r="AT37" s="809"/>
      <c r="AU37" s="809"/>
      <c r="AV37" s="809"/>
      <c r="AW37" s="809"/>
      <c r="AX37" s="809"/>
      <c r="AY37"/>
      <c r="AZ37"/>
      <c r="BA37" s="515"/>
      <c r="BB37" s="515"/>
      <c r="BE37" s="509"/>
      <c r="BF37" s="810"/>
      <c r="BG37" s="810"/>
      <c r="BH37" s="810"/>
      <c r="BI37" s="810"/>
      <c r="BJ37" s="810"/>
      <c r="BK37" s="810"/>
      <c r="BL37" s="810"/>
      <c r="BM37" s="810"/>
      <c r="BN37" s="810"/>
      <c r="BO37" s="810"/>
      <c r="BP37" s="525"/>
      <c r="BQ37" s="524"/>
      <c r="BR37" s="524"/>
      <c r="BS37" s="524"/>
      <c r="BT37" s="524"/>
    </row>
    <row r="38" spans="1:72" ht="15" x14ac:dyDescent="0.25">
      <c r="A38" s="510"/>
      <c r="B38" s="1497" t="s">
        <v>1194</v>
      </c>
      <c r="C38" s="1497"/>
      <c r="D38" s="1497"/>
      <c r="E38" s="1444"/>
      <c r="F38" s="1445"/>
      <c r="G38" s="1446"/>
      <c r="H38" s="1317" t="str">
        <f>+Lists!D36</f>
        <v>Ok</v>
      </c>
      <c r="I38" s="7"/>
      <c r="AI38" s="509"/>
      <c r="AJ38" s="523"/>
      <c r="AS38" s="509"/>
      <c r="AT38" s="809"/>
      <c r="AU38" s="809"/>
      <c r="AV38" s="809"/>
      <c r="AW38" s="809"/>
      <c r="AX38" s="809"/>
      <c r="AY38"/>
      <c r="AZ38"/>
      <c r="BA38" s="515"/>
      <c r="BB38" s="515"/>
      <c r="BE38" s="509"/>
      <c r="BF38" s="810"/>
      <c r="BG38" s="810"/>
      <c r="BH38" s="810"/>
      <c r="BI38" s="810"/>
      <c r="BJ38" s="810"/>
      <c r="BK38" s="810"/>
      <c r="BL38" s="810"/>
      <c r="BM38" s="810"/>
      <c r="BN38" s="810"/>
      <c r="BO38" s="810"/>
      <c r="BP38" s="525"/>
      <c r="BQ38" s="524"/>
      <c r="BR38" s="524"/>
      <c r="BS38" s="524"/>
      <c r="BT38" s="524"/>
    </row>
    <row r="39" spans="1:72" ht="15" x14ac:dyDescent="0.25">
      <c r="A39" s="510"/>
      <c r="B39" s="1422" t="s">
        <v>1196</v>
      </c>
      <c r="C39" s="1423"/>
      <c r="D39" s="1424"/>
      <c r="E39" s="1447">
        <f>+E37+E38</f>
        <v>0</v>
      </c>
      <c r="F39" s="1448"/>
      <c r="G39" s="1449"/>
      <c r="H39" s="529"/>
      <c r="I39" s="7"/>
      <c r="AI39" s="509" t="s">
        <v>499</v>
      </c>
      <c r="AJ39" s="523">
        <f>25950*2</f>
        <v>51900</v>
      </c>
      <c r="AS39" s="509"/>
      <c r="AT39" s="809"/>
      <c r="AU39" s="809"/>
      <c r="AV39" s="809"/>
      <c r="AW39" s="809"/>
      <c r="AX39" s="809"/>
      <c r="AY39"/>
      <c r="AZ39"/>
      <c r="BA39" s="515"/>
      <c r="BB39" s="515"/>
      <c r="BE39" s="509"/>
      <c r="BF39" s="810"/>
      <c r="BG39" s="810"/>
      <c r="BH39" s="810"/>
      <c r="BI39" s="810"/>
      <c r="BJ39" s="810"/>
      <c r="BK39" s="810"/>
      <c r="BL39" s="810"/>
      <c r="BM39" s="810"/>
      <c r="BN39" s="810"/>
      <c r="BO39" s="810"/>
      <c r="BP39" s="525"/>
      <c r="BQ39" s="524"/>
      <c r="BR39" s="524"/>
      <c r="BS39" s="524"/>
      <c r="BT39" s="524"/>
    </row>
    <row r="40" spans="1:72" ht="15.75" thickBot="1" x14ac:dyDescent="0.3">
      <c r="A40" s="510"/>
      <c r="B40" s="837" t="s">
        <v>51</v>
      </c>
      <c r="C40" s="838"/>
      <c r="D40" s="838"/>
      <c r="E40" s="839"/>
      <c r="F40" s="840"/>
      <c r="G40" s="841"/>
      <c r="H40" s="211"/>
      <c r="I40" s="7"/>
      <c r="AI40" s="509" t="s">
        <v>500</v>
      </c>
      <c r="AJ40" s="523">
        <f>32750*2</f>
        <v>65500</v>
      </c>
      <c r="AS40" s="509"/>
      <c r="AT40" s="809"/>
      <c r="AU40" s="809"/>
      <c r="AV40" s="809"/>
      <c r="AW40" s="809"/>
      <c r="AX40" s="809"/>
      <c r="AY40"/>
      <c r="AZ40"/>
      <c r="BA40" s="515"/>
      <c r="BB40" s="515"/>
      <c r="BE40" s="509"/>
      <c r="BF40" s="810"/>
      <c r="BG40" s="810"/>
      <c r="BH40" s="810"/>
      <c r="BI40" s="810"/>
      <c r="BJ40" s="810"/>
      <c r="BK40" s="810"/>
      <c r="BL40" s="810"/>
      <c r="BM40" s="810"/>
      <c r="BN40" s="810"/>
      <c r="BO40" s="810"/>
      <c r="BP40" s="525"/>
      <c r="BQ40" s="524"/>
      <c r="BR40" s="524"/>
      <c r="BS40" s="524"/>
      <c r="BT40" s="524"/>
    </row>
    <row r="41" spans="1:72" ht="15.75" thickTop="1" x14ac:dyDescent="0.25">
      <c r="A41" s="510"/>
      <c r="B41" s="150" t="s">
        <v>52</v>
      </c>
      <c r="C41" s="536"/>
      <c r="D41" s="537"/>
      <c r="E41" s="1425"/>
      <c r="F41" s="1426"/>
      <c r="G41" s="1427"/>
      <c r="H41" s="211"/>
      <c r="I41" s="7"/>
      <c r="AI41" s="509" t="s">
        <v>501</v>
      </c>
      <c r="AJ41" s="523">
        <f>24750*2</f>
        <v>49500</v>
      </c>
      <c r="AS41" s="509"/>
      <c r="AT41" s="809"/>
      <c r="AU41" s="809"/>
      <c r="AV41" s="809"/>
      <c r="AW41" s="809"/>
      <c r="AX41" s="809"/>
      <c r="AY41"/>
      <c r="AZ41"/>
      <c r="BA41" s="515"/>
      <c r="BB41" s="515"/>
      <c r="BE41" s="509"/>
      <c r="BF41" s="810"/>
      <c r="BG41" s="810"/>
      <c r="BH41" s="810"/>
      <c r="BI41" s="810"/>
      <c r="BJ41" s="810"/>
      <c r="BK41" s="810"/>
      <c r="BL41" s="810"/>
      <c r="BM41" s="810"/>
      <c r="BN41" s="810"/>
      <c r="BO41" s="810"/>
      <c r="BP41" s="525"/>
      <c r="BQ41" s="524"/>
      <c r="BR41" s="524"/>
      <c r="BS41" s="524"/>
      <c r="BT41" s="524"/>
    </row>
    <row r="42" spans="1:72" ht="15" x14ac:dyDescent="0.25">
      <c r="A42" s="510"/>
      <c r="B42" s="151" t="s">
        <v>53</v>
      </c>
      <c r="C42" s="538"/>
      <c r="D42" s="539"/>
      <c r="E42" s="1412"/>
      <c r="F42" s="1413"/>
      <c r="G42" s="1414"/>
      <c r="H42" s="211"/>
      <c r="I42" s="7"/>
      <c r="AI42" s="509" t="s">
        <v>502</v>
      </c>
      <c r="AJ42" s="523">
        <f>30000*2</f>
        <v>60000</v>
      </c>
      <c r="AS42" s="509"/>
      <c r="AT42" s="809"/>
      <c r="AU42" s="809"/>
      <c r="AV42" s="809"/>
      <c r="AW42" s="809"/>
      <c r="AX42" s="809"/>
      <c r="AY42"/>
      <c r="AZ42"/>
      <c r="BA42" s="515"/>
      <c r="BB42" s="515"/>
      <c r="BE42" s="509"/>
      <c r="BF42" s="810"/>
      <c r="BG42" s="810"/>
      <c r="BH42" s="810"/>
      <c r="BI42" s="810"/>
      <c r="BJ42" s="810"/>
      <c r="BK42" s="810"/>
      <c r="BL42" s="810"/>
      <c r="BM42" s="810"/>
      <c r="BN42" s="810"/>
      <c r="BO42" s="810"/>
      <c r="BP42" s="525"/>
      <c r="BQ42" s="524"/>
      <c r="BR42" s="524"/>
      <c r="BS42" s="524"/>
      <c r="BT42" s="524"/>
    </row>
    <row r="43" spans="1:72" ht="15" x14ac:dyDescent="0.25">
      <c r="A43" s="510"/>
      <c r="B43" s="151" t="s">
        <v>473</v>
      </c>
      <c r="C43" s="538"/>
      <c r="D43" s="539"/>
      <c r="E43" s="1412"/>
      <c r="F43" s="1413"/>
      <c r="G43" s="1414"/>
      <c r="H43" s="211"/>
      <c r="I43" s="7"/>
      <c r="AI43" s="509" t="s">
        <v>503</v>
      </c>
      <c r="AJ43" s="523">
        <f>28100*2</f>
        <v>56200</v>
      </c>
      <c r="AS43" s="509"/>
      <c r="AT43" s="809"/>
      <c r="AU43" s="809"/>
      <c r="AV43" s="809"/>
      <c r="AW43" s="809"/>
      <c r="AX43" s="809"/>
      <c r="AY43"/>
      <c r="AZ43"/>
      <c r="BA43" s="515"/>
      <c r="BB43" s="515"/>
      <c r="BE43" s="509"/>
      <c r="BF43" s="810"/>
      <c r="BG43" s="810"/>
      <c r="BH43" s="810"/>
      <c r="BI43" s="810"/>
      <c r="BJ43" s="810"/>
      <c r="BK43" s="810"/>
      <c r="BL43" s="810"/>
      <c r="BM43" s="810"/>
      <c r="BN43" s="810"/>
      <c r="BO43" s="810"/>
      <c r="BP43" s="525"/>
      <c r="BQ43" s="524"/>
      <c r="BR43" s="524"/>
      <c r="BS43" s="524"/>
      <c r="BT43" s="524"/>
    </row>
    <row r="44" spans="1:72" ht="15" x14ac:dyDescent="0.25">
      <c r="A44" s="510"/>
      <c r="B44" s="151" t="s">
        <v>55</v>
      </c>
      <c r="C44" s="538"/>
      <c r="D44" s="539"/>
      <c r="E44" s="1412"/>
      <c r="F44" s="1413"/>
      <c r="G44" s="1414"/>
      <c r="H44" s="211"/>
      <c r="I44" s="7"/>
      <c r="AI44" s="509" t="s">
        <v>504</v>
      </c>
      <c r="AJ44" s="523">
        <f>31650*2</f>
        <v>63300</v>
      </c>
      <c r="AS44" s="509"/>
      <c r="AT44" s="809"/>
      <c r="AU44" s="809"/>
      <c r="AV44" s="809"/>
      <c r="AW44" s="809"/>
      <c r="AX44" s="809"/>
      <c r="AY44"/>
      <c r="AZ44"/>
      <c r="BA44" s="515"/>
      <c r="BB44" s="515"/>
      <c r="BE44" s="509"/>
      <c r="BF44" s="810"/>
      <c r="BG44" s="810"/>
      <c r="BH44" s="810"/>
      <c r="BI44" s="810"/>
      <c r="BJ44" s="810"/>
      <c r="BK44" s="810"/>
      <c r="BL44" s="810"/>
      <c r="BM44" s="810"/>
      <c r="BN44" s="810"/>
      <c r="BO44" s="810"/>
      <c r="BP44" s="525"/>
      <c r="BQ44" s="524"/>
      <c r="BR44" s="524"/>
      <c r="BS44" s="524"/>
      <c r="BT44" s="524"/>
    </row>
    <row r="45" spans="1:72" ht="15" x14ac:dyDescent="0.25">
      <c r="A45" s="510"/>
      <c r="B45" s="151" t="s">
        <v>54</v>
      </c>
      <c r="C45" s="538"/>
      <c r="D45" s="539"/>
      <c r="E45" s="1412"/>
      <c r="F45" s="1413"/>
      <c r="G45" s="1414"/>
      <c r="H45" s="211"/>
      <c r="I45" s="7"/>
      <c r="AI45" s="509" t="s">
        <v>505</v>
      </c>
      <c r="AJ45" s="523">
        <f>29350*2</f>
        <v>58700</v>
      </c>
      <c r="AS45" s="509"/>
      <c r="AT45" s="809"/>
      <c r="AU45" s="809"/>
      <c r="AV45" s="809"/>
      <c r="AW45" s="809"/>
      <c r="AX45" s="809"/>
      <c r="AY45"/>
      <c r="AZ45"/>
      <c r="BA45" s="515"/>
      <c r="BB45" s="515"/>
      <c r="BE45" s="509"/>
      <c r="BF45" s="810"/>
      <c r="BG45" s="810"/>
      <c r="BH45" s="810"/>
      <c r="BI45" s="810"/>
      <c r="BJ45" s="810"/>
      <c r="BK45" s="810"/>
      <c r="BL45" s="810"/>
      <c r="BM45" s="810"/>
      <c r="BN45" s="810"/>
      <c r="BO45" s="810"/>
      <c r="BP45" s="525"/>
      <c r="BQ45" s="524"/>
      <c r="BR45" s="524"/>
      <c r="BS45" s="524"/>
      <c r="BT45" s="524"/>
    </row>
    <row r="46" spans="1:72" ht="15" x14ac:dyDescent="0.25">
      <c r="A46" s="510"/>
      <c r="B46" s="1394" t="s">
        <v>1141</v>
      </c>
      <c r="C46" s="1397"/>
      <c r="D46" s="1398"/>
      <c r="E46" s="1412"/>
      <c r="F46" s="1413"/>
      <c r="G46" s="1414"/>
      <c r="H46" s="211"/>
      <c r="I46" s="7"/>
      <c r="AI46" s="509"/>
      <c r="AJ46" s="523"/>
      <c r="AS46" s="509"/>
      <c r="AT46" s="809"/>
      <c r="AU46" s="809"/>
      <c r="AV46" s="809"/>
      <c r="AW46" s="809"/>
      <c r="AX46" s="809"/>
      <c r="AY46"/>
      <c r="AZ46"/>
      <c r="BA46" s="515"/>
      <c r="BB46" s="515"/>
      <c r="BE46" s="509"/>
      <c r="BF46" s="810"/>
      <c r="BG46" s="810"/>
      <c r="BH46" s="810"/>
      <c r="BI46" s="810"/>
      <c r="BJ46" s="810"/>
      <c r="BK46" s="810"/>
      <c r="BL46" s="810"/>
      <c r="BM46" s="810"/>
      <c r="BN46" s="810"/>
      <c r="BO46" s="810"/>
      <c r="BP46" s="525"/>
      <c r="BQ46" s="524"/>
      <c r="BR46" s="524"/>
      <c r="BS46" s="524"/>
      <c r="BT46" s="524"/>
    </row>
    <row r="47" spans="1:72" ht="15" x14ac:dyDescent="0.25">
      <c r="A47" s="510"/>
      <c r="B47" s="1394" t="s">
        <v>1140</v>
      </c>
      <c r="C47" s="1397"/>
      <c r="D47" s="1398"/>
      <c r="E47" s="1412"/>
      <c r="F47" s="1413"/>
      <c r="G47" s="1414"/>
      <c r="H47" s="211"/>
      <c r="I47" s="7"/>
      <c r="AI47" s="509"/>
      <c r="AJ47" s="523"/>
      <c r="AS47" s="509"/>
      <c r="AT47" s="809"/>
      <c r="AU47" s="809"/>
      <c r="AV47" s="809"/>
      <c r="AW47" s="809"/>
      <c r="AX47" s="809"/>
      <c r="AY47"/>
      <c r="AZ47"/>
      <c r="BA47" s="515"/>
      <c r="BB47" s="515"/>
      <c r="BE47" s="509"/>
      <c r="BF47" s="810"/>
      <c r="BG47" s="810"/>
      <c r="BH47" s="810"/>
      <c r="BI47" s="810"/>
      <c r="BJ47" s="810"/>
      <c r="BK47" s="810"/>
      <c r="BL47" s="810"/>
      <c r="BM47" s="810"/>
      <c r="BN47" s="810"/>
      <c r="BO47" s="810"/>
      <c r="BP47" s="525"/>
      <c r="BQ47" s="524"/>
      <c r="BR47" s="524"/>
      <c r="BS47" s="524"/>
      <c r="BT47" s="524"/>
    </row>
    <row r="48" spans="1:72" ht="15" x14ac:dyDescent="0.25">
      <c r="A48" s="510"/>
      <c r="B48" s="1394" t="s">
        <v>1142</v>
      </c>
      <c r="C48" s="1397"/>
      <c r="D48" s="1398"/>
      <c r="E48" s="1412"/>
      <c r="F48" s="1413"/>
      <c r="G48" s="1414"/>
      <c r="H48" s="211"/>
      <c r="I48" s="7"/>
      <c r="AI48" s="509"/>
      <c r="AJ48" s="523"/>
      <c r="AS48" s="509"/>
      <c r="AT48" s="809"/>
      <c r="AU48" s="809"/>
      <c r="AV48" s="809"/>
      <c r="AW48" s="809"/>
      <c r="AX48" s="809"/>
      <c r="AY48"/>
      <c r="AZ48"/>
      <c r="BA48" s="515"/>
      <c r="BB48" s="515"/>
      <c r="BE48" s="509"/>
      <c r="BF48" s="810"/>
      <c r="BG48" s="810"/>
      <c r="BH48" s="810"/>
      <c r="BI48" s="810"/>
      <c r="BJ48" s="810"/>
      <c r="BK48" s="810"/>
      <c r="BL48" s="810"/>
      <c r="BM48" s="810"/>
      <c r="BN48" s="810"/>
      <c r="BO48" s="810"/>
      <c r="BP48" s="525"/>
      <c r="BQ48" s="524"/>
      <c r="BR48" s="524"/>
      <c r="BS48" s="524"/>
      <c r="BT48" s="524"/>
    </row>
    <row r="49" spans="1:72" ht="15" x14ac:dyDescent="0.25">
      <c r="A49" s="510"/>
      <c r="B49" s="1394" t="s">
        <v>1143</v>
      </c>
      <c r="C49" s="1397"/>
      <c r="D49" s="1398"/>
      <c r="E49" s="1412"/>
      <c r="F49" s="1413"/>
      <c r="G49" s="1414"/>
      <c r="H49" s="211"/>
      <c r="I49" s="7"/>
      <c r="AI49" s="509"/>
      <c r="AJ49" s="523"/>
      <c r="AS49" s="509"/>
      <c r="AT49" s="809"/>
      <c r="AU49" s="809"/>
      <c r="AV49" s="809"/>
      <c r="AW49" s="809"/>
      <c r="AX49" s="809"/>
      <c r="AY49"/>
      <c r="AZ49"/>
      <c r="BA49" s="515"/>
      <c r="BB49" s="515"/>
      <c r="BE49" s="509"/>
      <c r="BF49" s="810"/>
      <c r="BG49" s="810"/>
      <c r="BH49" s="810"/>
      <c r="BI49" s="810"/>
      <c r="BJ49" s="810"/>
      <c r="BK49" s="810"/>
      <c r="BL49" s="810"/>
      <c r="BM49" s="810"/>
      <c r="BN49" s="810"/>
      <c r="BO49" s="810"/>
      <c r="BP49" s="525"/>
      <c r="BQ49" s="524"/>
      <c r="BR49" s="524"/>
      <c r="BS49" s="524"/>
      <c r="BT49" s="524"/>
    </row>
    <row r="50" spans="1:72" ht="15.75" thickBot="1" x14ac:dyDescent="0.3">
      <c r="A50" s="510"/>
      <c r="B50" s="206"/>
      <c r="C50" s="513"/>
      <c r="D50" s="513"/>
      <c r="E50" s="540"/>
      <c r="F50" s="541"/>
      <c r="G50" s="541"/>
      <c r="H50" s="211"/>
      <c r="I50" s="7"/>
      <c r="AI50" s="509" t="s">
        <v>506</v>
      </c>
      <c r="AJ50" s="523">
        <f>27650*2</f>
        <v>55300</v>
      </c>
      <c r="AS50" s="509"/>
      <c r="AT50" s="809"/>
      <c r="AU50" s="809"/>
      <c r="AV50" s="809"/>
      <c r="AW50" s="809"/>
      <c r="AX50" s="809"/>
      <c r="AY50"/>
      <c r="AZ50"/>
      <c r="BA50" s="515"/>
      <c r="BB50" s="515"/>
      <c r="BE50" s="509"/>
      <c r="BF50" s="810"/>
      <c r="BG50" s="810"/>
      <c r="BH50" s="810"/>
      <c r="BI50" s="810"/>
      <c r="BJ50" s="810"/>
      <c r="BK50" s="810"/>
      <c r="BL50" s="810"/>
      <c r="BM50" s="810"/>
      <c r="BN50" s="810"/>
      <c r="BO50" s="810"/>
      <c r="BP50" s="525"/>
      <c r="BQ50" s="524"/>
      <c r="BR50" s="524"/>
      <c r="BS50" s="524"/>
      <c r="BT50" s="524"/>
    </row>
    <row r="51" spans="1:72" ht="16.5" thickTop="1" thickBot="1" x14ac:dyDescent="0.3">
      <c r="A51" s="510"/>
      <c r="B51" s="163" t="s">
        <v>56</v>
      </c>
      <c r="C51" s="519"/>
      <c r="D51" s="519"/>
      <c r="E51" s="533"/>
      <c r="F51" s="534"/>
      <c r="G51" s="535"/>
      <c r="H51" s="211"/>
      <c r="I51" s="7"/>
      <c r="AI51" s="509" t="s">
        <v>507</v>
      </c>
      <c r="AJ51" s="523">
        <f>26700*2</f>
        <v>53400</v>
      </c>
      <c r="AS51" s="509"/>
      <c r="AT51" s="809"/>
      <c r="AU51" s="809"/>
      <c r="AV51" s="809"/>
      <c r="AW51" s="809"/>
      <c r="AX51" s="809"/>
      <c r="AY51"/>
      <c r="AZ51"/>
      <c r="BA51" s="515"/>
      <c r="BB51" s="515"/>
      <c r="BE51" s="509"/>
      <c r="BF51" s="810"/>
      <c r="BG51" s="810"/>
      <c r="BH51" s="810"/>
      <c r="BI51" s="810"/>
      <c r="BJ51" s="810"/>
      <c r="BK51" s="810"/>
      <c r="BL51" s="810"/>
      <c r="BM51" s="810"/>
      <c r="BN51" s="810"/>
      <c r="BO51" s="810"/>
      <c r="BP51" s="525"/>
      <c r="BQ51" s="524"/>
      <c r="BR51" s="524"/>
      <c r="BS51" s="524"/>
      <c r="BT51" s="524"/>
    </row>
    <row r="52" spans="1:72" ht="16.5" thickTop="1" thickBot="1" x14ac:dyDescent="0.3">
      <c r="A52" s="510"/>
      <c r="B52" s="1469" t="s">
        <v>157</v>
      </c>
      <c r="C52" s="1469"/>
      <c r="D52" s="1507"/>
      <c r="E52" s="1114"/>
      <c r="F52" s="1115"/>
      <c r="G52" s="1115"/>
      <c r="H52" s="211"/>
      <c r="I52" s="7"/>
      <c r="AI52" s="509"/>
      <c r="AJ52" s="523"/>
      <c r="AS52" s="509"/>
      <c r="AT52" s="809"/>
      <c r="AU52" s="809"/>
      <c r="AV52" s="809"/>
      <c r="AW52" s="809"/>
      <c r="AX52" s="809"/>
      <c r="AY52"/>
      <c r="AZ52"/>
      <c r="BA52" s="515"/>
      <c r="BB52" s="515"/>
      <c r="BE52" s="509"/>
      <c r="BF52" s="810"/>
      <c r="BG52" s="810"/>
      <c r="BH52" s="810"/>
      <c r="BI52" s="810"/>
      <c r="BJ52" s="810"/>
      <c r="BK52" s="810"/>
      <c r="BL52" s="810"/>
      <c r="BM52" s="810"/>
      <c r="BN52" s="810"/>
      <c r="BO52" s="810"/>
      <c r="BP52" s="525"/>
      <c r="BQ52" s="524"/>
      <c r="BR52" s="524"/>
      <c r="BS52" s="524"/>
      <c r="BT52" s="524"/>
    </row>
    <row r="53" spans="1:72" ht="15.75" thickTop="1" x14ac:dyDescent="0.25">
      <c r="A53" s="510"/>
      <c r="B53" s="150" t="s">
        <v>58</v>
      </c>
      <c r="C53" s="536"/>
      <c r="D53" s="537"/>
      <c r="E53" s="1425"/>
      <c r="F53" s="1426"/>
      <c r="G53" s="1427"/>
      <c r="H53" s="211"/>
      <c r="I53" s="7"/>
      <c r="AI53" s="509"/>
      <c r="AJ53" s="523"/>
      <c r="AS53" s="509"/>
      <c r="AT53" s="809"/>
      <c r="AU53" s="809"/>
      <c r="AV53" s="809"/>
      <c r="AW53" s="809"/>
      <c r="AX53" s="809"/>
      <c r="AY53"/>
      <c r="AZ53"/>
      <c r="BA53" s="515"/>
      <c r="BB53" s="515"/>
      <c r="BE53" s="509"/>
      <c r="BF53" s="810"/>
      <c r="BG53" s="810"/>
      <c r="BH53" s="810"/>
      <c r="BI53" s="810"/>
      <c r="BJ53" s="810"/>
      <c r="BK53" s="810"/>
      <c r="BL53" s="810"/>
      <c r="BM53" s="810"/>
      <c r="BN53" s="810"/>
      <c r="BO53" s="810"/>
      <c r="BP53" s="525"/>
      <c r="BQ53" s="524"/>
      <c r="BR53" s="524"/>
      <c r="BS53" s="524"/>
      <c r="BT53" s="524"/>
    </row>
    <row r="54" spans="1:72" ht="15" x14ac:dyDescent="0.25">
      <c r="A54" s="510"/>
      <c r="B54" s="151" t="s">
        <v>57</v>
      </c>
      <c r="C54" s="538"/>
      <c r="D54" s="539"/>
      <c r="E54" s="1388"/>
      <c r="F54" s="1389"/>
      <c r="G54" s="1390"/>
      <c r="H54" s="211"/>
      <c r="I54" s="7"/>
      <c r="AI54" s="509"/>
      <c r="AJ54" s="523"/>
      <c r="AS54" s="509"/>
      <c r="AT54" s="809"/>
      <c r="AU54" s="809"/>
      <c r="AV54" s="809"/>
      <c r="AW54" s="809"/>
      <c r="AX54" s="809"/>
      <c r="AY54"/>
      <c r="AZ54"/>
      <c r="BA54" s="515"/>
      <c r="BB54" s="515"/>
      <c r="BE54" s="509"/>
      <c r="BF54" s="810"/>
      <c r="BG54" s="810"/>
      <c r="BH54" s="810"/>
      <c r="BI54" s="810"/>
      <c r="BJ54" s="810"/>
      <c r="BK54" s="810"/>
      <c r="BL54" s="810"/>
      <c r="BM54" s="810"/>
      <c r="BN54" s="810"/>
      <c r="BO54" s="810"/>
      <c r="BP54" s="525"/>
      <c r="BQ54" s="524"/>
      <c r="BR54" s="524"/>
      <c r="BS54" s="524"/>
      <c r="BT54" s="524"/>
    </row>
    <row r="55" spans="1:72" ht="15" x14ac:dyDescent="0.25">
      <c r="A55" s="510"/>
      <c r="B55" s="151" t="s">
        <v>59</v>
      </c>
      <c r="C55" s="538"/>
      <c r="D55" s="539"/>
      <c r="E55" s="1388"/>
      <c r="F55" s="1389"/>
      <c r="G55" s="1390"/>
      <c r="H55" s="211"/>
      <c r="I55" s="7"/>
      <c r="AI55" s="509"/>
      <c r="AJ55" s="523"/>
      <c r="AS55" s="509"/>
      <c r="AT55" s="809"/>
      <c r="AU55" s="809"/>
      <c r="AV55" s="809"/>
      <c r="AW55" s="809"/>
      <c r="AX55" s="809"/>
      <c r="AY55"/>
      <c r="AZ55"/>
      <c r="BA55" s="515"/>
      <c r="BB55" s="515"/>
      <c r="BE55" s="509"/>
      <c r="BF55" s="810"/>
      <c r="BG55" s="810"/>
      <c r="BH55" s="810"/>
      <c r="BI55" s="810"/>
      <c r="BJ55" s="810"/>
      <c r="BK55" s="810"/>
      <c r="BL55" s="810"/>
      <c r="BM55" s="810"/>
      <c r="BN55" s="810"/>
      <c r="BO55" s="810"/>
      <c r="BP55" s="525"/>
      <c r="BQ55" s="524"/>
      <c r="BR55" s="524"/>
      <c r="BS55" s="524"/>
      <c r="BT55" s="524"/>
    </row>
    <row r="56" spans="1:72" ht="15" x14ac:dyDescent="0.25">
      <c r="A56" s="510"/>
      <c r="B56" s="151" t="s">
        <v>60</v>
      </c>
      <c r="C56" s="538"/>
      <c r="D56" s="539"/>
      <c r="E56" s="1388"/>
      <c r="F56" s="1389"/>
      <c r="G56" s="1390"/>
      <c r="H56" s="211"/>
      <c r="I56" s="7"/>
      <c r="AI56" s="509"/>
      <c r="AJ56" s="523"/>
      <c r="AS56" s="509"/>
      <c r="AT56" s="809"/>
      <c r="AU56" s="809"/>
      <c r="AV56" s="809"/>
      <c r="AW56" s="809"/>
      <c r="AX56" s="809"/>
      <c r="AY56"/>
      <c r="AZ56"/>
      <c r="BA56" s="515"/>
      <c r="BB56" s="515"/>
      <c r="BE56" s="509"/>
      <c r="BF56" s="810"/>
      <c r="BG56" s="810"/>
      <c r="BH56" s="810"/>
      <c r="BI56" s="810"/>
      <c r="BJ56" s="810"/>
      <c r="BK56" s="810"/>
      <c r="BL56" s="810"/>
      <c r="BM56" s="810"/>
      <c r="BN56" s="810"/>
      <c r="BO56" s="810"/>
      <c r="BP56" s="525"/>
      <c r="BQ56" s="524"/>
      <c r="BR56" s="524"/>
      <c r="BS56" s="524"/>
      <c r="BT56" s="524"/>
    </row>
    <row r="57" spans="1:72" ht="15" x14ac:dyDescent="0.25">
      <c r="A57" s="510"/>
      <c r="B57" s="151" t="s">
        <v>61</v>
      </c>
      <c r="C57" s="538"/>
      <c r="D57" s="539"/>
      <c r="E57" s="1388"/>
      <c r="F57" s="1389"/>
      <c r="G57" s="1390"/>
      <c r="H57" s="211"/>
      <c r="I57" s="7"/>
      <c r="AI57" s="509"/>
      <c r="AJ57" s="523"/>
      <c r="AS57" s="509"/>
      <c r="AT57" s="809"/>
      <c r="AU57" s="809"/>
      <c r="AV57" s="809"/>
      <c r="AW57" s="809"/>
      <c r="AX57" s="809"/>
      <c r="AY57"/>
      <c r="AZ57"/>
      <c r="BA57" s="515"/>
      <c r="BB57" s="515"/>
      <c r="BE57" s="509"/>
      <c r="BF57" s="810"/>
      <c r="BG57" s="810"/>
      <c r="BH57" s="810"/>
      <c r="BI57" s="810"/>
      <c r="BJ57" s="810"/>
      <c r="BK57" s="810"/>
      <c r="BL57" s="810"/>
      <c r="BM57" s="810"/>
      <c r="BN57" s="810"/>
      <c r="BO57" s="810"/>
      <c r="BP57" s="525"/>
      <c r="BQ57" s="524"/>
      <c r="BR57" s="524"/>
      <c r="BS57" s="524"/>
      <c r="BT57" s="524"/>
    </row>
    <row r="58" spans="1:72" ht="15" x14ac:dyDescent="0.25">
      <c r="A58" s="510"/>
      <c r="B58" s="151" t="s">
        <v>62</v>
      </c>
      <c r="C58" s="538"/>
      <c r="D58" s="539"/>
      <c r="E58" s="1388"/>
      <c r="F58" s="1389"/>
      <c r="G58" s="1390"/>
      <c r="H58" s="211"/>
      <c r="I58" s="7"/>
      <c r="AI58" s="509"/>
      <c r="AJ58" s="523"/>
      <c r="AS58" s="509"/>
      <c r="AT58" s="809"/>
      <c r="AU58" s="809"/>
      <c r="AV58" s="809"/>
      <c r="AW58" s="809"/>
      <c r="AX58" s="809"/>
      <c r="AY58"/>
      <c r="AZ58"/>
      <c r="BA58" s="515"/>
      <c r="BB58" s="515"/>
      <c r="BE58" s="509"/>
      <c r="BF58" s="810"/>
      <c r="BG58" s="810"/>
      <c r="BH58" s="810"/>
      <c r="BI58" s="810"/>
      <c r="BJ58" s="810"/>
      <c r="BK58" s="810"/>
      <c r="BL58" s="810"/>
      <c r="BM58" s="810"/>
      <c r="BN58" s="810"/>
      <c r="BO58" s="810"/>
      <c r="BP58" s="525"/>
      <c r="BQ58" s="524"/>
      <c r="BR58" s="524"/>
      <c r="BS58" s="524"/>
      <c r="BT58" s="524"/>
    </row>
    <row r="59" spans="1:72" ht="15" x14ac:dyDescent="0.25">
      <c r="A59" s="510"/>
      <c r="B59" s="151" t="s">
        <v>63</v>
      </c>
      <c r="C59" s="538"/>
      <c r="D59" s="539"/>
      <c r="E59" s="1388"/>
      <c r="F59" s="1389"/>
      <c r="G59" s="1390"/>
      <c r="H59" s="211"/>
      <c r="I59" s="7"/>
      <c r="AI59" s="509"/>
      <c r="AJ59" s="523"/>
      <c r="AS59" s="509"/>
      <c r="AT59" s="809"/>
      <c r="AU59" s="809"/>
      <c r="AV59" s="809"/>
      <c r="AW59" s="809"/>
      <c r="AX59" s="809"/>
      <c r="AY59"/>
      <c r="AZ59"/>
      <c r="BA59" s="515"/>
      <c r="BB59" s="515"/>
      <c r="BE59" s="509"/>
      <c r="BF59" s="810"/>
      <c r="BG59" s="810"/>
      <c r="BH59" s="810"/>
      <c r="BI59" s="810"/>
      <c r="BJ59" s="810"/>
      <c r="BK59" s="810"/>
      <c r="BL59" s="810"/>
      <c r="BM59" s="810"/>
      <c r="BN59" s="810"/>
      <c r="BO59" s="810"/>
      <c r="BP59" s="525"/>
      <c r="BQ59" s="524"/>
      <c r="BR59" s="524"/>
      <c r="BS59" s="524"/>
      <c r="BT59" s="524"/>
    </row>
    <row r="60" spans="1:72" ht="15" x14ac:dyDescent="0.25">
      <c r="A60" s="510"/>
      <c r="B60" s="1099"/>
      <c r="C60" s="1100" t="s">
        <v>157</v>
      </c>
      <c r="D60" s="1101"/>
      <c r="E60" s="1453">
        <f>SUM(E53:G59)</f>
        <v>0</v>
      </c>
      <c r="F60" s="1454"/>
      <c r="G60" s="1455"/>
      <c r="H60" s="211"/>
      <c r="I60" s="7"/>
      <c r="AI60" s="509"/>
      <c r="AJ60" s="523"/>
      <c r="AS60" s="509"/>
      <c r="AT60" s="809"/>
      <c r="AU60" s="809"/>
      <c r="AV60" s="809"/>
      <c r="AW60" s="809"/>
      <c r="AX60" s="809"/>
      <c r="AY60"/>
      <c r="AZ60"/>
      <c r="BA60" s="515"/>
      <c r="BB60" s="515"/>
      <c r="BE60" s="509"/>
      <c r="BF60" s="810"/>
      <c r="BG60" s="810"/>
      <c r="BH60" s="810"/>
      <c r="BI60" s="810"/>
      <c r="BJ60" s="810"/>
      <c r="BK60" s="810"/>
      <c r="BL60" s="810"/>
      <c r="BM60" s="810"/>
      <c r="BN60" s="810"/>
      <c r="BO60" s="810"/>
      <c r="BP60" s="525"/>
      <c r="BQ60" s="524"/>
      <c r="BR60" s="524"/>
      <c r="BS60" s="524"/>
      <c r="BT60" s="524"/>
    </row>
    <row r="61" spans="1:72" ht="15.75" thickBot="1" x14ac:dyDescent="0.3">
      <c r="A61" s="510"/>
      <c r="B61" s="1498" t="s">
        <v>680</v>
      </c>
      <c r="C61" s="1499"/>
      <c r="D61" s="1500"/>
      <c r="E61" s="1102"/>
      <c r="F61" s="1103"/>
      <c r="G61" s="1104"/>
      <c r="H61" s="211"/>
      <c r="I61" s="7"/>
      <c r="AI61" s="509"/>
      <c r="AJ61" s="523"/>
      <c r="AS61" s="509"/>
      <c r="AT61" s="809"/>
      <c r="AU61" s="809"/>
      <c r="AV61" s="809"/>
      <c r="AW61" s="809"/>
      <c r="AX61" s="809"/>
      <c r="AY61"/>
      <c r="AZ61"/>
      <c r="BA61" s="515"/>
      <c r="BB61" s="515"/>
      <c r="BE61" s="509"/>
      <c r="BF61" s="810"/>
      <c r="BG61" s="810"/>
      <c r="BH61" s="810"/>
      <c r="BI61" s="810"/>
      <c r="BJ61" s="810"/>
      <c r="BK61" s="810"/>
      <c r="BL61" s="810"/>
      <c r="BM61" s="810"/>
      <c r="BN61" s="810"/>
      <c r="BO61" s="810"/>
      <c r="BP61" s="525"/>
      <c r="BQ61" s="524"/>
      <c r="BR61" s="524"/>
      <c r="BS61" s="524"/>
      <c r="BT61" s="524"/>
    </row>
    <row r="62" spans="1:72" ht="15.75" thickTop="1" x14ac:dyDescent="0.25">
      <c r="A62" s="510"/>
      <c r="B62" s="150" t="s">
        <v>58</v>
      </c>
      <c r="C62" s="536"/>
      <c r="D62" s="1101"/>
      <c r="E62" s="1412"/>
      <c r="F62" s="1413"/>
      <c r="G62" s="1414"/>
      <c r="H62" s="211" t="e">
        <f>IF(E62&lt;MAX(Underwriting!H95,Underwriting!H136,Underwriting!H171),"Error. NEED MORE HOME UNITS","OK")</f>
        <v>#DIV/0!</v>
      </c>
      <c r="I62" s="7"/>
      <c r="AI62" s="509"/>
      <c r="AJ62" s="523"/>
      <c r="AS62" s="509"/>
      <c r="AT62" s="809"/>
      <c r="AU62" s="809"/>
      <c r="AV62" s="809"/>
      <c r="AW62" s="809"/>
      <c r="AX62" s="809"/>
      <c r="AY62"/>
      <c r="AZ62"/>
      <c r="BA62" s="515"/>
      <c r="BB62" s="515"/>
      <c r="BE62" s="509"/>
      <c r="BF62" s="810"/>
      <c r="BG62" s="810"/>
      <c r="BH62" s="810"/>
      <c r="BI62" s="810"/>
      <c r="BJ62" s="810"/>
      <c r="BK62" s="810"/>
      <c r="BL62" s="810"/>
      <c r="BM62" s="810"/>
      <c r="BN62" s="810"/>
      <c r="BO62" s="810"/>
      <c r="BP62" s="525"/>
      <c r="BQ62" s="524"/>
      <c r="BR62" s="524"/>
      <c r="BS62" s="524"/>
      <c r="BT62" s="524"/>
    </row>
    <row r="63" spans="1:72" ht="15" x14ac:dyDescent="0.25">
      <c r="A63" s="510"/>
      <c r="B63" s="151" t="s">
        <v>57</v>
      </c>
      <c r="C63" s="538"/>
      <c r="D63" s="1101"/>
      <c r="E63" s="1412"/>
      <c r="F63" s="1413"/>
      <c r="G63" s="1414"/>
      <c r="H63" s="211" t="e">
        <f>IF(E63&lt;MAX(Underwriting!H96,Underwriting!H137,Underwriting!H172),"Error. NEED MORE HOME UNITS","OK")</f>
        <v>#DIV/0!</v>
      </c>
      <c r="I63" s="7"/>
      <c r="AI63" s="509"/>
      <c r="AJ63" s="523"/>
      <c r="AS63" s="509"/>
      <c r="AT63" s="809"/>
      <c r="AU63" s="809"/>
      <c r="AV63" s="809"/>
      <c r="AW63" s="809"/>
      <c r="AX63" s="809"/>
      <c r="AY63"/>
      <c r="AZ63"/>
      <c r="BA63" s="515"/>
      <c r="BB63" s="515"/>
      <c r="BE63" s="509"/>
      <c r="BF63" s="810"/>
      <c r="BG63" s="810"/>
      <c r="BH63" s="810"/>
      <c r="BI63" s="810"/>
      <c r="BJ63" s="810"/>
      <c r="BK63" s="810"/>
      <c r="BL63" s="810"/>
      <c r="BM63" s="810"/>
      <c r="BN63" s="810"/>
      <c r="BO63" s="810"/>
      <c r="BP63" s="525"/>
      <c r="BQ63" s="524"/>
      <c r="BR63" s="524"/>
      <c r="BS63" s="524"/>
      <c r="BT63" s="524"/>
    </row>
    <row r="64" spans="1:72" ht="15" x14ac:dyDescent="0.25">
      <c r="A64" s="510"/>
      <c r="B64" s="151" t="s">
        <v>59</v>
      </c>
      <c r="C64" s="538"/>
      <c r="D64" s="1101"/>
      <c r="E64" s="1412"/>
      <c r="F64" s="1413"/>
      <c r="G64" s="1414"/>
      <c r="H64" s="211" t="e">
        <f>IF(E64&lt;MAX(Underwriting!H97,Underwriting!H138,Underwriting!H173),"Error. NEED MORE HOME UNITS","OK")</f>
        <v>#DIV/0!</v>
      </c>
      <c r="I64" s="7"/>
      <c r="AI64" s="509"/>
      <c r="AJ64" s="523"/>
      <c r="AS64" s="509"/>
      <c r="AT64" s="809"/>
      <c r="AU64" s="809"/>
      <c r="AV64" s="809"/>
      <c r="AW64" s="809"/>
      <c r="AX64" s="809"/>
      <c r="AY64"/>
      <c r="AZ64"/>
      <c r="BA64" s="515"/>
      <c r="BB64" s="515"/>
      <c r="BE64" s="509"/>
      <c r="BF64" s="810"/>
      <c r="BG64" s="810"/>
      <c r="BH64" s="810"/>
      <c r="BI64" s="810"/>
      <c r="BJ64" s="810"/>
      <c r="BK64" s="810"/>
      <c r="BL64" s="810"/>
      <c r="BM64" s="810"/>
      <c r="BN64" s="810"/>
      <c r="BO64" s="810"/>
      <c r="BP64" s="525"/>
      <c r="BQ64" s="524"/>
      <c r="BR64" s="524"/>
      <c r="BS64" s="524"/>
      <c r="BT64" s="524"/>
    </row>
    <row r="65" spans="1:72" ht="15" x14ac:dyDescent="0.25">
      <c r="A65" s="510"/>
      <c r="B65" s="151" t="s">
        <v>60</v>
      </c>
      <c r="C65" s="538"/>
      <c r="D65" s="1101"/>
      <c r="E65" s="1412"/>
      <c r="F65" s="1413"/>
      <c r="G65" s="1414"/>
      <c r="H65" s="211" t="e">
        <f>IF(E65&lt;MAX(Underwriting!H98,Underwriting!H139,Underwriting!H174),"Error. NEED MORE HOME UNITS","OK")</f>
        <v>#DIV/0!</v>
      </c>
      <c r="I65" s="7"/>
      <c r="AI65" s="509"/>
      <c r="AJ65" s="523"/>
      <c r="AS65" s="509"/>
      <c r="AT65" s="809"/>
      <c r="AU65" s="809"/>
      <c r="AV65" s="809"/>
      <c r="AW65" s="809"/>
      <c r="AX65" s="809"/>
      <c r="AY65"/>
      <c r="AZ65"/>
      <c r="BA65" s="515"/>
      <c r="BB65" s="515"/>
      <c r="BE65" s="509"/>
      <c r="BF65" s="810"/>
      <c r="BG65" s="810"/>
      <c r="BH65" s="810"/>
      <c r="BI65" s="810"/>
      <c r="BJ65" s="810"/>
      <c r="BK65" s="810"/>
      <c r="BL65" s="810"/>
      <c r="BM65" s="810"/>
      <c r="BN65" s="810"/>
      <c r="BO65" s="810"/>
      <c r="BP65" s="525"/>
      <c r="BQ65" s="524"/>
      <c r="BR65" s="524"/>
      <c r="BS65" s="524"/>
      <c r="BT65" s="524"/>
    </row>
    <row r="66" spans="1:72" ht="15" x14ac:dyDescent="0.25">
      <c r="A66" s="510"/>
      <c r="B66" s="151" t="s">
        <v>61</v>
      </c>
      <c r="C66" s="538"/>
      <c r="D66" s="1101"/>
      <c r="E66" s="1412"/>
      <c r="F66" s="1413"/>
      <c r="G66" s="1414"/>
      <c r="H66" s="211" t="e">
        <f>IF(E66&lt;MAX(Underwriting!H99,Underwriting!H140,Underwriting!H175),"Error. NEED MORE HOME UNITS","OK")</f>
        <v>#DIV/0!</v>
      </c>
      <c r="I66" s="7"/>
      <c r="AI66" s="509"/>
      <c r="AJ66" s="523"/>
      <c r="AS66" s="509"/>
      <c r="AT66" s="809"/>
      <c r="AU66" s="809"/>
      <c r="AV66" s="809"/>
      <c r="AW66" s="809"/>
      <c r="AX66" s="809"/>
      <c r="AY66"/>
      <c r="AZ66"/>
      <c r="BA66" s="515"/>
      <c r="BB66" s="515"/>
      <c r="BE66" s="509"/>
      <c r="BF66" s="810"/>
      <c r="BG66" s="810"/>
      <c r="BH66" s="810"/>
      <c r="BI66" s="810"/>
      <c r="BJ66" s="810"/>
      <c r="BK66" s="810"/>
      <c r="BL66" s="810"/>
      <c r="BM66" s="810"/>
      <c r="BN66" s="810"/>
      <c r="BO66" s="810"/>
      <c r="BP66" s="525"/>
      <c r="BQ66" s="524"/>
      <c r="BR66" s="524"/>
      <c r="BS66" s="524"/>
      <c r="BT66" s="524"/>
    </row>
    <row r="67" spans="1:72" ht="15" x14ac:dyDescent="0.25">
      <c r="A67" s="510"/>
      <c r="B67" s="151" t="s">
        <v>62</v>
      </c>
      <c r="C67" s="538"/>
      <c r="D67" s="1101"/>
      <c r="E67" s="1412"/>
      <c r="F67" s="1413"/>
      <c r="G67" s="1414"/>
      <c r="H67" s="211" t="e">
        <f>IF(E67&lt;MAX(Underwriting!H100,Underwriting!H141,Underwriting!H176),"Error. NEED MORE HOME UNITS","OK")</f>
        <v>#DIV/0!</v>
      </c>
      <c r="I67" s="7"/>
      <c r="AI67" s="509"/>
      <c r="AJ67" s="523"/>
      <c r="AS67" s="509"/>
      <c r="AT67" s="809"/>
      <c r="AU67" s="809"/>
      <c r="AV67" s="809"/>
      <c r="AW67" s="809"/>
      <c r="AX67" s="809"/>
      <c r="AY67"/>
      <c r="AZ67"/>
      <c r="BA67" s="515"/>
      <c r="BB67" s="515"/>
      <c r="BE67" s="509"/>
      <c r="BF67" s="810"/>
      <c r="BG67" s="810"/>
      <c r="BH67" s="810"/>
      <c r="BI67" s="810"/>
      <c r="BJ67" s="810"/>
      <c r="BK67" s="810"/>
      <c r="BL67" s="810"/>
      <c r="BM67" s="810"/>
      <c r="BN67" s="810"/>
      <c r="BO67" s="810"/>
      <c r="BP67" s="525"/>
      <c r="BQ67" s="524"/>
      <c r="BR67" s="524"/>
      <c r="BS67" s="524"/>
      <c r="BT67" s="524"/>
    </row>
    <row r="68" spans="1:72" ht="15" x14ac:dyDescent="0.25">
      <c r="A68" s="510"/>
      <c r="B68" s="151" t="s">
        <v>63</v>
      </c>
      <c r="C68" s="538"/>
      <c r="D68" s="1101"/>
      <c r="E68" s="1412"/>
      <c r="F68" s="1413"/>
      <c r="G68" s="1414"/>
      <c r="H68" s="211"/>
      <c r="I68" s="7"/>
      <c r="AI68" s="509"/>
      <c r="AJ68" s="523"/>
      <c r="AS68" s="509"/>
      <c r="AT68" s="809"/>
      <c r="AU68" s="809"/>
      <c r="AV68" s="809"/>
      <c r="AW68" s="809"/>
      <c r="AX68" s="809"/>
      <c r="AY68"/>
      <c r="AZ68"/>
      <c r="BA68" s="515"/>
      <c r="BB68" s="515"/>
      <c r="BE68" s="509"/>
      <c r="BF68" s="810"/>
      <c r="BG68" s="810"/>
      <c r="BH68" s="810"/>
      <c r="BI68" s="810"/>
      <c r="BJ68" s="810"/>
      <c r="BK68" s="810"/>
      <c r="BL68" s="810"/>
      <c r="BM68" s="810"/>
      <c r="BN68" s="810"/>
      <c r="BO68" s="810"/>
      <c r="BP68" s="525"/>
      <c r="BQ68" s="524"/>
      <c r="BR68" s="524"/>
      <c r="BS68" s="524"/>
      <c r="BT68" s="524"/>
    </row>
    <row r="69" spans="1:72" ht="15.75" thickBot="1" x14ac:dyDescent="0.3">
      <c r="A69" s="510"/>
      <c r="B69" s="1105"/>
      <c r="C69" s="1106" t="s">
        <v>157</v>
      </c>
      <c r="D69" s="1107"/>
      <c r="E69" s="1453">
        <f>SUM(E62:G68)</f>
        <v>0</v>
      </c>
      <c r="F69" s="1454"/>
      <c r="G69" s="1455"/>
      <c r="H69" s="211"/>
      <c r="I69" s="7"/>
      <c r="AI69" s="509"/>
      <c r="AJ69" s="523"/>
      <c r="AS69" s="509"/>
      <c r="AT69" s="809"/>
      <c r="AU69" s="809"/>
      <c r="AV69" s="809"/>
      <c r="AW69" s="809"/>
      <c r="AX69" s="809"/>
      <c r="AY69"/>
      <c r="AZ69"/>
      <c r="BA69" s="515"/>
      <c r="BB69" s="515"/>
      <c r="BE69" s="509"/>
      <c r="BF69" s="810"/>
      <c r="BG69" s="810"/>
      <c r="BH69" s="810"/>
      <c r="BI69" s="810"/>
      <c r="BJ69" s="810"/>
      <c r="BK69" s="810"/>
      <c r="BL69" s="810"/>
      <c r="BM69" s="810"/>
      <c r="BN69" s="810"/>
      <c r="BO69" s="810"/>
      <c r="BP69" s="525"/>
      <c r="BQ69" s="524"/>
      <c r="BR69" s="524"/>
      <c r="BS69" s="524"/>
      <c r="BT69" s="524"/>
    </row>
    <row r="70" spans="1:72" ht="16.5" thickTop="1" thickBot="1" x14ac:dyDescent="0.3">
      <c r="A70" s="510"/>
      <c r="B70" s="1501" t="s">
        <v>1769</v>
      </c>
      <c r="C70" s="1502"/>
      <c r="D70" s="1503"/>
      <c r="E70" s="1102"/>
      <c r="F70" s="1103"/>
      <c r="G70" s="1104"/>
      <c r="H70" s="211"/>
      <c r="I70" s="7"/>
      <c r="AI70" s="509"/>
      <c r="AJ70" s="523"/>
      <c r="AS70" s="509"/>
      <c r="AT70" s="809"/>
      <c r="AU70" s="809"/>
      <c r="AV70" s="809"/>
      <c r="AW70" s="809"/>
      <c r="AX70" s="809"/>
      <c r="AY70"/>
      <c r="AZ70"/>
      <c r="BA70" s="515"/>
      <c r="BB70" s="515"/>
      <c r="BE70" s="509"/>
      <c r="BF70" s="810"/>
      <c r="BG70" s="810"/>
      <c r="BH70" s="810"/>
      <c r="BI70" s="810"/>
      <c r="BJ70" s="810"/>
      <c r="BK70" s="810"/>
      <c r="BL70" s="810"/>
      <c r="BM70" s="810"/>
      <c r="BN70" s="810"/>
      <c r="BO70" s="810"/>
      <c r="BP70" s="525"/>
      <c r="BQ70" s="524"/>
      <c r="BR70" s="524"/>
      <c r="BS70" s="524"/>
      <c r="BT70" s="524"/>
    </row>
    <row r="71" spans="1:72" ht="15.75" thickTop="1" x14ac:dyDescent="0.25">
      <c r="A71" s="510"/>
      <c r="B71" s="150" t="s">
        <v>58</v>
      </c>
      <c r="C71" s="536"/>
      <c r="D71" s="537"/>
      <c r="E71" s="1425"/>
      <c r="F71" s="1426"/>
      <c r="G71" s="1427"/>
      <c r="H71" s="211" t="e">
        <f>IF(E71&lt;MAX(Underwriting!H210,Underwriting!H227,Underwriting!H235),"Error. Need More HTF Units", "OK")</f>
        <v>#DIV/0!</v>
      </c>
      <c r="I71" s="7"/>
      <c r="AI71" s="509" t="s">
        <v>508</v>
      </c>
      <c r="AJ71" s="523">
        <f>32750*2</f>
        <v>65500</v>
      </c>
      <c r="AS71" s="509"/>
      <c r="AT71" s="809"/>
      <c r="AU71" s="809"/>
      <c r="AV71" s="809"/>
      <c r="AW71" s="809"/>
      <c r="AX71" s="809"/>
      <c r="AY71"/>
      <c r="AZ71"/>
      <c r="BA71" s="515"/>
      <c r="BB71" s="515"/>
      <c r="BE71" s="509"/>
      <c r="BF71" s="810"/>
      <c r="BG71" s="810"/>
      <c r="BH71" s="810"/>
      <c r="BI71" s="810"/>
      <c r="BJ71" s="810"/>
      <c r="BK71" s="810"/>
      <c r="BL71" s="810"/>
      <c r="BM71" s="810"/>
      <c r="BN71" s="810"/>
      <c r="BO71" s="810"/>
      <c r="BP71" s="525"/>
      <c r="BQ71" s="524"/>
      <c r="BR71" s="524"/>
      <c r="BS71" s="524"/>
      <c r="BT71" s="524"/>
    </row>
    <row r="72" spans="1:72" ht="15" x14ac:dyDescent="0.25">
      <c r="A72" s="510"/>
      <c r="B72" s="151" t="s">
        <v>57</v>
      </c>
      <c r="C72" s="538"/>
      <c r="D72" s="539"/>
      <c r="E72" s="1388"/>
      <c r="F72" s="1389"/>
      <c r="G72" s="1390"/>
      <c r="H72" s="211" t="e">
        <f>IF(E72&lt;MAX(Underwriting!H211,Underwriting!H228,Underwriting!H236),"Error. Need More HTF Units", "OK")</f>
        <v>#DIV/0!</v>
      </c>
      <c r="I72" s="7"/>
      <c r="AI72" s="509" t="s">
        <v>509</v>
      </c>
      <c r="AJ72" s="523">
        <f>24400*2</f>
        <v>48800</v>
      </c>
      <c r="AS72" s="509"/>
      <c r="AT72" s="809"/>
      <c r="AU72" s="809"/>
      <c r="AV72" s="809"/>
      <c r="AW72" s="809"/>
      <c r="AX72" s="809"/>
      <c r="AY72"/>
      <c r="AZ72"/>
      <c r="BA72" s="515"/>
      <c r="BB72" s="515"/>
      <c r="BE72" s="509"/>
      <c r="BF72" s="810"/>
      <c r="BG72" s="810"/>
      <c r="BH72" s="810"/>
      <c r="BI72" s="810"/>
      <c r="BJ72" s="810"/>
      <c r="BK72" s="810"/>
      <c r="BL72" s="810"/>
      <c r="BM72" s="810"/>
      <c r="BN72" s="810"/>
      <c r="BO72" s="810"/>
      <c r="BP72" s="525"/>
      <c r="BQ72" s="524"/>
      <c r="BR72" s="524"/>
      <c r="BS72" s="524"/>
      <c r="BT72" s="524"/>
    </row>
    <row r="73" spans="1:72" ht="12.75" customHeight="1" x14ac:dyDescent="0.25">
      <c r="A73" s="510"/>
      <c r="B73" s="151" t="s">
        <v>59</v>
      </c>
      <c r="C73" s="538"/>
      <c r="D73" s="539"/>
      <c r="E73" s="1388"/>
      <c r="F73" s="1389"/>
      <c r="G73" s="1390"/>
      <c r="H73" s="211" t="e">
        <f>IF(E73&lt;MAX(Underwriting!H212,Underwriting!H229,Underwriting!H237),"Error. Need More HTF Units", "OK")</f>
        <v>#DIV/0!</v>
      </c>
      <c r="I73" s="7"/>
      <c r="AI73" s="509" t="s">
        <v>510</v>
      </c>
      <c r="AJ73" s="523">
        <f>24400*2</f>
        <v>48800</v>
      </c>
      <c r="AS73" s="509"/>
      <c r="AT73" s="809"/>
      <c r="AU73" s="809"/>
      <c r="AV73" s="809"/>
      <c r="AW73" s="809"/>
      <c r="AX73" s="809"/>
      <c r="AY73"/>
      <c r="AZ73"/>
      <c r="BA73" s="515"/>
      <c r="BB73" s="515"/>
      <c r="BE73" s="509"/>
      <c r="BF73" s="810"/>
      <c r="BG73" s="810"/>
      <c r="BH73" s="810"/>
      <c r="BI73" s="810"/>
      <c r="BJ73" s="810"/>
      <c r="BK73" s="810"/>
      <c r="BL73" s="810"/>
      <c r="BM73" s="810"/>
      <c r="BN73" s="810"/>
      <c r="BO73" s="810"/>
      <c r="BP73" s="525"/>
      <c r="BQ73" s="524"/>
      <c r="BR73" s="524"/>
      <c r="BS73" s="524"/>
      <c r="BT73" s="524"/>
    </row>
    <row r="74" spans="1:72" ht="15" x14ac:dyDescent="0.25">
      <c r="A74" s="510"/>
      <c r="B74" s="151" t="s">
        <v>60</v>
      </c>
      <c r="C74" s="538"/>
      <c r="D74" s="539"/>
      <c r="E74" s="1388"/>
      <c r="F74" s="1389"/>
      <c r="G74" s="1390"/>
      <c r="H74" s="211" t="e">
        <f>IF(E74&lt;MAX(Underwriting!H213,Underwriting!H230,Underwriting!H238),"Error. Need More HTF Units", "OK")</f>
        <v>#DIV/0!</v>
      </c>
      <c r="I74" s="7"/>
      <c r="AI74" s="509" t="s">
        <v>511</v>
      </c>
      <c r="AJ74" s="523">
        <f>24400*2</f>
        <v>48800</v>
      </c>
      <c r="AS74" s="509"/>
      <c r="AT74" s="809"/>
      <c r="AU74" s="809"/>
      <c r="AV74" s="809"/>
      <c r="AW74" s="809"/>
      <c r="AX74" s="809"/>
      <c r="AY74"/>
      <c r="AZ74"/>
      <c r="BA74" s="515"/>
      <c r="BB74" s="515"/>
      <c r="BE74" s="509"/>
      <c r="BF74" s="810"/>
      <c r="BG74" s="810"/>
      <c r="BH74" s="810"/>
      <c r="BI74" s="810"/>
      <c r="BJ74" s="810"/>
      <c r="BK74" s="810"/>
      <c r="BL74" s="810"/>
      <c r="BM74" s="810"/>
      <c r="BN74" s="810"/>
      <c r="BO74" s="810"/>
      <c r="BP74" s="525"/>
      <c r="BQ74" s="524"/>
      <c r="BR74" s="524"/>
      <c r="BS74" s="524"/>
      <c r="BT74" s="524"/>
    </row>
    <row r="75" spans="1:72" ht="15" x14ac:dyDescent="0.25">
      <c r="A75" s="510"/>
      <c r="B75" s="151" t="s">
        <v>61</v>
      </c>
      <c r="C75" s="538"/>
      <c r="D75" s="539"/>
      <c r="E75" s="1388"/>
      <c r="F75" s="1389"/>
      <c r="G75" s="1390"/>
      <c r="H75" s="211" t="e">
        <f>IF(E75&lt;MAX(Underwriting!H214,Underwriting!H231,Underwriting!H239),"Error. Need More HTF Units", "OK")</f>
        <v>#DIV/0!</v>
      </c>
      <c r="I75" s="7"/>
      <c r="AI75" s="509" t="s">
        <v>512</v>
      </c>
      <c r="AJ75" s="523">
        <f>30000*2</f>
        <v>60000</v>
      </c>
      <c r="AS75" s="509"/>
      <c r="AT75" s="809"/>
      <c r="AU75" s="809"/>
      <c r="AV75" s="809"/>
      <c r="AW75" s="809"/>
      <c r="AX75" s="809"/>
      <c r="AY75"/>
      <c r="AZ75"/>
      <c r="BA75" s="515"/>
      <c r="BB75" s="515"/>
      <c r="BE75" s="509"/>
      <c r="BF75" s="810"/>
      <c r="BG75" s="810"/>
      <c r="BH75" s="810"/>
      <c r="BI75" s="810"/>
      <c r="BJ75" s="810"/>
      <c r="BK75" s="810"/>
      <c r="BL75" s="810"/>
      <c r="BM75" s="810"/>
      <c r="BN75" s="810"/>
      <c r="BO75" s="810"/>
      <c r="BP75" s="525"/>
      <c r="BQ75" s="524"/>
      <c r="BR75" s="524"/>
      <c r="BS75" s="524"/>
      <c r="BT75" s="524"/>
    </row>
    <row r="76" spans="1:72" ht="15" x14ac:dyDescent="0.25">
      <c r="A76" s="510"/>
      <c r="B76" s="151" t="s">
        <v>62</v>
      </c>
      <c r="C76" s="538"/>
      <c r="D76" s="539"/>
      <c r="E76" s="1388"/>
      <c r="F76" s="1389"/>
      <c r="G76" s="1390"/>
      <c r="H76" s="211" t="e">
        <f>IF(E76&lt;MAX(Underwriting!H215,Underwriting!H232,Underwriting!H240),"Error. Need More HTF Units", "OK")</f>
        <v>#DIV/0!</v>
      </c>
      <c r="AI76" s="509" t="s">
        <v>513</v>
      </c>
      <c r="AJ76" s="523">
        <f>25000*2</f>
        <v>50000</v>
      </c>
      <c r="AS76" s="509"/>
      <c r="AT76" s="809"/>
      <c r="AU76" s="809"/>
      <c r="AV76" s="809"/>
      <c r="AW76" s="809"/>
      <c r="AX76" s="809"/>
      <c r="AY76"/>
      <c r="AZ76"/>
      <c r="BA76" s="515"/>
      <c r="BB76" s="515"/>
      <c r="BE76" s="509"/>
      <c r="BF76" s="810"/>
      <c r="BG76" s="810"/>
      <c r="BH76" s="810"/>
      <c r="BI76" s="810"/>
      <c r="BJ76" s="810"/>
      <c r="BK76" s="810"/>
      <c r="BL76" s="810"/>
      <c r="BM76" s="810"/>
      <c r="BN76" s="810"/>
      <c r="BO76" s="810"/>
      <c r="BP76" s="525"/>
      <c r="BQ76" s="524"/>
      <c r="BR76" s="524"/>
      <c r="BS76" s="524"/>
      <c r="BT76" s="524"/>
    </row>
    <row r="77" spans="1:72" ht="15" x14ac:dyDescent="0.25">
      <c r="A77" s="510"/>
      <c r="B77" s="151" t="s">
        <v>63</v>
      </c>
      <c r="C77" s="538"/>
      <c r="D77" s="539"/>
      <c r="E77" s="1388"/>
      <c r="F77" s="1389"/>
      <c r="G77" s="1390"/>
      <c r="H77" s="211"/>
      <c r="AI77" s="509" t="s">
        <v>514</v>
      </c>
      <c r="AJ77" s="523">
        <f>30000*2</f>
        <v>60000</v>
      </c>
      <c r="AS77" s="509"/>
      <c r="AT77" s="809"/>
      <c r="AU77" s="809"/>
      <c r="AV77" s="809"/>
      <c r="AW77" s="809"/>
      <c r="AX77" s="809"/>
      <c r="AY77"/>
      <c r="AZ77"/>
      <c r="BA77" s="515"/>
      <c r="BB77" s="515"/>
      <c r="BE77" s="509"/>
      <c r="BF77" s="810"/>
      <c r="BG77" s="810"/>
      <c r="BH77" s="810"/>
      <c r="BI77" s="810"/>
      <c r="BJ77" s="810"/>
      <c r="BK77" s="810"/>
      <c r="BL77" s="810"/>
      <c r="BM77" s="810"/>
      <c r="BN77" s="810"/>
      <c r="BO77" s="810"/>
      <c r="BP77" s="525"/>
      <c r="BQ77" s="524"/>
      <c r="BR77" s="524"/>
      <c r="BS77" s="524"/>
      <c r="BT77" s="524"/>
    </row>
    <row r="78" spans="1:72" ht="15" x14ac:dyDescent="0.25">
      <c r="A78" s="510"/>
      <c r="B78" s="1099"/>
      <c r="C78" s="1504" t="s">
        <v>157</v>
      </c>
      <c r="D78" s="1505"/>
      <c r="E78" s="1453">
        <f>SUM(E71:G77)</f>
        <v>0</v>
      </c>
      <c r="F78" s="1454"/>
      <c r="G78" s="1455"/>
      <c r="H78" s="211"/>
      <c r="AI78" s="509"/>
      <c r="AJ78" s="523"/>
      <c r="AS78" s="509"/>
      <c r="AT78" s="809"/>
      <c r="AU78" s="809"/>
      <c r="AV78" s="809"/>
      <c r="AW78" s="809"/>
      <c r="AX78" s="809"/>
      <c r="AY78"/>
      <c r="AZ78"/>
      <c r="BA78" s="515"/>
      <c r="BB78" s="515"/>
      <c r="BE78" s="509"/>
      <c r="BF78" s="810"/>
      <c r="BG78" s="810"/>
      <c r="BH78" s="810"/>
      <c r="BI78" s="810"/>
      <c r="BJ78" s="810"/>
      <c r="BK78" s="810"/>
      <c r="BL78" s="810"/>
      <c r="BM78" s="810"/>
      <c r="BN78" s="810"/>
      <c r="BO78" s="810"/>
      <c r="BP78" s="525"/>
      <c r="BQ78" s="524"/>
      <c r="BR78" s="524"/>
      <c r="BS78" s="524"/>
      <c r="BT78" s="524"/>
    </row>
    <row r="79" spans="1:72" ht="15.75" thickBot="1" x14ac:dyDescent="0.3">
      <c r="A79" s="510"/>
      <c r="B79" s="1506" t="s">
        <v>1771</v>
      </c>
      <c r="C79" s="1506"/>
      <c r="D79" s="1506"/>
      <c r="E79" s="1412"/>
      <c r="F79" s="1413"/>
      <c r="G79" s="1414"/>
      <c r="H79" s="211"/>
      <c r="AI79" s="509"/>
      <c r="AJ79" s="523"/>
      <c r="AS79" s="509"/>
      <c r="AT79" s="809"/>
      <c r="AU79" s="809"/>
      <c r="AV79" s="809"/>
      <c r="AW79" s="809"/>
      <c r="AX79" s="809"/>
      <c r="AY79"/>
      <c r="AZ79"/>
      <c r="BA79" s="515"/>
      <c r="BB79" s="515"/>
      <c r="BE79" s="509"/>
      <c r="BF79" s="810"/>
      <c r="BG79" s="810"/>
      <c r="BH79" s="810"/>
      <c r="BI79" s="810"/>
      <c r="BJ79" s="810"/>
      <c r="BK79" s="810"/>
      <c r="BL79" s="810"/>
      <c r="BM79" s="810"/>
      <c r="BN79" s="810"/>
      <c r="BO79" s="810"/>
      <c r="BP79" s="525"/>
      <c r="BQ79" s="524"/>
      <c r="BR79" s="524"/>
      <c r="BS79" s="524"/>
      <c r="BT79" s="524"/>
    </row>
    <row r="80" spans="1:72" ht="15.75" thickTop="1" x14ac:dyDescent="0.25">
      <c r="A80" s="510"/>
      <c r="B80" s="150" t="s">
        <v>58</v>
      </c>
      <c r="C80" s="536"/>
      <c r="D80" s="1116"/>
      <c r="E80" s="1459">
        <f t="shared" ref="E80:E81" si="0">IF(+E53-(E62+E71)&lt;0,0,E53-(E62+E71))</f>
        <v>0</v>
      </c>
      <c r="F80" s="1460"/>
      <c r="G80" s="1461"/>
      <c r="H80" s="211"/>
      <c r="AI80" s="509"/>
      <c r="AJ80" s="523"/>
      <c r="AS80" s="509"/>
      <c r="AT80" s="809"/>
      <c r="AU80" s="809"/>
      <c r="AV80" s="809"/>
      <c r="AW80" s="809"/>
      <c r="AX80" s="809"/>
      <c r="AY80"/>
      <c r="AZ80"/>
      <c r="BA80" s="515"/>
      <c r="BB80" s="515"/>
      <c r="BE80" s="509"/>
      <c r="BF80" s="810"/>
      <c r="BG80" s="810"/>
      <c r="BH80" s="810"/>
      <c r="BI80" s="810"/>
      <c r="BJ80" s="810"/>
      <c r="BK80" s="810"/>
      <c r="BL80" s="810"/>
      <c r="BM80" s="810"/>
      <c r="BN80" s="810"/>
      <c r="BO80" s="810"/>
      <c r="BP80" s="525"/>
      <c r="BQ80" s="524"/>
      <c r="BR80" s="524"/>
      <c r="BS80" s="524"/>
      <c r="BT80" s="524"/>
    </row>
    <row r="81" spans="1:72" ht="15" x14ac:dyDescent="0.25">
      <c r="A81" s="510"/>
      <c r="B81" s="151" t="s">
        <v>57</v>
      </c>
      <c r="C81" s="538"/>
      <c r="D81" s="1116"/>
      <c r="E81" s="1459">
        <f t="shared" si="0"/>
        <v>0</v>
      </c>
      <c r="F81" s="1460"/>
      <c r="G81" s="1461"/>
      <c r="H81" s="211"/>
      <c r="AI81" s="509"/>
      <c r="AJ81" s="523"/>
      <c r="AS81" s="509"/>
      <c r="AT81" s="809"/>
      <c r="AU81" s="809"/>
      <c r="AV81" s="809"/>
      <c r="AW81" s="809"/>
      <c r="AX81" s="809"/>
      <c r="AY81"/>
      <c r="AZ81"/>
      <c r="BA81" s="515"/>
      <c r="BB81" s="515"/>
      <c r="BE81" s="509"/>
      <c r="BF81" s="810"/>
      <c r="BG81" s="810"/>
      <c r="BH81" s="810"/>
      <c r="BI81" s="810"/>
      <c r="BJ81" s="810"/>
      <c r="BK81" s="810"/>
      <c r="BL81" s="810"/>
      <c r="BM81" s="810"/>
      <c r="BN81" s="810"/>
      <c r="BO81" s="810"/>
      <c r="BP81" s="525"/>
      <c r="BQ81" s="524"/>
      <c r="BR81" s="524"/>
      <c r="BS81" s="524"/>
      <c r="BT81" s="524"/>
    </row>
    <row r="82" spans="1:72" ht="15" x14ac:dyDescent="0.25">
      <c r="A82" s="510"/>
      <c r="B82" s="151" t="s">
        <v>59</v>
      </c>
      <c r="C82" s="538"/>
      <c r="D82" s="1116"/>
      <c r="E82" s="1459">
        <f>IF(+E55-(E64+E73)&lt;0,0,E55-(E64+E73))</f>
        <v>0</v>
      </c>
      <c r="F82" s="1460"/>
      <c r="G82" s="1461"/>
      <c r="H82" s="211"/>
      <c r="AI82" s="509"/>
      <c r="AJ82" s="523"/>
      <c r="AS82" s="509"/>
      <c r="AT82" s="809"/>
      <c r="AU82" s="809"/>
      <c r="AV82" s="809"/>
      <c r="AW82" s="809"/>
      <c r="AX82" s="809"/>
      <c r="AY82"/>
      <c r="AZ82"/>
      <c r="BA82" s="515"/>
      <c r="BB82" s="515"/>
      <c r="BE82" s="509"/>
      <c r="BF82" s="810"/>
      <c r="BG82" s="810"/>
      <c r="BH82" s="810"/>
      <c r="BI82" s="810"/>
      <c r="BJ82" s="810"/>
      <c r="BK82" s="810"/>
      <c r="BL82" s="810"/>
      <c r="BM82" s="810"/>
      <c r="BN82" s="810"/>
      <c r="BO82" s="810"/>
      <c r="BP82" s="525"/>
      <c r="BQ82" s="524"/>
      <c r="BR82" s="524"/>
      <c r="BS82" s="524"/>
      <c r="BT82" s="524"/>
    </row>
    <row r="83" spans="1:72" ht="15" x14ac:dyDescent="0.25">
      <c r="A83" s="510"/>
      <c r="B83" s="151" t="s">
        <v>60</v>
      </c>
      <c r="C83" s="538"/>
      <c r="D83" s="1116"/>
      <c r="E83" s="1459">
        <f t="shared" ref="E83:E86" si="1">IF(+E56-(E65+E74)&lt;0,0,E56-(E65+E74))</f>
        <v>0</v>
      </c>
      <c r="F83" s="1460"/>
      <c r="G83" s="1461"/>
      <c r="H83" s="211"/>
      <c r="AI83" s="509"/>
      <c r="AJ83" s="523"/>
      <c r="AS83" s="509"/>
      <c r="AT83" s="809"/>
      <c r="AU83" s="809"/>
      <c r="AV83" s="809"/>
      <c r="AW83" s="809"/>
      <c r="AX83" s="809"/>
      <c r="AY83"/>
      <c r="AZ83"/>
      <c r="BA83" s="515"/>
      <c r="BB83" s="515"/>
      <c r="BE83" s="509"/>
      <c r="BF83" s="810"/>
      <c r="BG83" s="810"/>
      <c r="BH83" s="810"/>
      <c r="BI83" s="810"/>
      <c r="BJ83" s="810"/>
      <c r="BK83" s="810"/>
      <c r="BL83" s="810"/>
      <c r="BM83" s="810"/>
      <c r="BN83" s="810"/>
      <c r="BO83" s="810"/>
      <c r="BP83" s="525"/>
      <c r="BQ83" s="524"/>
      <c r="BR83" s="524"/>
      <c r="BS83" s="524"/>
      <c r="BT83" s="524"/>
    </row>
    <row r="84" spans="1:72" ht="15" x14ac:dyDescent="0.25">
      <c r="A84" s="510"/>
      <c r="B84" s="151" t="s">
        <v>61</v>
      </c>
      <c r="C84" s="538"/>
      <c r="D84" s="1116"/>
      <c r="E84" s="1459">
        <f t="shared" si="1"/>
        <v>0</v>
      </c>
      <c r="F84" s="1460"/>
      <c r="G84" s="1461"/>
      <c r="H84" s="211"/>
      <c r="AI84" s="509"/>
      <c r="AJ84" s="523"/>
      <c r="AS84" s="509"/>
      <c r="AT84" s="809"/>
      <c r="AU84" s="809"/>
      <c r="AV84" s="809"/>
      <c r="AW84" s="809"/>
      <c r="AX84" s="809"/>
      <c r="AY84"/>
      <c r="AZ84"/>
      <c r="BA84" s="515"/>
      <c r="BB84" s="515"/>
      <c r="BE84" s="509"/>
      <c r="BF84" s="810"/>
      <c r="BG84" s="810"/>
      <c r="BH84" s="810"/>
      <c r="BI84" s="810"/>
      <c r="BJ84" s="810"/>
      <c r="BK84" s="810"/>
      <c r="BL84" s="810"/>
      <c r="BM84" s="810"/>
      <c r="BN84" s="810"/>
      <c r="BO84" s="810"/>
      <c r="BP84" s="525"/>
      <c r="BQ84" s="524"/>
      <c r="BR84" s="524"/>
      <c r="BS84" s="524"/>
      <c r="BT84" s="524"/>
    </row>
    <row r="85" spans="1:72" ht="15" x14ac:dyDescent="0.25">
      <c r="A85" s="510"/>
      <c r="B85" s="151" t="s">
        <v>62</v>
      </c>
      <c r="C85" s="538"/>
      <c r="D85" s="1116"/>
      <c r="E85" s="1459">
        <f t="shared" si="1"/>
        <v>0</v>
      </c>
      <c r="F85" s="1460"/>
      <c r="G85" s="1461"/>
      <c r="H85" s="211"/>
      <c r="AI85" s="509"/>
      <c r="AJ85" s="523"/>
      <c r="AS85" s="509"/>
      <c r="AT85" s="809"/>
      <c r="AU85" s="809"/>
      <c r="AV85" s="809"/>
      <c r="AW85" s="809"/>
      <c r="AX85" s="809"/>
      <c r="AY85"/>
      <c r="AZ85"/>
      <c r="BA85" s="515"/>
      <c r="BB85" s="515"/>
      <c r="BE85" s="509"/>
      <c r="BF85" s="810"/>
      <c r="BG85" s="810"/>
      <c r="BH85" s="810"/>
      <c r="BI85" s="810"/>
      <c r="BJ85" s="810"/>
      <c r="BK85" s="810"/>
      <c r="BL85" s="810"/>
      <c r="BM85" s="810"/>
      <c r="BN85" s="810"/>
      <c r="BO85" s="810"/>
      <c r="BP85" s="525"/>
      <c r="BQ85" s="524"/>
      <c r="BR85" s="524"/>
      <c r="BS85" s="524"/>
      <c r="BT85" s="524"/>
    </row>
    <row r="86" spans="1:72" ht="15" x14ac:dyDescent="0.25">
      <c r="A86" s="510"/>
      <c r="B86" s="151" t="s">
        <v>63</v>
      </c>
      <c r="C86" s="538"/>
      <c r="D86" s="1116"/>
      <c r="E86" s="1459">
        <f t="shared" si="1"/>
        <v>0</v>
      </c>
      <c r="F86" s="1460"/>
      <c r="G86" s="1461"/>
      <c r="H86" s="211"/>
      <c r="AI86" s="509"/>
      <c r="AJ86" s="523"/>
      <c r="AS86" s="509"/>
      <c r="AT86" s="809"/>
      <c r="AU86" s="809"/>
      <c r="AV86" s="809"/>
      <c r="AW86" s="809"/>
      <c r="AX86" s="809"/>
      <c r="AY86"/>
      <c r="AZ86"/>
      <c r="BA86" s="515"/>
      <c r="BB86" s="515"/>
      <c r="BE86" s="509"/>
      <c r="BF86" s="810"/>
      <c r="BG86" s="810"/>
      <c r="BH86" s="810"/>
      <c r="BI86" s="810"/>
      <c r="BJ86" s="810"/>
      <c r="BK86" s="810"/>
      <c r="BL86" s="810"/>
      <c r="BM86" s="810"/>
      <c r="BN86" s="810"/>
      <c r="BO86" s="810"/>
      <c r="BP86" s="525"/>
      <c r="BQ86" s="524"/>
      <c r="BR86" s="524"/>
      <c r="BS86" s="524"/>
      <c r="BT86" s="524"/>
    </row>
    <row r="87" spans="1:72" ht="15" x14ac:dyDescent="0.25">
      <c r="A87" s="510"/>
      <c r="B87" s="1099"/>
      <c r="C87" s="1403" t="s">
        <v>157</v>
      </c>
      <c r="D87" s="1404"/>
      <c r="E87" s="1456">
        <f>SUM(E80:G86)</f>
        <v>0</v>
      </c>
      <c r="F87" s="1457"/>
      <c r="G87" s="1458"/>
      <c r="H87" s="211"/>
      <c r="AI87" s="509"/>
      <c r="AJ87" s="523"/>
      <c r="AS87" s="509"/>
      <c r="AT87" s="809"/>
      <c r="AU87" s="809"/>
      <c r="AV87" s="809"/>
      <c r="AW87" s="809"/>
      <c r="AX87" s="809"/>
      <c r="AY87"/>
      <c r="AZ87"/>
      <c r="BA87" s="515"/>
      <c r="BB87" s="515"/>
      <c r="BE87" s="509"/>
      <c r="BF87" s="810"/>
      <c r="BG87" s="810"/>
      <c r="BH87" s="810"/>
      <c r="BI87" s="810"/>
      <c r="BJ87" s="810"/>
      <c r="BK87" s="810"/>
      <c r="BL87" s="810"/>
      <c r="BM87" s="810"/>
      <c r="BN87" s="810"/>
      <c r="BO87" s="810"/>
      <c r="BP87" s="525"/>
      <c r="BQ87" s="524"/>
      <c r="BR87" s="524"/>
      <c r="BS87" s="524"/>
      <c r="BT87" s="524"/>
    </row>
    <row r="88" spans="1:72" ht="30.75" customHeight="1" x14ac:dyDescent="0.25">
      <c r="A88" s="510"/>
      <c r="B88" s="152" t="s">
        <v>1770</v>
      </c>
      <c r="C88" s="538"/>
      <c r="D88" s="539"/>
      <c r="E88" s="1450">
        <f>+E87+E78+E69</f>
        <v>0</v>
      </c>
      <c r="F88" s="1451"/>
      <c r="G88" s="1452"/>
      <c r="H88" s="769" t="str">
        <f>IF(E88&lt;&gt;E32, "Invalid Input. You must adjust either the Total Units or the Unit Mix", "OK")</f>
        <v>OK</v>
      </c>
      <c r="AI88" s="509" t="s">
        <v>515</v>
      </c>
      <c r="AJ88" s="523">
        <f>32750*2</f>
        <v>65500</v>
      </c>
      <c r="AS88" s="509"/>
      <c r="AT88" s="809"/>
      <c r="AU88" s="809"/>
      <c r="AV88" s="809"/>
      <c r="AW88" s="809"/>
      <c r="AX88" s="809"/>
      <c r="AY88"/>
      <c r="AZ88"/>
      <c r="BA88" s="515"/>
      <c r="BB88" s="515"/>
      <c r="BE88" s="509"/>
      <c r="BF88" s="810"/>
      <c r="BG88" s="810"/>
      <c r="BH88" s="810"/>
      <c r="BI88" s="810"/>
      <c r="BJ88" s="810"/>
      <c r="BK88" s="810"/>
      <c r="BL88" s="810"/>
      <c r="BM88" s="810"/>
      <c r="BN88" s="810"/>
      <c r="BO88" s="810"/>
      <c r="BP88" s="525"/>
      <c r="BQ88" s="524"/>
      <c r="BR88" s="524"/>
      <c r="BS88" s="524"/>
      <c r="BT88" s="524"/>
    </row>
    <row r="89" spans="1:72" ht="15" x14ac:dyDescent="0.25">
      <c r="A89" s="510"/>
      <c r="B89" s="206"/>
      <c r="C89" s="206"/>
      <c r="D89" s="206"/>
      <c r="E89" s="206"/>
      <c r="F89" s="206"/>
      <c r="G89" s="206"/>
      <c r="H89" s="211"/>
      <c r="AI89" s="509" t="s">
        <v>516</v>
      </c>
      <c r="AJ89" s="523">
        <f>25400*2</f>
        <v>50800</v>
      </c>
      <c r="AS89" s="509"/>
      <c r="AT89" s="809"/>
      <c r="AU89" s="809"/>
      <c r="AV89" s="809"/>
      <c r="AW89" s="809"/>
      <c r="AX89" s="809"/>
      <c r="AY89"/>
      <c r="AZ89"/>
      <c r="BA89" s="515"/>
      <c r="BB89" s="515"/>
      <c r="BE89" s="509"/>
      <c r="BF89" s="810"/>
      <c r="BG89" s="810"/>
      <c r="BH89" s="810"/>
      <c r="BI89" s="810"/>
      <c r="BJ89" s="810"/>
      <c r="BK89" s="810"/>
      <c r="BL89" s="810"/>
      <c r="BM89" s="810"/>
      <c r="BN89" s="810"/>
      <c r="BO89" s="810"/>
      <c r="BP89" s="525"/>
      <c r="BQ89" s="524"/>
      <c r="BR89" s="524"/>
      <c r="BS89" s="524"/>
      <c r="BT89" s="524"/>
    </row>
    <row r="90" spans="1:72" ht="15.75" thickBot="1" x14ac:dyDescent="0.3">
      <c r="A90" s="510"/>
      <c r="B90" s="743" t="s">
        <v>1138</v>
      </c>
      <c r="C90" s="743"/>
      <c r="D90" s="743"/>
      <c r="E90" s="743"/>
      <c r="F90" s="743"/>
      <c r="G90" s="743"/>
      <c r="H90" s="211"/>
      <c r="AI90" s="509" t="s">
        <v>517</v>
      </c>
      <c r="AJ90" s="523">
        <f>24400*2</f>
        <v>48800</v>
      </c>
      <c r="AS90" s="509"/>
      <c r="AT90" s="809"/>
      <c r="AU90" s="809"/>
      <c r="AV90" s="809"/>
      <c r="AW90" s="809"/>
      <c r="AX90" s="809"/>
      <c r="AY90"/>
      <c r="AZ90"/>
      <c r="BA90" s="515"/>
      <c r="BB90" s="515"/>
      <c r="BE90" s="509"/>
      <c r="BF90" s="810"/>
      <c r="BG90" s="810"/>
      <c r="BH90" s="810"/>
      <c r="BI90" s="810"/>
      <c r="BJ90" s="810"/>
      <c r="BK90" s="810"/>
      <c r="BL90" s="810"/>
      <c r="BM90" s="810"/>
      <c r="BN90" s="810"/>
      <c r="BO90" s="810"/>
      <c r="BP90" s="525"/>
      <c r="BQ90" s="524"/>
      <c r="BR90" s="524"/>
      <c r="BS90" s="524"/>
      <c r="BT90" s="524"/>
    </row>
    <row r="91" spans="1:72" ht="15.75" thickTop="1" x14ac:dyDescent="0.25">
      <c r="A91" s="510"/>
      <c r="B91" s="150" t="s">
        <v>58</v>
      </c>
      <c r="C91" s="745"/>
      <c r="D91" s="537"/>
      <c r="E91" s="1464">
        <f>+Lists!Q76</f>
        <v>0</v>
      </c>
      <c r="F91" s="1465"/>
      <c r="G91" s="1465"/>
      <c r="H91" s="211"/>
      <c r="AI91" s="509" t="s">
        <v>518</v>
      </c>
      <c r="AJ91" s="523">
        <f>24400*2</f>
        <v>48800</v>
      </c>
      <c r="AS91" s="509"/>
      <c r="AT91" s="809"/>
      <c r="AU91" s="809"/>
      <c r="AV91" s="809"/>
      <c r="AW91" s="809"/>
      <c r="AX91" s="809"/>
      <c r="AY91"/>
      <c r="AZ91"/>
      <c r="BA91" s="515"/>
      <c r="BB91" s="515"/>
      <c r="BE91" s="509"/>
      <c r="BF91" s="810"/>
      <c r="BG91" s="810"/>
      <c r="BH91" s="810"/>
      <c r="BI91" s="810"/>
      <c r="BJ91" s="810"/>
      <c r="BK91" s="810"/>
      <c r="BL91" s="810"/>
      <c r="BM91" s="810"/>
      <c r="BN91" s="810"/>
      <c r="BO91" s="810"/>
      <c r="BP91" s="525"/>
      <c r="BQ91" s="524"/>
      <c r="BR91" s="524"/>
      <c r="BS91" s="524"/>
      <c r="BT91" s="524"/>
    </row>
    <row r="92" spans="1:72" ht="15" x14ac:dyDescent="0.25">
      <c r="A92" s="510"/>
      <c r="B92" s="151" t="s">
        <v>57</v>
      </c>
      <c r="C92" s="538"/>
      <c r="D92" s="539"/>
      <c r="E92" s="1466">
        <f>+Lists!R76</f>
        <v>0</v>
      </c>
      <c r="F92" s="1467"/>
      <c r="G92" s="1467"/>
      <c r="H92" s="211"/>
      <c r="AI92" s="509" t="s">
        <v>519</v>
      </c>
      <c r="AJ92" s="523">
        <f>24850*2</f>
        <v>49700</v>
      </c>
      <c r="AS92" s="509"/>
      <c r="AT92" s="809"/>
      <c r="AU92" s="809"/>
      <c r="AV92" s="809"/>
      <c r="AW92" s="809"/>
      <c r="AX92" s="809"/>
      <c r="AY92"/>
      <c r="AZ92"/>
      <c r="BA92" s="515"/>
      <c r="BB92" s="515"/>
      <c r="BE92" s="509"/>
      <c r="BF92" s="810"/>
      <c r="BG92" s="810"/>
      <c r="BH92" s="810"/>
      <c r="BI92" s="810"/>
      <c r="BJ92" s="810"/>
      <c r="BK92" s="810"/>
      <c r="BL92" s="810"/>
      <c r="BM92" s="810"/>
      <c r="BN92" s="810"/>
      <c r="BO92" s="810"/>
      <c r="BP92" s="525"/>
      <c r="BQ92" s="524"/>
      <c r="BR92" s="524"/>
      <c r="BS92" s="524"/>
      <c r="BT92" s="524"/>
    </row>
    <row r="93" spans="1:72" ht="15" x14ac:dyDescent="0.25">
      <c r="A93" s="510"/>
      <c r="B93" s="151" t="s">
        <v>59</v>
      </c>
      <c r="C93" s="538"/>
      <c r="D93" s="744"/>
      <c r="E93" s="1466">
        <f>+Lists!S76</f>
        <v>0</v>
      </c>
      <c r="F93" s="1467"/>
      <c r="G93" s="1467"/>
      <c r="H93" s="211"/>
      <c r="AI93" s="509" t="s">
        <v>520</v>
      </c>
      <c r="AJ93" s="523">
        <f>33450*2</f>
        <v>66900</v>
      </c>
      <c r="AS93" s="509"/>
      <c r="AT93" s="809"/>
      <c r="AU93" s="809"/>
      <c r="AV93" s="809"/>
      <c r="AW93" s="809"/>
      <c r="AX93" s="809"/>
      <c r="AY93"/>
      <c r="AZ93"/>
      <c r="BA93" s="515"/>
      <c r="BB93" s="515"/>
      <c r="BE93" s="509"/>
      <c r="BF93" s="810"/>
      <c r="BG93" s="810"/>
      <c r="BH93" s="810"/>
      <c r="BI93" s="810"/>
      <c r="BJ93" s="810"/>
      <c r="BK93" s="810"/>
      <c r="BL93" s="810"/>
      <c r="BM93" s="810"/>
      <c r="BN93" s="810"/>
      <c r="BO93" s="810"/>
      <c r="BP93" s="525"/>
      <c r="BQ93" s="524"/>
      <c r="BR93" s="524"/>
      <c r="BS93" s="524"/>
      <c r="BT93" s="524"/>
    </row>
    <row r="94" spans="1:72" ht="15" x14ac:dyDescent="0.25">
      <c r="A94" s="510"/>
      <c r="B94" s="151" t="s">
        <v>60</v>
      </c>
      <c r="C94" s="538"/>
      <c r="D94" s="539"/>
      <c r="E94" s="1466">
        <f>+Lists!T76</f>
        <v>0</v>
      </c>
      <c r="F94" s="1467"/>
      <c r="G94" s="1467"/>
      <c r="H94" s="529"/>
      <c r="AI94" s="509" t="s">
        <v>521</v>
      </c>
      <c r="AJ94" s="523">
        <f>30000*2</f>
        <v>60000</v>
      </c>
      <c r="AS94" s="509"/>
      <c r="AT94" s="809"/>
      <c r="AU94" s="809"/>
      <c r="AV94" s="809"/>
      <c r="AW94" s="809"/>
      <c r="AX94" s="809"/>
      <c r="AY94"/>
      <c r="AZ94"/>
      <c r="BA94" s="515"/>
      <c r="BB94" s="515"/>
      <c r="BE94" s="509"/>
      <c r="BF94" s="810"/>
      <c r="BG94" s="810"/>
      <c r="BH94" s="810"/>
      <c r="BI94" s="810"/>
      <c r="BJ94" s="810"/>
      <c r="BK94" s="810"/>
      <c r="BL94" s="810"/>
      <c r="BM94" s="810"/>
      <c r="BN94" s="810"/>
      <c r="BO94" s="810"/>
      <c r="BP94" s="525"/>
      <c r="BQ94" s="524"/>
      <c r="BR94" s="524"/>
      <c r="BS94" s="524"/>
      <c r="BT94" s="524"/>
    </row>
    <row r="95" spans="1:72" ht="15" x14ac:dyDescent="0.25">
      <c r="A95" s="510"/>
      <c r="B95" s="151" t="s">
        <v>61</v>
      </c>
      <c r="C95" s="538"/>
      <c r="D95" s="539"/>
      <c r="E95" s="1466">
        <f>+Lists!U76</f>
        <v>0</v>
      </c>
      <c r="F95" s="1467"/>
      <c r="G95" s="1467"/>
      <c r="H95" s="211"/>
      <c r="AI95" s="509" t="s">
        <v>522</v>
      </c>
      <c r="AJ95" s="523">
        <f>32750*2</f>
        <v>65500</v>
      </c>
      <c r="AS95" s="509"/>
      <c r="AT95" s="809"/>
      <c r="AU95" s="809"/>
      <c r="AV95" s="809"/>
      <c r="AW95" s="809"/>
      <c r="AX95" s="809"/>
      <c r="AY95"/>
      <c r="AZ95"/>
      <c r="BA95" s="515"/>
      <c r="BB95" s="515"/>
      <c r="BE95" s="509"/>
      <c r="BF95" s="810"/>
      <c r="BG95" s="810"/>
      <c r="BH95" s="810"/>
      <c r="BI95" s="810"/>
      <c r="BJ95" s="810"/>
      <c r="BK95" s="810"/>
      <c r="BL95" s="810"/>
      <c r="BM95" s="810"/>
      <c r="BN95" s="810"/>
      <c r="BO95" s="810"/>
      <c r="BP95" s="525"/>
      <c r="BQ95" s="524"/>
      <c r="BR95" s="524"/>
      <c r="BS95" s="524"/>
      <c r="BT95" s="524"/>
    </row>
    <row r="96" spans="1:72" ht="15" x14ac:dyDescent="0.25">
      <c r="A96" s="510"/>
      <c r="B96" s="151" t="s">
        <v>62</v>
      </c>
      <c r="C96" s="538"/>
      <c r="D96" s="744"/>
      <c r="E96" s="1466">
        <f>+E95</f>
        <v>0</v>
      </c>
      <c r="F96" s="1467"/>
      <c r="G96" s="1467"/>
      <c r="H96" s="211"/>
      <c r="AI96" s="509" t="s">
        <v>523</v>
      </c>
      <c r="AJ96" s="726">
        <f>33450*2</f>
        <v>66900</v>
      </c>
      <c r="AS96" s="509"/>
      <c r="AT96" s="809"/>
      <c r="AU96" s="809"/>
      <c r="AV96" s="809"/>
      <c r="AW96" s="809"/>
      <c r="AX96" s="809"/>
      <c r="AY96"/>
      <c r="AZ96"/>
      <c r="BA96" s="515"/>
      <c r="BB96" s="515"/>
      <c r="BE96" s="509"/>
      <c r="BF96" s="810"/>
      <c r="BG96" s="810"/>
      <c r="BH96" s="810"/>
      <c r="BI96" s="810"/>
      <c r="BJ96" s="810"/>
      <c r="BK96" s="810"/>
      <c r="BL96" s="810"/>
      <c r="BM96" s="810"/>
      <c r="BN96" s="810"/>
      <c r="BO96" s="810"/>
      <c r="BP96" s="525"/>
      <c r="BQ96" s="524"/>
      <c r="BR96" s="524"/>
      <c r="BS96" s="524"/>
      <c r="BT96" s="524"/>
    </row>
    <row r="97" spans="1:72" ht="15" x14ac:dyDescent="0.25">
      <c r="A97" s="510"/>
      <c r="B97" s="1471"/>
      <c r="C97" s="1472"/>
      <c r="D97" s="1472"/>
      <c r="E97" s="1472"/>
      <c r="F97" s="1472"/>
      <c r="G97" s="1472"/>
      <c r="H97" s="211"/>
      <c r="Q97" s="7"/>
      <c r="R97" s="7"/>
      <c r="AI97" s="509" t="s">
        <v>524</v>
      </c>
      <c r="AJ97" s="726">
        <f>30000*2</f>
        <v>60000</v>
      </c>
      <c r="AS97" s="509"/>
      <c r="AT97" s="809"/>
      <c r="AU97" s="809"/>
      <c r="AV97" s="809"/>
      <c r="AW97" s="809"/>
      <c r="AX97" s="809"/>
      <c r="AY97"/>
      <c r="AZ97"/>
      <c r="BA97" s="515"/>
      <c r="BB97" s="515"/>
      <c r="BE97" s="509"/>
      <c r="BF97" s="810"/>
      <c r="BG97" s="810"/>
      <c r="BH97" s="810"/>
      <c r="BI97" s="810"/>
      <c r="BJ97" s="810"/>
      <c r="BK97" s="810"/>
      <c r="BL97" s="810"/>
      <c r="BM97" s="810"/>
      <c r="BN97" s="810"/>
      <c r="BO97" s="810"/>
      <c r="BP97" s="525"/>
      <c r="BQ97" s="524"/>
      <c r="BR97" s="524"/>
      <c r="BS97" s="524"/>
      <c r="BT97" s="524"/>
    </row>
    <row r="98" spans="1:72" ht="15.75" thickBot="1" x14ac:dyDescent="0.3">
      <c r="A98" s="510"/>
      <c r="B98" s="1473"/>
      <c r="C98" s="1474"/>
      <c r="D98" s="1474"/>
      <c r="E98" s="1474"/>
      <c r="F98" s="1474"/>
      <c r="G98" s="1474"/>
      <c r="H98" s="211"/>
      <c r="Q98" s="7"/>
      <c r="R98" s="7"/>
      <c r="AI98" s="509" t="s">
        <v>525</v>
      </c>
      <c r="AJ98" s="523">
        <f>24400*2</f>
        <v>48800</v>
      </c>
      <c r="AS98" s="509"/>
      <c r="AT98" s="809"/>
      <c r="AU98" s="809"/>
      <c r="AV98" s="809"/>
      <c r="AW98" s="809"/>
      <c r="AX98" s="809"/>
      <c r="AY98"/>
      <c r="AZ98"/>
      <c r="BA98" s="515"/>
      <c r="BB98" s="515"/>
      <c r="BE98" s="509"/>
      <c r="BF98" s="810"/>
      <c r="BG98" s="810"/>
      <c r="BH98" s="810"/>
      <c r="BI98" s="810"/>
      <c r="BJ98" s="810"/>
      <c r="BK98" s="810"/>
      <c r="BL98" s="810"/>
      <c r="BM98" s="810"/>
      <c r="BN98" s="810"/>
      <c r="BO98" s="810"/>
      <c r="BP98" s="525"/>
      <c r="BQ98" s="524"/>
      <c r="BR98" s="524"/>
      <c r="BS98" s="524"/>
      <c r="BT98" s="524"/>
    </row>
    <row r="99" spans="1:72" ht="16.5" thickTop="1" thickBot="1" x14ac:dyDescent="0.3">
      <c r="A99" s="510"/>
      <c r="B99" s="1468" t="s">
        <v>1139</v>
      </c>
      <c r="C99" s="1469"/>
      <c r="D99" s="1469"/>
      <c r="E99" s="1469"/>
      <c r="F99" s="1469"/>
      <c r="G99" s="1470"/>
      <c r="H99" s="211"/>
      <c r="Q99" s="7"/>
      <c r="R99" s="7"/>
      <c r="AI99" s="509" t="s">
        <v>526</v>
      </c>
      <c r="AJ99" s="523">
        <f>31650*2</f>
        <v>63300</v>
      </c>
      <c r="AS99" s="509"/>
      <c r="AT99" s="809"/>
      <c r="AU99" s="809"/>
      <c r="AV99" s="809"/>
      <c r="AW99" s="809"/>
      <c r="AX99" s="809"/>
      <c r="AY99"/>
      <c r="AZ99"/>
      <c r="BA99" s="515"/>
      <c r="BB99" s="515"/>
      <c r="BE99" s="509"/>
      <c r="BF99" s="810"/>
      <c r="BG99" s="810"/>
      <c r="BH99" s="810"/>
      <c r="BI99" s="810"/>
      <c r="BJ99" s="810"/>
      <c r="BK99" s="810"/>
      <c r="BL99" s="810"/>
      <c r="BM99" s="810"/>
      <c r="BN99" s="810"/>
      <c r="BO99" s="810"/>
      <c r="BP99" s="525"/>
      <c r="BQ99" s="524"/>
      <c r="BR99" s="524"/>
      <c r="BS99" s="524"/>
      <c r="BT99" s="524"/>
    </row>
    <row r="100" spans="1:72" ht="15.75" thickTop="1" x14ac:dyDescent="0.25">
      <c r="A100" s="746"/>
      <c r="B100" s="150" t="s">
        <v>65</v>
      </c>
      <c r="C100" s="542"/>
      <c r="D100" s="537"/>
      <c r="E100" s="1475"/>
      <c r="F100" s="1476"/>
      <c r="G100" s="1477"/>
      <c r="H100" s="749"/>
      <c r="Q100" s="7"/>
      <c r="R100" s="7"/>
      <c r="AI100" s="509" t="s">
        <v>527</v>
      </c>
      <c r="AJ100" s="523">
        <f>25300*2</f>
        <v>50600</v>
      </c>
      <c r="AS100" s="509"/>
      <c r="AT100" s="809"/>
      <c r="AU100" s="809"/>
      <c r="AV100" s="809"/>
      <c r="AW100" s="809"/>
      <c r="AX100" s="809"/>
      <c r="AY100"/>
      <c r="AZ100"/>
      <c r="BA100" s="515"/>
      <c r="BB100" s="515"/>
      <c r="BE100" s="509"/>
      <c r="BF100" s="810"/>
      <c r="BG100" s="810"/>
      <c r="BH100" s="810"/>
      <c r="BI100" s="810"/>
      <c r="BJ100" s="810"/>
      <c r="BK100" s="810"/>
      <c r="BL100" s="810"/>
      <c r="BM100" s="810"/>
      <c r="BN100" s="810"/>
      <c r="BO100" s="810"/>
      <c r="BP100" s="525"/>
      <c r="BQ100" s="524"/>
      <c r="BR100" s="524"/>
      <c r="BS100" s="524"/>
      <c r="BT100" s="524"/>
    </row>
    <row r="101" spans="1:72" ht="15" x14ac:dyDescent="0.25">
      <c r="A101" s="510"/>
      <c r="B101" s="153" t="s">
        <v>547</v>
      </c>
      <c r="C101" s="543"/>
      <c r="D101" s="544"/>
      <c r="E101" s="1478"/>
      <c r="F101" s="1479"/>
      <c r="G101" s="1480"/>
      <c r="H101" s="211"/>
      <c r="AI101" s="509" t="s">
        <v>528</v>
      </c>
      <c r="AJ101" s="523">
        <f>30000*2</f>
        <v>60000</v>
      </c>
      <c r="AS101" s="509"/>
      <c r="AT101" s="809"/>
      <c r="AU101" s="809"/>
      <c r="AV101" s="809"/>
      <c r="AW101" s="809"/>
      <c r="AX101" s="809"/>
      <c r="AY101"/>
      <c r="AZ101"/>
      <c r="BA101" s="515"/>
      <c r="BB101" s="515"/>
      <c r="BE101" s="509"/>
      <c r="BF101" s="810"/>
      <c r="BG101" s="810"/>
      <c r="BH101" s="810"/>
      <c r="BI101" s="810"/>
      <c r="BJ101" s="810"/>
      <c r="BK101" s="810"/>
      <c r="BL101" s="810"/>
      <c r="BM101" s="810"/>
      <c r="BN101" s="810"/>
      <c r="BO101" s="810"/>
      <c r="BP101" s="525"/>
      <c r="BQ101" s="524"/>
      <c r="BR101" s="524"/>
      <c r="BS101" s="524"/>
      <c r="BT101" s="524"/>
    </row>
    <row r="102" spans="1:72" ht="15" x14ac:dyDescent="0.25">
      <c r="A102" s="747"/>
      <c r="B102" s="151" t="s">
        <v>66</v>
      </c>
      <c r="C102" s="151"/>
      <c r="D102" s="151"/>
      <c r="E102" s="1481"/>
      <c r="F102" s="1482"/>
      <c r="G102" s="1483"/>
      <c r="H102" s="750"/>
      <c r="AI102" s="509" t="s">
        <v>529</v>
      </c>
      <c r="AJ102" s="523">
        <f>24500*2</f>
        <v>49000</v>
      </c>
      <c r="AS102" s="509"/>
      <c r="AT102" s="809"/>
      <c r="AU102" s="809"/>
      <c r="AV102" s="809"/>
      <c r="AW102" s="809"/>
      <c r="AX102" s="809"/>
      <c r="AY102"/>
      <c r="AZ102"/>
      <c r="BA102" s="515"/>
      <c r="BB102" s="515"/>
      <c r="BE102" s="509"/>
      <c r="BF102" s="810"/>
      <c r="BG102" s="810"/>
      <c r="BH102" s="810"/>
      <c r="BI102" s="810"/>
      <c r="BJ102" s="810"/>
      <c r="BK102" s="810"/>
      <c r="BL102" s="810"/>
      <c r="BM102" s="810"/>
      <c r="BN102" s="810"/>
      <c r="BO102" s="810"/>
      <c r="BP102" s="525"/>
      <c r="BQ102" s="524"/>
      <c r="BR102" s="524"/>
      <c r="BS102" s="524"/>
      <c r="BT102" s="524"/>
    </row>
    <row r="103" spans="1:72" ht="15" x14ac:dyDescent="0.25">
      <c r="A103" s="746"/>
      <c r="B103" s="151" t="s">
        <v>67</v>
      </c>
      <c r="C103" s="151"/>
      <c r="D103" s="151"/>
      <c r="E103" s="1481"/>
      <c r="F103" s="1482"/>
      <c r="G103" s="1483"/>
      <c r="H103" s="749"/>
      <c r="AI103" s="509" t="s">
        <v>530</v>
      </c>
      <c r="AJ103" s="726">
        <f>24400*2</f>
        <v>48800</v>
      </c>
      <c r="AS103"/>
      <c r="AT103" s="735"/>
      <c r="AU103" s="735"/>
      <c r="AV103" s="735"/>
      <c r="AW103" s="735"/>
      <c r="AX103" s="735"/>
      <c r="AY103"/>
      <c r="AZ103"/>
      <c r="BA103" s="515"/>
      <c r="BB103" s="515"/>
      <c r="BE103" s="509"/>
      <c r="BF103" s="810"/>
      <c r="BG103" s="810"/>
      <c r="BH103" s="810"/>
      <c r="BI103" s="810"/>
      <c r="BJ103" s="810"/>
      <c r="BK103" s="810"/>
      <c r="BL103" s="810"/>
      <c r="BM103" s="810"/>
      <c r="BN103" s="810"/>
      <c r="BO103" s="810"/>
      <c r="BP103" s="525"/>
      <c r="BQ103" s="524"/>
      <c r="BR103" s="524"/>
      <c r="BS103" s="524"/>
      <c r="BT103" s="524"/>
    </row>
    <row r="104" spans="1:72" ht="15" x14ac:dyDescent="0.25">
      <c r="A104" s="746"/>
      <c r="B104" s="206"/>
      <c r="C104" s="206"/>
      <c r="D104" s="206"/>
      <c r="E104" s="206"/>
      <c r="F104" s="206"/>
      <c r="G104" s="206"/>
      <c r="H104" s="749"/>
      <c r="AI104" s="509" t="s">
        <v>531</v>
      </c>
      <c r="AJ104" s="523">
        <f>29350*2</f>
        <v>58700</v>
      </c>
      <c r="AS104"/>
      <c r="AT104" s="735"/>
      <c r="AU104" s="735"/>
      <c r="AV104" s="735"/>
      <c r="AW104" s="735"/>
      <c r="AX104" s="735"/>
      <c r="AY104"/>
      <c r="AZ104"/>
      <c r="BA104" s="515"/>
      <c r="BB104" s="515"/>
      <c r="BE104" s="509"/>
      <c r="BF104" s="810"/>
      <c r="BG104" s="810"/>
      <c r="BH104" s="810"/>
      <c r="BI104" s="810"/>
      <c r="BJ104" s="810"/>
      <c r="BK104" s="810"/>
      <c r="BL104" s="810"/>
      <c r="BM104" s="810"/>
      <c r="BN104" s="810"/>
      <c r="BO104" s="810"/>
      <c r="BP104" s="525"/>
      <c r="BQ104" s="524"/>
      <c r="BR104" s="524"/>
      <c r="BS104" s="524"/>
      <c r="BT104" s="524"/>
    </row>
    <row r="105" spans="1:72" ht="15" x14ac:dyDescent="0.25">
      <c r="A105" s="746"/>
      <c r="B105" s="206"/>
      <c r="C105" s="206"/>
      <c r="D105" s="206"/>
      <c r="E105" s="206"/>
      <c r="F105" s="206"/>
      <c r="G105" s="206"/>
      <c r="H105" s="749"/>
      <c r="AI105" s="509" t="s">
        <v>532</v>
      </c>
      <c r="AJ105" s="523">
        <f>25000*2</f>
        <v>50000</v>
      </c>
      <c r="AS105"/>
      <c r="AT105" s="735"/>
      <c r="AU105" s="735"/>
      <c r="AV105" s="735"/>
      <c r="AW105" s="735"/>
      <c r="AX105" s="735"/>
      <c r="AY105"/>
      <c r="AZ105"/>
      <c r="BA105" s="515"/>
      <c r="BB105" s="515"/>
      <c r="BE105" s="509"/>
      <c r="BF105" s="810"/>
      <c r="BG105" s="810"/>
      <c r="BH105" s="810"/>
      <c r="BI105" s="810"/>
      <c r="BJ105" s="810"/>
      <c r="BK105" s="810"/>
      <c r="BL105" s="810"/>
      <c r="BM105" s="810"/>
      <c r="BN105" s="810"/>
      <c r="BO105" s="810"/>
      <c r="BP105" s="525"/>
      <c r="BQ105" s="524"/>
      <c r="BR105" s="524"/>
      <c r="BS105" s="524"/>
      <c r="BT105" s="524"/>
    </row>
    <row r="106" spans="1:72" ht="15" x14ac:dyDescent="0.25">
      <c r="A106" s="746"/>
      <c r="B106" s="206"/>
      <c r="C106" s="206"/>
      <c r="D106" s="206"/>
      <c r="E106" s="206"/>
      <c r="F106" s="206"/>
      <c r="G106" s="206"/>
      <c r="H106" s="749"/>
      <c r="AI106" s="509" t="s">
        <v>533</v>
      </c>
      <c r="AJ106" s="523">
        <f>29500*2</f>
        <v>59000</v>
      </c>
      <c r="AS106"/>
      <c r="AT106" s="735"/>
      <c r="AU106" s="735"/>
      <c r="AV106" s="735"/>
      <c r="AW106" s="735"/>
      <c r="AX106" s="735"/>
      <c r="AY106"/>
      <c r="AZ106"/>
      <c r="BA106" s="515"/>
      <c r="BB106" s="515"/>
      <c r="BE106" s="509"/>
      <c r="BF106" s="810"/>
      <c r="BG106" s="810"/>
      <c r="BH106" s="810"/>
      <c r="BI106" s="810"/>
      <c r="BJ106" s="810"/>
      <c r="BK106" s="810"/>
      <c r="BL106" s="810"/>
      <c r="BM106" s="810"/>
      <c r="BN106" s="810"/>
      <c r="BO106" s="810"/>
      <c r="BP106" s="525"/>
      <c r="BQ106" s="524"/>
      <c r="BR106" s="524"/>
      <c r="BS106" s="524"/>
      <c r="BT106" s="524"/>
    </row>
    <row r="107" spans="1:72" ht="15" x14ac:dyDescent="0.25">
      <c r="A107" s="746"/>
      <c r="B107" s="206"/>
      <c r="C107" s="206"/>
      <c r="D107" s="206"/>
      <c r="E107" s="206"/>
      <c r="F107" s="206"/>
      <c r="G107" s="206"/>
      <c r="H107" s="749"/>
      <c r="AI107" s="509" t="s">
        <v>534</v>
      </c>
      <c r="AJ107" s="523">
        <v>27400</v>
      </c>
      <c r="AS107"/>
      <c r="AT107" s="735"/>
      <c r="AU107" s="735"/>
      <c r="AV107" s="735"/>
      <c r="AW107" s="735"/>
      <c r="AX107" s="735"/>
      <c r="AY107"/>
      <c r="AZ107"/>
      <c r="BA107" s="515"/>
      <c r="BB107" s="515"/>
      <c r="BE107" s="509"/>
      <c r="BF107" s="810"/>
      <c r="BG107" s="810"/>
      <c r="BH107" s="810"/>
      <c r="BI107" s="810"/>
      <c r="BJ107" s="810"/>
      <c r="BK107" s="810"/>
      <c r="BL107" s="810"/>
      <c r="BM107" s="810"/>
      <c r="BN107" s="810"/>
      <c r="BO107" s="810"/>
      <c r="BP107" s="525"/>
      <c r="BQ107" s="524"/>
      <c r="BR107" s="524"/>
      <c r="BS107" s="524"/>
      <c r="BT107" s="524"/>
    </row>
    <row r="108" spans="1:72" ht="15" x14ac:dyDescent="0.25">
      <c r="A108" s="746"/>
      <c r="B108" s="206"/>
      <c r="C108" s="206"/>
      <c r="D108" s="206"/>
      <c r="E108" s="206"/>
      <c r="F108" s="206"/>
      <c r="G108" s="206"/>
      <c r="H108" s="749"/>
      <c r="AI108" s="509" t="s">
        <v>535</v>
      </c>
      <c r="AJ108" s="523">
        <f>24400*2</f>
        <v>48800</v>
      </c>
      <c r="AS108"/>
      <c r="AT108" s="735"/>
      <c r="AU108" s="735"/>
      <c r="AV108" s="735"/>
      <c r="AW108" s="735"/>
      <c r="AX108" s="735"/>
      <c r="AY108"/>
      <c r="AZ108"/>
      <c r="BA108" s="515"/>
      <c r="BB108" s="515"/>
      <c r="BE108" s="509"/>
      <c r="BF108" s="810"/>
      <c r="BG108" s="810"/>
      <c r="BH108" s="810"/>
      <c r="BI108" s="810"/>
      <c r="BJ108" s="810"/>
      <c r="BK108" s="810"/>
      <c r="BL108" s="810"/>
      <c r="BM108" s="810"/>
      <c r="BN108" s="810"/>
      <c r="BO108" s="810"/>
      <c r="BP108" s="525"/>
      <c r="BQ108" s="524"/>
      <c r="BR108" s="524"/>
      <c r="BS108" s="524"/>
      <c r="BT108" s="524"/>
    </row>
    <row r="109" spans="1:72" ht="15" x14ac:dyDescent="0.25">
      <c r="A109" s="746"/>
      <c r="B109" s="206"/>
      <c r="C109" s="206"/>
      <c r="D109" s="206"/>
      <c r="E109" s="206"/>
      <c r="F109" s="206"/>
      <c r="G109" s="206"/>
      <c r="H109" s="749"/>
      <c r="AI109" s="509" t="s">
        <v>536</v>
      </c>
      <c r="AJ109" s="523">
        <f>24400*2</f>
        <v>48800</v>
      </c>
      <c r="AY109" s="515"/>
      <c r="AZ109" s="515"/>
      <c r="BA109" s="515"/>
      <c r="BB109" s="515"/>
      <c r="BE109" s="509"/>
      <c r="BF109" s="810"/>
      <c r="BG109" s="810"/>
      <c r="BH109" s="810"/>
      <c r="BI109" s="810"/>
      <c r="BJ109" s="810"/>
      <c r="BK109" s="810"/>
      <c r="BL109" s="810"/>
      <c r="BM109" s="810"/>
      <c r="BN109" s="810"/>
      <c r="BO109" s="810"/>
      <c r="BP109" s="525"/>
      <c r="BQ109" s="524"/>
      <c r="BR109" s="524"/>
      <c r="BS109" s="524"/>
      <c r="BT109" s="524"/>
    </row>
    <row r="110" spans="1:72" ht="15" x14ac:dyDescent="0.25">
      <c r="A110" s="746"/>
      <c r="B110" s="206"/>
      <c r="C110" s="206"/>
      <c r="D110" s="206"/>
      <c r="E110" s="206"/>
      <c r="F110" s="206"/>
      <c r="G110" s="206"/>
      <c r="H110" s="749"/>
      <c r="AI110" s="509" t="s">
        <v>537</v>
      </c>
      <c r="AJ110" s="523">
        <f>32750*2</f>
        <v>65500</v>
      </c>
      <c r="AY110" s="515"/>
      <c r="AZ110" s="515"/>
      <c r="BA110" s="515"/>
      <c r="BB110" s="515"/>
      <c r="BE110" s="509"/>
      <c r="BF110" s="810"/>
      <c r="BG110" s="810"/>
      <c r="BH110" s="810"/>
      <c r="BI110" s="810"/>
      <c r="BJ110" s="810"/>
      <c r="BK110" s="810"/>
      <c r="BL110" s="810"/>
      <c r="BM110" s="810"/>
      <c r="BN110" s="810"/>
      <c r="BO110" s="810"/>
      <c r="BP110" s="525"/>
      <c r="BQ110" s="524"/>
      <c r="BR110" s="524"/>
      <c r="BS110" s="524"/>
      <c r="BT110" s="524"/>
    </row>
    <row r="111" spans="1:72" ht="15.75" thickBot="1" x14ac:dyDescent="0.3">
      <c r="A111" s="748"/>
      <c r="B111" s="752"/>
      <c r="C111" s="545"/>
      <c r="D111" s="545"/>
      <c r="E111" s="545"/>
      <c r="F111" s="545"/>
      <c r="G111" s="545"/>
      <c r="H111" s="751"/>
      <c r="AI111" s="509" t="s">
        <v>538</v>
      </c>
      <c r="AJ111" s="523">
        <f>24400*2</f>
        <v>48800</v>
      </c>
      <c r="AY111" s="515"/>
      <c r="AZ111" s="515"/>
      <c r="BA111" s="515"/>
      <c r="BB111" s="515"/>
      <c r="BE111" s="509"/>
      <c r="BF111" s="810"/>
      <c r="BG111" s="810"/>
      <c r="BH111" s="810"/>
      <c r="BI111" s="810"/>
      <c r="BJ111" s="810"/>
      <c r="BK111" s="810"/>
      <c r="BL111" s="810"/>
      <c r="BM111" s="810"/>
      <c r="BN111" s="810"/>
      <c r="BO111" s="810"/>
      <c r="BP111" s="525"/>
      <c r="BQ111" s="524"/>
      <c r="BR111" s="524"/>
      <c r="BS111" s="524"/>
      <c r="BT111" s="524"/>
    </row>
    <row r="112" spans="1:72" ht="15.75" thickTop="1" x14ac:dyDescent="0.25">
      <c r="AI112" s="509" t="s">
        <v>539</v>
      </c>
      <c r="AJ112" s="523">
        <f>32750*2</f>
        <v>65500</v>
      </c>
      <c r="AS112" s="737"/>
      <c r="AT112" s="1462"/>
      <c r="AU112" s="1462"/>
      <c r="AV112" s="1462"/>
      <c r="AW112" s="1462"/>
      <c r="AX112" s="1463"/>
      <c r="AY112" s="515"/>
      <c r="AZ112" s="515"/>
      <c r="BA112" s="515"/>
      <c r="BB112" s="515"/>
      <c r="BE112" s="509"/>
      <c r="BF112" s="810"/>
      <c r="BG112" s="810"/>
      <c r="BH112" s="810"/>
      <c r="BI112" s="810"/>
      <c r="BJ112" s="810"/>
      <c r="BK112" s="810"/>
      <c r="BL112" s="810"/>
      <c r="BM112" s="810"/>
      <c r="BN112" s="810"/>
      <c r="BO112" s="810"/>
      <c r="BP112" s="525"/>
      <c r="BQ112" s="524"/>
      <c r="BR112" s="524"/>
      <c r="BS112" s="524"/>
      <c r="BT112" s="524"/>
    </row>
    <row r="113" spans="35:67" ht="15" x14ac:dyDescent="0.25">
      <c r="AI113" s="509" t="s">
        <v>540</v>
      </c>
      <c r="AJ113" s="523">
        <f>24400*2</f>
        <v>48800</v>
      </c>
      <c r="AS113" s="740"/>
      <c r="AT113" s="738"/>
      <c r="AU113" s="738"/>
      <c r="AV113" s="738"/>
      <c r="AW113" s="738"/>
      <c r="AX113" s="739"/>
      <c r="AY113" s="515"/>
      <c r="AZ113" s="515"/>
      <c r="BA113" s="515"/>
      <c r="BB113" s="515"/>
      <c r="BE113" s="509"/>
      <c r="BF113" s="810"/>
      <c r="BG113" s="810"/>
      <c r="BH113" s="810"/>
      <c r="BI113" s="810"/>
      <c r="BJ113" s="810"/>
      <c r="BK113" s="810"/>
      <c r="BL113" s="810"/>
      <c r="BM113" s="810"/>
      <c r="BN113" s="810"/>
      <c r="BO113" s="810"/>
    </row>
    <row r="114" spans="35:67" ht="15" x14ac:dyDescent="0.25">
      <c r="AS114" s="741"/>
      <c r="AT114" s="742"/>
      <c r="AU114" s="742"/>
      <c r="AV114" s="742"/>
      <c r="AW114" s="742"/>
      <c r="AX114" s="742"/>
      <c r="BE114" s="509"/>
      <c r="BF114" s="810"/>
      <c r="BG114" s="810"/>
      <c r="BH114" s="810"/>
      <c r="BI114" s="810"/>
      <c r="BJ114" s="810"/>
      <c r="BK114" s="810"/>
      <c r="BL114" s="810"/>
      <c r="BM114" s="810"/>
      <c r="BN114" s="810"/>
      <c r="BO114" s="810"/>
    </row>
    <row r="115" spans="35:67" ht="15" x14ac:dyDescent="0.25">
      <c r="AS115"/>
      <c r="AT115"/>
      <c r="AU115"/>
      <c r="AV115"/>
      <c r="AW115"/>
      <c r="AX115"/>
      <c r="BE115" s="509"/>
      <c r="BF115" s="810"/>
      <c r="BG115" s="810"/>
      <c r="BH115" s="810"/>
      <c r="BI115" s="810"/>
      <c r="BJ115" s="810"/>
      <c r="BK115" s="810"/>
      <c r="BL115" s="810"/>
      <c r="BM115" s="810"/>
      <c r="BN115" s="810"/>
      <c r="BO115" s="810"/>
    </row>
    <row r="116" spans="35:67" ht="15" x14ac:dyDescent="0.25">
      <c r="AS116" s="736"/>
      <c r="AT116" s="1462"/>
      <c r="AU116" s="1462"/>
      <c r="AV116" s="1462"/>
      <c r="AW116" s="1462"/>
      <c r="AX116" s="1463"/>
      <c r="BE116" s="509"/>
      <c r="BF116" s="810"/>
      <c r="BG116" s="810"/>
      <c r="BH116" s="810"/>
      <c r="BI116" s="810"/>
      <c r="BJ116" s="810"/>
      <c r="BK116" s="810"/>
      <c r="BL116" s="810"/>
      <c r="BM116" s="810"/>
      <c r="BN116" s="810"/>
      <c r="BO116" s="810"/>
    </row>
    <row r="117" spans="35:67" ht="15" x14ac:dyDescent="0.25">
      <c r="AS117" s="737"/>
      <c r="AT117" s="738"/>
      <c r="AU117" s="738"/>
      <c r="AV117" s="738"/>
      <c r="AW117" s="738"/>
      <c r="AX117" s="739"/>
      <c r="BE117" s="509"/>
      <c r="BF117" s="810"/>
      <c r="BG117" s="810"/>
      <c r="BH117" s="810"/>
      <c r="BI117" s="810"/>
      <c r="BJ117" s="810"/>
      <c r="BK117" s="810"/>
      <c r="BL117" s="810"/>
      <c r="BM117" s="810"/>
      <c r="BN117" s="810"/>
      <c r="BO117" s="810"/>
    </row>
    <row r="118" spans="35:67" ht="15" x14ac:dyDescent="0.25">
      <c r="AS118" s="741"/>
      <c r="AT118" s="737"/>
      <c r="AU118" s="737"/>
      <c r="AV118" s="737"/>
      <c r="AW118" s="737"/>
      <c r="AX118" s="737"/>
      <c r="BE118" s="509"/>
      <c r="BF118" s="810"/>
      <c r="BG118" s="810"/>
      <c r="BH118" s="810"/>
      <c r="BI118" s="810"/>
      <c r="BJ118" s="810"/>
      <c r="BK118" s="810"/>
      <c r="BL118" s="810"/>
      <c r="BM118" s="810"/>
      <c r="BN118" s="810"/>
      <c r="BO118" s="810"/>
    </row>
    <row r="119" spans="35:67" x14ac:dyDescent="0.2">
      <c r="AI119" s="4">
        <v>2016</v>
      </c>
      <c r="AJ119" s="4" t="s">
        <v>1135</v>
      </c>
    </row>
    <row r="120" spans="35:67" ht="12.75" x14ac:dyDescent="0.2">
      <c r="AI120" t="s">
        <v>916</v>
      </c>
      <c r="AJ120">
        <v>23600</v>
      </c>
      <c r="AK120" s="4">
        <v>2</v>
      </c>
      <c r="AL120" s="4">
        <f>+AJ120*AK120</f>
        <v>47200</v>
      </c>
    </row>
    <row r="121" spans="35:67" ht="12.75" x14ac:dyDescent="0.2">
      <c r="AI121" t="s">
        <v>920</v>
      </c>
      <c r="AJ121">
        <v>25400</v>
      </c>
      <c r="AK121" s="4">
        <v>2</v>
      </c>
      <c r="AL121" s="4">
        <f t="shared" ref="AL121:AL183" si="2">+AJ121*AK121</f>
        <v>50800</v>
      </c>
    </row>
    <row r="122" spans="35:67" ht="12.75" x14ac:dyDescent="0.2">
      <c r="AI122" t="s">
        <v>924</v>
      </c>
      <c r="AJ122">
        <v>33950</v>
      </c>
      <c r="AK122" s="4">
        <v>2</v>
      </c>
      <c r="AL122" s="4">
        <f t="shared" si="2"/>
        <v>67900</v>
      </c>
    </row>
    <row r="123" spans="35:67" ht="12.75" x14ac:dyDescent="0.2">
      <c r="AI123" t="s">
        <v>928</v>
      </c>
      <c r="AJ123">
        <v>28300</v>
      </c>
      <c r="AK123" s="4">
        <v>2</v>
      </c>
      <c r="AL123" s="4">
        <f t="shared" si="2"/>
        <v>56600</v>
      </c>
    </row>
    <row r="124" spans="35:67" ht="12.75" x14ac:dyDescent="0.2">
      <c r="AI124" t="s">
        <v>932</v>
      </c>
      <c r="AJ124">
        <v>23600</v>
      </c>
      <c r="AK124" s="4">
        <v>2</v>
      </c>
      <c r="AL124" s="4">
        <f t="shared" si="2"/>
        <v>47200</v>
      </c>
    </row>
    <row r="125" spans="35:67" ht="12.75" x14ac:dyDescent="0.2">
      <c r="AI125" t="s">
        <v>936</v>
      </c>
      <c r="AJ125">
        <v>31200</v>
      </c>
      <c r="AK125" s="4">
        <v>2</v>
      </c>
      <c r="AL125" s="4">
        <f t="shared" si="2"/>
        <v>62400</v>
      </c>
    </row>
    <row r="126" spans="35:67" ht="12.75" x14ac:dyDescent="0.2">
      <c r="AI126" t="s">
        <v>940</v>
      </c>
      <c r="AJ126">
        <v>23600</v>
      </c>
      <c r="AK126" s="4">
        <v>2</v>
      </c>
      <c r="AL126" s="4">
        <f t="shared" si="2"/>
        <v>47200</v>
      </c>
    </row>
    <row r="127" spans="35:67" ht="12.75" x14ac:dyDescent="0.2">
      <c r="AI127" t="s">
        <v>944</v>
      </c>
      <c r="AJ127">
        <v>28300</v>
      </c>
      <c r="AK127" s="4">
        <v>2</v>
      </c>
      <c r="AL127" s="4">
        <f t="shared" si="2"/>
        <v>56600</v>
      </c>
    </row>
    <row r="128" spans="35:67" ht="12.75" x14ac:dyDescent="0.2">
      <c r="AI128" t="s">
        <v>946</v>
      </c>
      <c r="AJ128">
        <v>28300</v>
      </c>
      <c r="AK128" s="4">
        <v>2</v>
      </c>
      <c r="AL128" s="4">
        <f t="shared" si="2"/>
        <v>56600</v>
      </c>
    </row>
    <row r="129" spans="35:38" ht="12.75" x14ac:dyDescent="0.2">
      <c r="AI129" t="s">
        <v>950</v>
      </c>
      <c r="AJ129">
        <v>29250</v>
      </c>
      <c r="AK129" s="4">
        <v>2</v>
      </c>
      <c r="AL129" s="4">
        <f t="shared" si="2"/>
        <v>58500</v>
      </c>
    </row>
    <row r="130" spans="35:38" ht="12.75" x14ac:dyDescent="0.2">
      <c r="AI130" t="s">
        <v>954</v>
      </c>
      <c r="AJ130">
        <v>24150</v>
      </c>
      <c r="AK130" s="4">
        <v>2</v>
      </c>
      <c r="AL130" s="4">
        <f t="shared" si="2"/>
        <v>48300</v>
      </c>
    </row>
    <row r="131" spans="35:38" ht="12.75" x14ac:dyDescent="0.2">
      <c r="AI131" t="s">
        <v>956</v>
      </c>
      <c r="AJ131">
        <v>29250</v>
      </c>
      <c r="AK131" s="4">
        <v>2</v>
      </c>
      <c r="AL131" s="4">
        <f t="shared" si="2"/>
        <v>58500</v>
      </c>
    </row>
    <row r="132" spans="35:38" ht="12.75" x14ac:dyDescent="0.2">
      <c r="AI132" t="s">
        <v>960</v>
      </c>
      <c r="AJ132">
        <v>24550</v>
      </c>
      <c r="AK132" s="4">
        <v>2</v>
      </c>
      <c r="AL132" s="4">
        <f t="shared" si="2"/>
        <v>49100</v>
      </c>
    </row>
    <row r="133" spans="35:38" ht="12.75" x14ac:dyDescent="0.2">
      <c r="AI133" t="s">
        <v>964</v>
      </c>
      <c r="AJ133">
        <v>23600</v>
      </c>
      <c r="AK133" s="4">
        <v>2</v>
      </c>
      <c r="AL133" s="4">
        <f t="shared" si="2"/>
        <v>47200</v>
      </c>
    </row>
    <row r="134" spans="35:38" ht="12.75" x14ac:dyDescent="0.2">
      <c r="AI134" t="s">
        <v>968</v>
      </c>
      <c r="AJ134">
        <v>23600</v>
      </c>
      <c r="AK134" s="4">
        <v>2</v>
      </c>
      <c r="AL134" s="4">
        <f t="shared" si="2"/>
        <v>47200</v>
      </c>
    </row>
    <row r="135" spans="35:38" ht="12.75" x14ac:dyDescent="0.2">
      <c r="AI135" t="s">
        <v>970</v>
      </c>
      <c r="AJ135">
        <v>28300</v>
      </c>
      <c r="AK135" s="4">
        <v>2</v>
      </c>
      <c r="AL135" s="4">
        <f t="shared" si="2"/>
        <v>56600</v>
      </c>
    </row>
    <row r="136" spans="35:38" ht="12.75" x14ac:dyDescent="0.2">
      <c r="AI136" t="s">
        <v>972</v>
      </c>
      <c r="AJ136">
        <v>33950</v>
      </c>
      <c r="AK136" s="4">
        <v>2</v>
      </c>
      <c r="AL136" s="4">
        <f t="shared" si="2"/>
        <v>67900</v>
      </c>
    </row>
    <row r="137" spans="35:38" ht="12.75" x14ac:dyDescent="0.2">
      <c r="AI137" t="s">
        <v>976</v>
      </c>
      <c r="AJ137">
        <v>23600</v>
      </c>
      <c r="AK137" s="4">
        <v>2</v>
      </c>
      <c r="AL137" s="4">
        <f t="shared" si="2"/>
        <v>47200</v>
      </c>
    </row>
    <row r="138" spans="35:38" ht="12.75" x14ac:dyDescent="0.2">
      <c r="AI138" t="s">
        <v>978</v>
      </c>
      <c r="AJ138">
        <v>33950</v>
      </c>
      <c r="AK138" s="4">
        <v>2</v>
      </c>
      <c r="AL138" s="4">
        <f t="shared" si="2"/>
        <v>67900</v>
      </c>
    </row>
    <row r="139" spans="35:38" ht="12.75" x14ac:dyDescent="0.2">
      <c r="AI139" t="s">
        <v>982</v>
      </c>
      <c r="AJ139">
        <v>23600</v>
      </c>
      <c r="AK139" s="4">
        <v>2</v>
      </c>
      <c r="AL139" s="4">
        <f t="shared" si="2"/>
        <v>47200</v>
      </c>
    </row>
    <row r="140" spans="35:38" ht="12.75" x14ac:dyDescent="0.2">
      <c r="AI140" t="s">
        <v>986</v>
      </c>
      <c r="AJ140">
        <v>23600</v>
      </c>
      <c r="AK140" s="4">
        <v>2</v>
      </c>
      <c r="AL140" s="4">
        <f t="shared" si="2"/>
        <v>47200</v>
      </c>
    </row>
    <row r="141" spans="35:38" ht="12.75" x14ac:dyDescent="0.2">
      <c r="AI141" t="s">
        <v>990</v>
      </c>
      <c r="AJ141">
        <v>27150</v>
      </c>
      <c r="AK141" s="4">
        <v>2</v>
      </c>
      <c r="AL141" s="4">
        <f t="shared" si="2"/>
        <v>54300</v>
      </c>
    </row>
    <row r="142" spans="35:38" ht="12.75" x14ac:dyDescent="0.2">
      <c r="AI142" t="s">
        <v>994</v>
      </c>
      <c r="AJ142">
        <v>26400</v>
      </c>
      <c r="AK142" s="4">
        <v>2</v>
      </c>
      <c r="AL142" s="4">
        <f t="shared" si="2"/>
        <v>52800</v>
      </c>
    </row>
    <row r="143" spans="35:38" ht="12.75" x14ac:dyDescent="0.2">
      <c r="AI143" t="s">
        <v>998</v>
      </c>
      <c r="AJ143">
        <v>27800</v>
      </c>
      <c r="AK143" s="4">
        <v>2</v>
      </c>
      <c r="AL143" s="4">
        <f t="shared" si="2"/>
        <v>55600</v>
      </c>
    </row>
    <row r="144" spans="35:38" ht="12.75" x14ac:dyDescent="0.2">
      <c r="AI144" t="s">
        <v>1002</v>
      </c>
      <c r="AJ144">
        <v>23750</v>
      </c>
      <c r="AK144" s="4">
        <v>2</v>
      </c>
      <c r="AL144" s="4">
        <f t="shared" si="2"/>
        <v>47500</v>
      </c>
    </row>
    <row r="145" spans="35:38" ht="12.75" x14ac:dyDescent="0.2">
      <c r="AI145" t="s">
        <v>1006</v>
      </c>
      <c r="AJ145">
        <v>31650</v>
      </c>
      <c r="AK145" s="4">
        <v>2</v>
      </c>
      <c r="AL145" s="4">
        <f t="shared" si="2"/>
        <v>63300</v>
      </c>
    </row>
    <row r="146" spans="35:38" ht="12.75" x14ac:dyDescent="0.2">
      <c r="AI146" t="s">
        <v>1010</v>
      </c>
      <c r="AJ146">
        <v>26200</v>
      </c>
      <c r="AK146" s="4">
        <v>2</v>
      </c>
      <c r="AL146" s="4">
        <f t="shared" si="2"/>
        <v>52400</v>
      </c>
    </row>
    <row r="147" spans="35:38" ht="12.75" x14ac:dyDescent="0.2">
      <c r="AI147" t="s">
        <v>1014</v>
      </c>
      <c r="AJ147">
        <v>32750</v>
      </c>
      <c r="AK147" s="4">
        <v>2</v>
      </c>
      <c r="AL147" s="4">
        <f t="shared" si="2"/>
        <v>65500</v>
      </c>
    </row>
    <row r="148" spans="35:38" ht="12.75" x14ac:dyDescent="0.2">
      <c r="AI148" t="s">
        <v>1018</v>
      </c>
      <c r="AJ148">
        <v>29300</v>
      </c>
      <c r="AK148" s="4">
        <v>2</v>
      </c>
      <c r="AL148" s="4">
        <f t="shared" si="2"/>
        <v>58600</v>
      </c>
    </row>
    <row r="149" spans="35:38" ht="12.75" x14ac:dyDescent="0.2">
      <c r="AI149" t="s">
        <v>1022</v>
      </c>
      <c r="AJ149">
        <v>28450</v>
      </c>
      <c r="AK149" s="4">
        <v>2</v>
      </c>
      <c r="AL149" s="4">
        <f t="shared" si="2"/>
        <v>56900</v>
      </c>
    </row>
    <row r="150" spans="35:38" ht="12.75" x14ac:dyDescent="0.2">
      <c r="AI150" t="s">
        <v>1026</v>
      </c>
      <c r="AJ150">
        <v>27050</v>
      </c>
      <c r="AK150" s="4">
        <v>2</v>
      </c>
      <c r="AL150" s="4">
        <f t="shared" si="2"/>
        <v>54100</v>
      </c>
    </row>
    <row r="151" spans="35:38" ht="12.75" x14ac:dyDescent="0.2">
      <c r="AI151" t="s">
        <v>1028</v>
      </c>
      <c r="AJ151">
        <v>33950</v>
      </c>
      <c r="AK151" s="4">
        <v>2</v>
      </c>
      <c r="AL151" s="4">
        <f t="shared" si="2"/>
        <v>67900</v>
      </c>
    </row>
    <row r="152" spans="35:38" ht="12.75" x14ac:dyDescent="0.2">
      <c r="AI152" t="s">
        <v>1032</v>
      </c>
      <c r="AJ152">
        <v>23600</v>
      </c>
      <c r="AK152" s="4">
        <v>2</v>
      </c>
      <c r="AL152" s="4">
        <f t="shared" si="2"/>
        <v>47200</v>
      </c>
    </row>
    <row r="153" spans="35:38" ht="12.75" x14ac:dyDescent="0.2">
      <c r="AI153" t="s">
        <v>1036</v>
      </c>
      <c r="AJ153">
        <v>23600</v>
      </c>
      <c r="AK153" s="4">
        <v>2</v>
      </c>
      <c r="AL153" s="4">
        <f t="shared" si="2"/>
        <v>47200</v>
      </c>
    </row>
    <row r="154" spans="35:38" ht="12.75" x14ac:dyDescent="0.2">
      <c r="AI154" t="s">
        <v>1040</v>
      </c>
      <c r="AJ154">
        <v>23600</v>
      </c>
      <c r="AK154" s="4">
        <v>2</v>
      </c>
      <c r="AL154" s="4">
        <f t="shared" si="2"/>
        <v>47200</v>
      </c>
    </row>
    <row r="155" spans="35:38" ht="12.75" x14ac:dyDescent="0.2">
      <c r="AI155" t="s">
        <v>1042</v>
      </c>
      <c r="AJ155">
        <v>31650</v>
      </c>
      <c r="AK155" s="4">
        <v>2</v>
      </c>
      <c r="AL155" s="4">
        <f t="shared" si="2"/>
        <v>63300</v>
      </c>
    </row>
    <row r="156" spans="35:38" ht="12.75" x14ac:dyDescent="0.2">
      <c r="AI156" t="s">
        <v>1046</v>
      </c>
      <c r="AJ156">
        <v>26300</v>
      </c>
      <c r="AK156" s="4">
        <v>2</v>
      </c>
      <c r="AL156" s="4">
        <f t="shared" si="2"/>
        <v>52600</v>
      </c>
    </row>
    <row r="157" spans="35:38" ht="12.75" x14ac:dyDescent="0.2">
      <c r="AI157" t="s">
        <v>1048</v>
      </c>
      <c r="AJ157">
        <v>31650</v>
      </c>
      <c r="AK157" s="4">
        <v>2</v>
      </c>
      <c r="AL157" s="4">
        <f t="shared" si="2"/>
        <v>63300</v>
      </c>
    </row>
    <row r="158" spans="35:38" ht="12.75" x14ac:dyDescent="0.2">
      <c r="AI158" t="s">
        <v>1050</v>
      </c>
      <c r="AJ158">
        <v>33950</v>
      </c>
      <c r="AK158" s="4">
        <v>2</v>
      </c>
      <c r="AL158" s="4">
        <f t="shared" si="2"/>
        <v>67900</v>
      </c>
    </row>
    <row r="159" spans="35:38" ht="12.75" x14ac:dyDescent="0.2">
      <c r="AI159" t="s">
        <v>1052</v>
      </c>
      <c r="AJ159">
        <v>27150</v>
      </c>
      <c r="AK159" s="4">
        <v>2</v>
      </c>
      <c r="AL159" s="4">
        <f t="shared" si="2"/>
        <v>54300</v>
      </c>
    </row>
    <row r="160" spans="35:38" ht="12.75" x14ac:dyDescent="0.2">
      <c r="AI160" t="s">
        <v>1056</v>
      </c>
      <c r="AJ160">
        <v>24550</v>
      </c>
      <c r="AK160" s="4">
        <v>2</v>
      </c>
      <c r="AL160" s="4">
        <f t="shared" si="2"/>
        <v>49100</v>
      </c>
    </row>
    <row r="161" spans="35:38" ht="12.75" x14ac:dyDescent="0.2">
      <c r="AI161" t="s">
        <v>1060</v>
      </c>
      <c r="AJ161">
        <v>23600</v>
      </c>
      <c r="AK161" s="4">
        <v>2</v>
      </c>
      <c r="AL161" s="4">
        <f t="shared" si="2"/>
        <v>47200</v>
      </c>
    </row>
    <row r="162" spans="35:38" ht="12.75" x14ac:dyDescent="0.2">
      <c r="AI162" t="s">
        <v>1064</v>
      </c>
      <c r="AJ162">
        <v>24950</v>
      </c>
      <c r="AK162" s="4">
        <v>2</v>
      </c>
      <c r="AL162" s="4">
        <f t="shared" si="2"/>
        <v>49900</v>
      </c>
    </row>
    <row r="163" spans="35:38" ht="12.75" x14ac:dyDescent="0.2">
      <c r="AI163" t="s">
        <v>1066</v>
      </c>
      <c r="AJ163">
        <v>31650</v>
      </c>
      <c r="AK163" s="4">
        <v>2</v>
      </c>
      <c r="AL163" s="4">
        <f t="shared" si="2"/>
        <v>63300</v>
      </c>
    </row>
    <row r="164" spans="35:38" ht="12.75" x14ac:dyDescent="0.2">
      <c r="AI164" t="s">
        <v>1068</v>
      </c>
      <c r="AJ164">
        <v>31650</v>
      </c>
      <c r="AK164" s="4">
        <v>2</v>
      </c>
      <c r="AL164" s="4">
        <f t="shared" si="2"/>
        <v>63300</v>
      </c>
    </row>
    <row r="165" spans="35:38" ht="12.75" x14ac:dyDescent="0.2">
      <c r="AI165" t="s">
        <v>1070</v>
      </c>
      <c r="AJ165">
        <v>33950</v>
      </c>
      <c r="AK165" s="4">
        <v>2</v>
      </c>
      <c r="AL165" s="4">
        <f t="shared" si="2"/>
        <v>67900</v>
      </c>
    </row>
    <row r="166" spans="35:38" ht="12.75" x14ac:dyDescent="0.2">
      <c r="AI166" t="s">
        <v>1074</v>
      </c>
      <c r="AJ166">
        <v>32050</v>
      </c>
      <c r="AK166" s="4">
        <v>2</v>
      </c>
      <c r="AL166" s="4">
        <f t="shared" si="2"/>
        <v>64100</v>
      </c>
    </row>
    <row r="167" spans="35:38" ht="12.75" x14ac:dyDescent="0.2">
      <c r="AI167" t="s">
        <v>1076</v>
      </c>
      <c r="AJ167">
        <v>31650</v>
      </c>
      <c r="AK167" s="4">
        <v>2</v>
      </c>
      <c r="AL167" s="4">
        <f t="shared" si="2"/>
        <v>63300</v>
      </c>
    </row>
    <row r="168" spans="35:38" ht="12.75" x14ac:dyDescent="0.2">
      <c r="AI168" t="s">
        <v>1080</v>
      </c>
      <c r="AJ168">
        <v>23600</v>
      </c>
      <c r="AK168" s="4">
        <v>2</v>
      </c>
      <c r="AL168" s="4">
        <f t="shared" si="2"/>
        <v>47200</v>
      </c>
    </row>
    <row r="169" spans="35:38" ht="12.75" x14ac:dyDescent="0.2">
      <c r="AI169" t="s">
        <v>1082</v>
      </c>
      <c r="AJ169">
        <v>32750</v>
      </c>
      <c r="AK169" s="4">
        <v>2</v>
      </c>
      <c r="AL169" s="4">
        <f t="shared" si="2"/>
        <v>65500</v>
      </c>
    </row>
    <row r="170" spans="35:38" ht="12.75" x14ac:dyDescent="0.2">
      <c r="AI170" t="s">
        <v>1086</v>
      </c>
      <c r="AJ170">
        <v>25650</v>
      </c>
      <c r="AK170" s="4">
        <v>2</v>
      </c>
      <c r="AL170" s="4">
        <f t="shared" si="2"/>
        <v>51300</v>
      </c>
    </row>
    <row r="171" spans="35:38" ht="12.75" x14ac:dyDescent="0.2">
      <c r="AI171" t="s">
        <v>1088</v>
      </c>
      <c r="AJ171">
        <v>31650</v>
      </c>
      <c r="AK171" s="4">
        <v>2</v>
      </c>
      <c r="AL171" s="4">
        <f t="shared" si="2"/>
        <v>63300</v>
      </c>
    </row>
    <row r="172" spans="35:38" ht="12.75" x14ac:dyDescent="0.2">
      <c r="AI172" t="s">
        <v>1092</v>
      </c>
      <c r="AJ172">
        <v>27500</v>
      </c>
      <c r="AK172" s="4">
        <v>2</v>
      </c>
      <c r="AL172" s="4">
        <f t="shared" si="2"/>
        <v>55000</v>
      </c>
    </row>
    <row r="173" spans="35:38" ht="12.75" x14ac:dyDescent="0.2">
      <c r="AI173" t="s">
        <v>1096</v>
      </c>
      <c r="AJ173">
        <v>23600</v>
      </c>
      <c r="AK173" s="4">
        <v>2</v>
      </c>
      <c r="AL173" s="4">
        <f t="shared" si="2"/>
        <v>47200</v>
      </c>
    </row>
    <row r="174" spans="35:38" ht="12.75" x14ac:dyDescent="0.2">
      <c r="AI174" t="s">
        <v>1098</v>
      </c>
      <c r="AJ174">
        <v>29300</v>
      </c>
      <c r="AK174" s="4">
        <v>2</v>
      </c>
      <c r="AL174" s="4">
        <f t="shared" si="2"/>
        <v>58600</v>
      </c>
    </row>
    <row r="175" spans="35:38" ht="12.75" x14ac:dyDescent="0.2">
      <c r="AI175" t="s">
        <v>1100</v>
      </c>
      <c r="AJ175">
        <v>26300</v>
      </c>
      <c r="AK175" s="4">
        <v>2</v>
      </c>
      <c r="AL175" s="4">
        <f t="shared" si="2"/>
        <v>52600</v>
      </c>
    </row>
    <row r="176" spans="35:38" ht="12.75" x14ac:dyDescent="0.2">
      <c r="AI176" t="s">
        <v>1104</v>
      </c>
      <c r="AJ176">
        <v>29550</v>
      </c>
      <c r="AK176" s="4">
        <v>2</v>
      </c>
      <c r="AL176" s="4">
        <f t="shared" si="2"/>
        <v>59100</v>
      </c>
    </row>
    <row r="177" spans="35:38" ht="12.75" x14ac:dyDescent="0.2">
      <c r="AI177" t="s">
        <v>1108</v>
      </c>
      <c r="AJ177">
        <v>26850</v>
      </c>
      <c r="AK177" s="4">
        <v>2</v>
      </c>
      <c r="AL177" s="4">
        <f t="shared" si="2"/>
        <v>53700</v>
      </c>
    </row>
    <row r="178" spans="35:38" ht="12.75" x14ac:dyDescent="0.2">
      <c r="AI178" t="s">
        <v>1112</v>
      </c>
      <c r="AJ178">
        <v>23600</v>
      </c>
      <c r="AK178" s="4">
        <v>2</v>
      </c>
      <c r="AL178" s="4">
        <f t="shared" si="2"/>
        <v>47200</v>
      </c>
    </row>
    <row r="179" spans="35:38" ht="12.75" x14ac:dyDescent="0.2">
      <c r="AI179" t="s">
        <v>1116</v>
      </c>
      <c r="AJ179">
        <v>23600</v>
      </c>
      <c r="AK179" s="4">
        <v>2</v>
      </c>
      <c r="AL179" s="4">
        <f t="shared" si="2"/>
        <v>47200</v>
      </c>
    </row>
    <row r="180" spans="35:38" ht="12.75" x14ac:dyDescent="0.2">
      <c r="AI180" t="s">
        <v>1118</v>
      </c>
      <c r="AJ180">
        <v>33950</v>
      </c>
      <c r="AK180" s="4">
        <v>2</v>
      </c>
      <c r="AL180" s="4">
        <f t="shared" si="2"/>
        <v>67900</v>
      </c>
    </row>
    <row r="181" spans="35:38" ht="12.75" x14ac:dyDescent="0.2">
      <c r="AI181" t="s">
        <v>1122</v>
      </c>
      <c r="AJ181">
        <v>23600</v>
      </c>
      <c r="AK181" s="4">
        <v>2</v>
      </c>
      <c r="AL181" s="4">
        <f t="shared" si="2"/>
        <v>47200</v>
      </c>
    </row>
    <row r="182" spans="35:38" ht="12.75" x14ac:dyDescent="0.2">
      <c r="AI182" t="s">
        <v>1551</v>
      </c>
      <c r="AJ182">
        <v>33950</v>
      </c>
      <c r="AK182" s="4">
        <v>2</v>
      </c>
      <c r="AL182" s="4">
        <f t="shared" si="2"/>
        <v>67900</v>
      </c>
    </row>
    <row r="183" spans="35:38" ht="12.75" x14ac:dyDescent="0.2">
      <c r="AI183" t="s">
        <v>1128</v>
      </c>
      <c r="AJ183">
        <v>23600</v>
      </c>
      <c r="AK183" s="4">
        <v>2</v>
      </c>
      <c r="AL183" s="4">
        <f t="shared" si="2"/>
        <v>47200</v>
      </c>
    </row>
  </sheetData>
  <sheetProtection password="CC14" sheet="1" objects="1" scenarios="1"/>
  <mergeCells count="133">
    <mergeCell ref="B61:D61"/>
    <mergeCell ref="B70:D70"/>
    <mergeCell ref="C78:D78"/>
    <mergeCell ref="C87:D87"/>
    <mergeCell ref="B79:D79"/>
    <mergeCell ref="B52:D52"/>
    <mergeCell ref="B46:D46"/>
    <mergeCell ref="B47:D47"/>
    <mergeCell ref="E57:G57"/>
    <mergeCell ref="E58:G58"/>
    <mergeCell ref="E59:G59"/>
    <mergeCell ref="E60:G60"/>
    <mergeCell ref="E69:G69"/>
    <mergeCell ref="E77:G77"/>
    <mergeCell ref="E62:G62"/>
    <mergeCell ref="E63:G63"/>
    <mergeCell ref="E64:G64"/>
    <mergeCell ref="E65:G65"/>
    <mergeCell ref="E66:G66"/>
    <mergeCell ref="E67:G67"/>
    <mergeCell ref="E68:G68"/>
    <mergeCell ref="A2:C2"/>
    <mergeCell ref="B48:D48"/>
    <mergeCell ref="B49:D49"/>
    <mergeCell ref="B11:D11"/>
    <mergeCell ref="E11:G11"/>
    <mergeCell ref="B23:D23"/>
    <mergeCell ref="B9:D9"/>
    <mergeCell ref="E9:G9"/>
    <mergeCell ref="B37:D37"/>
    <mergeCell ref="B12:D12"/>
    <mergeCell ref="E12:G12"/>
    <mergeCell ref="B18:D18"/>
    <mergeCell ref="E19:G19"/>
    <mergeCell ref="B20:D20"/>
    <mergeCell ref="E16:G16"/>
    <mergeCell ref="B17:D17"/>
    <mergeCell ref="E17:G17"/>
    <mergeCell ref="E20:G20"/>
    <mergeCell ref="B8:D8"/>
    <mergeCell ref="E8:G8"/>
    <mergeCell ref="E13:G13"/>
    <mergeCell ref="E14:G14"/>
    <mergeCell ref="E15:G15"/>
    <mergeCell ref="B38:D38"/>
    <mergeCell ref="AT116:AX116"/>
    <mergeCell ref="E91:G91"/>
    <mergeCell ref="E92:G92"/>
    <mergeCell ref="E93:G93"/>
    <mergeCell ref="E94:G94"/>
    <mergeCell ref="E95:G95"/>
    <mergeCell ref="E96:G96"/>
    <mergeCell ref="B99:G99"/>
    <mergeCell ref="B97:G97"/>
    <mergeCell ref="B98:G98"/>
    <mergeCell ref="E100:G100"/>
    <mergeCell ref="E101:G101"/>
    <mergeCell ref="E102:G102"/>
    <mergeCell ref="E103:G103"/>
    <mergeCell ref="AT112:AX112"/>
    <mergeCell ref="E88:G88"/>
    <mergeCell ref="E76:G76"/>
    <mergeCell ref="E72:G72"/>
    <mergeCell ref="E71:G71"/>
    <mergeCell ref="E78:G78"/>
    <mergeCell ref="E87:G87"/>
    <mergeCell ref="E83:G83"/>
    <mergeCell ref="E84:G84"/>
    <mergeCell ref="E85:G85"/>
    <mergeCell ref="E86:G86"/>
    <mergeCell ref="E75:G75"/>
    <mergeCell ref="E73:G73"/>
    <mergeCell ref="E74:G74"/>
    <mergeCell ref="E79:G79"/>
    <mergeCell ref="E80:G80"/>
    <mergeCell ref="E81:G81"/>
    <mergeCell ref="E82:G82"/>
    <mergeCell ref="AS2:AX2"/>
    <mergeCell ref="E6:G6"/>
    <mergeCell ref="E55:G55"/>
    <mergeCell ref="E56:G56"/>
    <mergeCell ref="E46:G46"/>
    <mergeCell ref="E47:G47"/>
    <mergeCell ref="E48:G48"/>
    <mergeCell ref="E49:G49"/>
    <mergeCell ref="E53:G53"/>
    <mergeCell ref="E54:G54"/>
    <mergeCell ref="AI3:AJ3"/>
    <mergeCell ref="E38:G38"/>
    <mergeCell ref="E39:G39"/>
    <mergeCell ref="E44:G44"/>
    <mergeCell ref="E43:G43"/>
    <mergeCell ref="E42:G42"/>
    <mergeCell ref="E45:G45"/>
    <mergeCell ref="B39:D39"/>
    <mergeCell ref="E41:G41"/>
    <mergeCell ref="B33:D33"/>
    <mergeCell ref="B10:D10"/>
    <mergeCell ref="E10:G10"/>
    <mergeCell ref="B27:D27"/>
    <mergeCell ref="E25:G25"/>
    <mergeCell ref="E26:G26"/>
    <mergeCell ref="E27:G27"/>
    <mergeCell ref="E23:G23"/>
    <mergeCell ref="E24:G24"/>
    <mergeCell ref="B29:D29"/>
    <mergeCell ref="B34:D34"/>
    <mergeCell ref="E37:G37"/>
    <mergeCell ref="E34:G34"/>
    <mergeCell ref="BF2:BO2"/>
    <mergeCell ref="E33:G33"/>
    <mergeCell ref="B5:D5"/>
    <mergeCell ref="E29:G29"/>
    <mergeCell ref="E32:G32"/>
    <mergeCell ref="B32:D32"/>
    <mergeCell ref="B31:D31"/>
    <mergeCell ref="E28:G28"/>
    <mergeCell ref="B30:D30"/>
    <mergeCell ref="E30:G30"/>
    <mergeCell ref="B19:D19"/>
    <mergeCell ref="B24:D24"/>
    <mergeCell ref="B25:D25"/>
    <mergeCell ref="B26:D26"/>
    <mergeCell ref="B6:D6"/>
    <mergeCell ref="B7:D7"/>
    <mergeCell ref="E7:G7"/>
    <mergeCell ref="E18:G18"/>
    <mergeCell ref="B13:D13"/>
    <mergeCell ref="B21:D21"/>
    <mergeCell ref="B22:D22"/>
    <mergeCell ref="E31:G31"/>
    <mergeCell ref="E21:G21"/>
    <mergeCell ref="E22:G22"/>
  </mergeCells>
  <phoneticPr fontId="0" type="noConversion"/>
  <dataValidations count="3">
    <dataValidation type="whole" allowBlank="1" showInputMessage="1" showErrorMessage="1" errorTitle="Inproper Input" error="The number must be a phone number.  Be sure to include the area code." promptTitle="Input Information:" prompt="Please input the phone number.  Use all numbers (the computer will insert parenthesis and hyphens as appropriate)." sqref="E20:E21">
      <formula1>1000000000</formula1>
      <formula2>9999999999</formula2>
    </dataValidation>
    <dataValidation type="list" allowBlank="1" showInputMessage="1" showErrorMessage="1" sqref="E43">
      <formula1>$T$3:$T$8</formula1>
    </dataValidation>
    <dataValidation type="list" allowBlank="1" showInputMessage="1" showErrorMessage="1" sqref="E44">
      <formula1>$AC$7:$AC$15</formula1>
    </dataValidation>
  </dataValidations>
  <printOptions horizontalCentered="1" verticalCentered="1"/>
  <pageMargins left="0.75" right="0.75" top="1" bottom="1" header="0.5" footer="0.5"/>
  <pageSetup scale="68" orientation="portrait" r:id="rId1"/>
  <headerFooter alignWithMargins="0">
    <oddFooter>&amp;C&amp;P</oddFooter>
  </headerFooter>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Lists!$D$2:$D$4</xm:f>
          </x14:formula1>
          <xm:sqref>E15:G15</xm:sqref>
        </x14:dataValidation>
        <x14:dataValidation type="list" allowBlank="1" showInputMessage="1" showErrorMessage="1">
          <x14:formula1>
            <xm:f>Lists!$F$2:$F$7</xm:f>
          </x14:formula1>
          <xm:sqref>E17:G17</xm:sqref>
        </x14:dataValidation>
        <x14:dataValidation type="list" allowBlank="1" showInputMessage="1" showErrorMessage="1">
          <x14:formula1>
            <xm:f>Lists!$H$2:$H$4</xm:f>
          </x14:formula1>
          <xm:sqref>E29:G29</xm:sqref>
        </x14:dataValidation>
        <x14:dataValidation type="list" allowBlank="1" showInputMessage="1" showErrorMessage="1">
          <x14:formula1>
            <xm:f>Lists!$J$2:$J$8</xm:f>
          </x14:formula1>
          <xm:sqref>E30:G30</xm:sqref>
        </x14:dataValidation>
        <x14:dataValidation type="list" allowBlank="1" showInputMessage="1" showErrorMessage="1">
          <x14:formula1>
            <xm:f>Lists!$L$2:$L$4</xm:f>
          </x14:formula1>
          <xm:sqref>E31:G31</xm:sqref>
        </x14:dataValidation>
        <x14:dataValidation type="list" allowBlank="1" showInputMessage="1" showErrorMessage="1">
          <x14:formula1>
            <xm:f>Lists!$A$2:$A$66</xm:f>
          </x14:formula1>
          <xm:sqref>E10:G10</xm:sqref>
        </x14:dataValidation>
        <x14:dataValidation type="list" allowBlank="1" showInputMessage="1" showErrorMessage="1">
          <x14:formula1>
            <xm:f>Lists!$H$22:$H$34</xm:f>
          </x14:formula1>
          <xm:sqref>E5</xm:sqref>
        </x14:dataValidation>
        <x14:dataValidation type="list" allowBlank="1" showInputMessage="1" showErrorMessage="1">
          <x14:formula1>
            <xm:f>Lists!$I$22:$I$53</xm:f>
          </x14:formula1>
          <xm:sqref>F5</xm:sqref>
        </x14:dataValidation>
        <x14:dataValidation type="list" allowBlank="1" showInputMessage="1" showErrorMessage="1">
          <x14:formula1>
            <xm:f>Lists!$J$22:$J$33</xm:f>
          </x14:formula1>
          <xm:sqref>G5</xm:sqref>
        </x14:dataValidation>
        <x14:dataValidation type="list" allowBlank="1" showInputMessage="1" showErrorMessage="1">
          <x14:formula1>
            <xm:f>Lists!$D$39:$D$43</xm:f>
          </x14:formula1>
          <xm:sqref>E6:G6</xm:sqref>
        </x14:dataValidation>
        <x14:dataValidation type="list" allowBlank="1" showInputMessage="1" showErrorMessage="1">
          <x14:formula1>
            <xm:f>Lists!$F$12:$F$14</xm:f>
          </x14:formula1>
          <xm:sqref>E45:G45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4"/>
  <sheetViews>
    <sheetView topLeftCell="A22" workbookViewId="0">
      <selection activeCell="N19" sqref="N19"/>
    </sheetView>
  </sheetViews>
  <sheetFormatPr defaultColWidth="8.85546875" defaultRowHeight="12.75" x14ac:dyDescent="0.2"/>
  <cols>
    <col min="1" max="1" width="14.140625" style="177" customWidth="1"/>
    <col min="2" max="2" width="17.42578125" style="107" customWidth="1"/>
    <col min="3" max="4" width="9.140625" style="107"/>
    <col min="5" max="5" width="12.42578125" style="107" customWidth="1"/>
    <col min="6" max="7" width="9.140625" style="107"/>
    <col min="8" max="8" width="11.28515625" style="107" customWidth="1"/>
    <col min="9" max="9" width="9.140625" style="85"/>
  </cols>
  <sheetData>
    <row r="1" spans="1:11" ht="14.25" thickBot="1" x14ac:dyDescent="0.3">
      <c r="A1" s="380" t="s">
        <v>790</v>
      </c>
      <c r="B1" s="381"/>
      <c r="C1" s="382"/>
      <c r="D1" s="382"/>
      <c r="E1" s="382"/>
      <c r="F1" s="382"/>
      <c r="G1" s="382"/>
      <c r="H1" s="2013"/>
      <c r="I1" s="2013"/>
      <c r="J1" s="382"/>
      <c r="K1" s="86"/>
    </row>
    <row r="2" spans="1:11" ht="74.25" customHeight="1" thickTop="1" thickBot="1" x14ac:dyDescent="0.35">
      <c r="A2" s="383"/>
      <c r="B2" s="2014" t="s">
        <v>622</v>
      </c>
      <c r="C2" s="2015"/>
      <c r="D2" s="2015"/>
      <c r="E2" s="2015"/>
      <c r="F2" s="2015"/>
      <c r="G2" s="2015"/>
      <c r="H2" s="2016"/>
      <c r="I2" s="383"/>
      <c r="J2" s="383"/>
      <c r="K2" s="108"/>
    </row>
    <row r="3" spans="1:11" ht="27" customHeight="1" thickTop="1" thickBot="1" x14ac:dyDescent="0.3">
      <c r="A3" s="383"/>
      <c r="B3" s="383"/>
      <c r="C3" s="383"/>
      <c r="D3" s="383"/>
      <c r="E3" s="383"/>
      <c r="F3" s="383"/>
      <c r="G3" s="383"/>
      <c r="H3" s="383"/>
      <c r="I3" s="383"/>
      <c r="J3" s="383"/>
    </row>
    <row r="4" spans="1:11" ht="27" customHeight="1" thickTop="1" x14ac:dyDescent="0.25">
      <c r="A4" s="383"/>
      <c r="B4" s="384"/>
      <c r="C4" s="385"/>
      <c r="D4" s="385"/>
      <c r="E4" s="385"/>
      <c r="F4" s="385"/>
      <c r="G4" s="385"/>
      <c r="H4" s="385"/>
      <c r="I4" s="386" t="s">
        <v>621</v>
      </c>
      <c r="J4" s="387" t="s">
        <v>157</v>
      </c>
    </row>
    <row r="5" spans="1:11" ht="27" customHeight="1" x14ac:dyDescent="0.25">
      <c r="A5" s="388" t="s">
        <v>731</v>
      </c>
      <c r="B5" s="2077" t="s">
        <v>756</v>
      </c>
      <c r="C5" s="2081"/>
      <c r="D5" s="2081"/>
      <c r="E5" s="2081"/>
      <c r="F5" s="2081"/>
      <c r="G5" s="2081"/>
      <c r="H5" s="2081"/>
      <c r="I5" s="718"/>
      <c r="J5" s="474">
        <f>J6+J9</f>
        <v>0</v>
      </c>
    </row>
    <row r="6" spans="1:11" ht="27.75" customHeight="1" x14ac:dyDescent="0.25">
      <c r="A6" s="388"/>
      <c r="B6" s="2028" t="s">
        <v>757</v>
      </c>
      <c r="C6" s="2029"/>
      <c r="D6" s="2029"/>
      <c r="E6" s="2029"/>
      <c r="F6" s="2029"/>
      <c r="G6" s="2029"/>
      <c r="H6" s="2029"/>
      <c r="I6" s="184"/>
      <c r="J6" s="474">
        <f>I6</f>
        <v>0</v>
      </c>
    </row>
    <row r="7" spans="1:11" ht="47.25" customHeight="1" x14ac:dyDescent="0.25">
      <c r="A7" s="388"/>
      <c r="B7" s="2022" t="s">
        <v>758</v>
      </c>
      <c r="C7" s="2023"/>
      <c r="D7" s="2023"/>
      <c r="E7" s="2023"/>
      <c r="F7" s="2023"/>
      <c r="G7" s="2023"/>
      <c r="H7" s="2023"/>
      <c r="I7" s="391"/>
      <c r="J7" s="387"/>
    </row>
    <row r="8" spans="1:11" ht="37.5" customHeight="1" x14ac:dyDescent="0.25">
      <c r="A8" s="388"/>
      <c r="B8" s="2028" t="s">
        <v>759</v>
      </c>
      <c r="C8" s="2029"/>
      <c r="D8" s="2029"/>
      <c r="E8" s="2029"/>
      <c r="F8" s="2029"/>
      <c r="G8" s="2029"/>
      <c r="H8" s="2029"/>
      <c r="I8" s="386"/>
      <c r="J8" s="387"/>
    </row>
    <row r="9" spans="1:11" ht="47.25" customHeight="1" x14ac:dyDescent="0.25">
      <c r="A9" s="388"/>
      <c r="B9" s="2043" t="s">
        <v>760</v>
      </c>
      <c r="C9" s="2076"/>
      <c r="D9" s="2076"/>
      <c r="E9" s="2076"/>
      <c r="F9" s="2076"/>
      <c r="G9" s="2076"/>
      <c r="H9" s="2080"/>
      <c r="I9" s="184"/>
      <c r="J9" s="474">
        <f>I9</f>
        <v>0</v>
      </c>
    </row>
    <row r="10" spans="1:11" ht="27.75" customHeight="1" x14ac:dyDescent="0.25">
      <c r="A10" s="388"/>
      <c r="B10" s="389"/>
      <c r="C10" s="390"/>
      <c r="D10" s="390"/>
      <c r="E10" s="390"/>
      <c r="F10" s="390"/>
      <c r="G10" s="390"/>
      <c r="H10" s="390"/>
      <c r="I10" s="391"/>
      <c r="J10" s="387"/>
    </row>
    <row r="11" spans="1:11" ht="37.5" customHeight="1" x14ac:dyDescent="0.25">
      <c r="A11" s="388"/>
      <c r="B11" s="2077" t="s">
        <v>761</v>
      </c>
      <c r="C11" s="2023"/>
      <c r="D11" s="2023"/>
      <c r="E11" s="2023"/>
      <c r="F11" s="2023"/>
      <c r="G11" s="2023"/>
      <c r="H11" s="2023"/>
      <c r="I11" s="718"/>
      <c r="J11" s="474">
        <f>J12+J16+J22</f>
        <v>0</v>
      </c>
    </row>
    <row r="12" spans="1:11" ht="27.75" customHeight="1" x14ac:dyDescent="0.25">
      <c r="A12" s="388"/>
      <c r="B12" s="2028" t="s">
        <v>762</v>
      </c>
      <c r="C12" s="2029"/>
      <c r="D12" s="2029"/>
      <c r="E12" s="2029"/>
      <c r="F12" s="2029"/>
      <c r="G12" s="2029"/>
      <c r="H12" s="2029"/>
      <c r="I12" s="184"/>
      <c r="J12" s="474">
        <f>I12</f>
        <v>0</v>
      </c>
    </row>
    <row r="13" spans="1:11" ht="56.25" customHeight="1" x14ac:dyDescent="0.25">
      <c r="A13" s="388"/>
      <c r="B13" s="2043" t="s">
        <v>763</v>
      </c>
      <c r="C13" s="2076"/>
      <c r="D13" s="2076"/>
      <c r="E13" s="2076"/>
      <c r="F13" s="2076"/>
      <c r="G13" s="2076"/>
      <c r="H13" s="2076"/>
      <c r="I13" s="2076"/>
      <c r="J13" s="2084"/>
    </row>
    <row r="14" spans="1:11" ht="52.5" customHeight="1" x14ac:dyDescent="0.25">
      <c r="A14" s="388"/>
      <c r="B14" s="2022" t="s">
        <v>652</v>
      </c>
      <c r="C14" s="2023"/>
      <c r="D14" s="2023"/>
      <c r="E14" s="2023"/>
      <c r="F14" s="2023"/>
      <c r="G14" s="2023"/>
      <c r="H14" s="2023"/>
      <c r="I14" s="386"/>
      <c r="J14" s="387"/>
    </row>
    <row r="15" spans="1:11" ht="15.75" x14ac:dyDescent="0.25">
      <c r="A15" s="388"/>
      <c r="B15" s="2022"/>
      <c r="C15" s="2023"/>
      <c r="D15" s="2023"/>
      <c r="E15" s="2023"/>
      <c r="F15" s="2023"/>
      <c r="G15" s="2023"/>
      <c r="H15" s="2023"/>
      <c r="I15" s="386"/>
      <c r="J15" s="387"/>
    </row>
    <row r="16" spans="1:11" ht="36" customHeight="1" x14ac:dyDescent="0.25">
      <c r="A16" s="388"/>
      <c r="B16" s="2028" t="s">
        <v>764</v>
      </c>
      <c r="C16" s="2029"/>
      <c r="D16" s="2029"/>
      <c r="E16" s="2029"/>
      <c r="F16" s="2029"/>
      <c r="G16" s="2029"/>
      <c r="H16" s="2029"/>
      <c r="I16" s="718"/>
      <c r="J16" s="474">
        <f>J18+J19</f>
        <v>0</v>
      </c>
    </row>
    <row r="17" spans="1:10" ht="66" customHeight="1" x14ac:dyDescent="0.25">
      <c r="A17" s="388"/>
      <c r="B17" s="2052" t="s">
        <v>765</v>
      </c>
      <c r="C17" s="2018"/>
      <c r="D17" s="2018"/>
      <c r="E17" s="2018"/>
      <c r="F17" s="2018"/>
      <c r="G17" s="2018"/>
      <c r="H17" s="2018"/>
      <c r="I17" s="386"/>
      <c r="J17" s="387"/>
    </row>
    <row r="18" spans="1:10" ht="45.75" customHeight="1" x14ac:dyDescent="0.25">
      <c r="A18" s="388"/>
      <c r="B18" s="2022" t="s">
        <v>766</v>
      </c>
      <c r="C18" s="2082"/>
      <c r="D18" s="2082"/>
      <c r="E18" s="2082"/>
      <c r="F18" s="2082"/>
      <c r="G18" s="2082"/>
      <c r="H18" s="2082"/>
      <c r="I18" s="184"/>
      <c r="J18" s="474">
        <f>I18</f>
        <v>0</v>
      </c>
    </row>
    <row r="19" spans="1:10" ht="35.25" customHeight="1" x14ac:dyDescent="0.25">
      <c r="A19" s="388"/>
      <c r="B19" s="2022" t="s">
        <v>767</v>
      </c>
      <c r="C19" s="2083"/>
      <c r="D19" s="2083"/>
      <c r="E19" s="2083"/>
      <c r="F19" s="2083"/>
      <c r="G19" s="2083"/>
      <c r="H19" s="2083"/>
      <c r="I19" s="184"/>
      <c r="J19" s="474">
        <f>I19</f>
        <v>0</v>
      </c>
    </row>
    <row r="20" spans="1:10" ht="25.5" customHeight="1" x14ac:dyDescent="0.25">
      <c r="A20" s="388"/>
      <c r="B20" s="2022"/>
      <c r="C20" s="2023"/>
      <c r="D20" s="2023"/>
      <c r="E20" s="2023"/>
      <c r="F20" s="2023"/>
      <c r="G20" s="2023"/>
      <c r="H20" s="2023"/>
      <c r="I20" s="386"/>
      <c r="J20" s="387"/>
    </row>
    <row r="21" spans="1:10" ht="27.75" customHeight="1" x14ac:dyDescent="0.25">
      <c r="A21" s="388"/>
      <c r="B21" s="2028" t="s">
        <v>768</v>
      </c>
      <c r="C21" s="2029"/>
      <c r="D21" s="2029"/>
      <c r="E21" s="2029"/>
      <c r="F21" s="2029"/>
      <c r="G21" s="2029"/>
      <c r="H21" s="2029"/>
      <c r="I21" s="386"/>
      <c r="J21" s="387"/>
    </row>
    <row r="22" spans="1:10" ht="102.75" customHeight="1" x14ac:dyDescent="0.25">
      <c r="A22" s="388"/>
      <c r="B22" s="2043" t="s">
        <v>769</v>
      </c>
      <c r="C22" s="2076"/>
      <c r="D22" s="2076"/>
      <c r="E22" s="2076"/>
      <c r="F22" s="2076"/>
      <c r="G22" s="2076"/>
      <c r="H22" s="2080"/>
      <c r="I22" s="184"/>
      <c r="J22" s="474">
        <f>I22</f>
        <v>0</v>
      </c>
    </row>
    <row r="23" spans="1:10" ht="21" customHeight="1" x14ac:dyDescent="0.25">
      <c r="A23" s="388"/>
      <c r="B23" s="389"/>
      <c r="C23" s="390"/>
      <c r="D23" s="390"/>
      <c r="E23" s="390"/>
      <c r="F23" s="390"/>
      <c r="G23" s="390"/>
      <c r="H23" s="390"/>
      <c r="I23" s="391"/>
      <c r="J23" s="387"/>
    </row>
    <row r="24" spans="1:10" ht="36.75" customHeight="1" x14ac:dyDescent="0.25">
      <c r="A24" s="388" t="s">
        <v>732</v>
      </c>
      <c r="B24" s="2069" t="s">
        <v>830</v>
      </c>
      <c r="C24" s="2030"/>
      <c r="D24" s="2030"/>
      <c r="E24" s="2030"/>
      <c r="F24" s="2030"/>
      <c r="G24" s="2030"/>
      <c r="H24" s="2030"/>
      <c r="I24" s="386"/>
      <c r="J24" s="387"/>
    </row>
    <row r="25" spans="1:10" ht="47.25" customHeight="1" x14ac:dyDescent="0.25">
      <c r="A25" s="388"/>
      <c r="B25" s="2028" t="s">
        <v>770</v>
      </c>
      <c r="C25" s="2029"/>
      <c r="D25" s="2029"/>
      <c r="E25" s="2029"/>
      <c r="F25" s="2029"/>
      <c r="G25" s="2029"/>
      <c r="H25" s="2029"/>
      <c r="I25" s="184"/>
      <c r="J25" s="474">
        <f>I25</f>
        <v>0</v>
      </c>
    </row>
    <row r="26" spans="1:10" ht="81.75" customHeight="1" x14ac:dyDescent="0.25">
      <c r="A26" s="388"/>
      <c r="B26" s="2043" t="s">
        <v>771</v>
      </c>
      <c r="C26" s="2076"/>
      <c r="D26" s="2076"/>
      <c r="E26" s="2076"/>
      <c r="F26" s="2076"/>
      <c r="G26" s="2076"/>
      <c r="H26" s="2076"/>
      <c r="I26" s="386"/>
      <c r="J26" s="387"/>
    </row>
    <row r="27" spans="1:10" ht="15.75" x14ac:dyDescent="0.25">
      <c r="A27" s="388"/>
      <c r="B27" s="2028" t="s">
        <v>772</v>
      </c>
      <c r="C27" s="2029"/>
      <c r="D27" s="2029"/>
      <c r="E27" s="2029"/>
      <c r="F27" s="2029"/>
      <c r="G27" s="2029"/>
      <c r="H27" s="2029"/>
      <c r="I27" s="386"/>
      <c r="J27" s="387"/>
    </row>
    <row r="28" spans="1:10" ht="69.75" customHeight="1" x14ac:dyDescent="0.25">
      <c r="A28" s="388"/>
      <c r="B28" s="2022" t="s">
        <v>773</v>
      </c>
      <c r="C28" s="2023"/>
      <c r="D28" s="2023"/>
      <c r="E28" s="2023"/>
      <c r="F28" s="2023"/>
      <c r="G28" s="2023"/>
      <c r="H28" s="2023"/>
      <c r="I28" s="386"/>
      <c r="J28" s="387"/>
    </row>
    <row r="29" spans="1:10" ht="24" customHeight="1" x14ac:dyDescent="0.25">
      <c r="A29" s="388"/>
      <c r="B29" s="2022"/>
      <c r="C29" s="2023"/>
      <c r="D29" s="2023"/>
      <c r="E29" s="2023"/>
      <c r="F29" s="2023"/>
      <c r="G29" s="2023"/>
      <c r="H29" s="2023"/>
      <c r="I29" s="386"/>
      <c r="J29" s="387"/>
    </row>
    <row r="30" spans="1:10" ht="58.5" customHeight="1" x14ac:dyDescent="0.25">
      <c r="A30" s="388" t="s">
        <v>733</v>
      </c>
      <c r="B30" s="2077" t="s">
        <v>774</v>
      </c>
      <c r="C30" s="2029"/>
      <c r="D30" s="2029"/>
      <c r="E30" s="2029"/>
      <c r="F30" s="2029"/>
      <c r="G30" s="2029"/>
      <c r="H30" s="2029"/>
      <c r="I30" s="184"/>
      <c r="J30" s="474">
        <f>I30</f>
        <v>0</v>
      </c>
    </row>
    <row r="31" spans="1:10" ht="23.25" customHeight="1" x14ac:dyDescent="0.25">
      <c r="A31" s="388"/>
      <c r="B31" s="2028" t="s">
        <v>775</v>
      </c>
      <c r="C31" s="2029"/>
      <c r="D31" s="2029"/>
      <c r="E31" s="2029"/>
      <c r="F31" s="2029"/>
      <c r="G31" s="2029"/>
      <c r="H31" s="2029"/>
      <c r="I31" s="386"/>
      <c r="J31" s="387"/>
    </row>
    <row r="32" spans="1:10" ht="30" customHeight="1" x14ac:dyDescent="0.25">
      <c r="A32" s="388"/>
      <c r="B32" s="2022" t="s">
        <v>776</v>
      </c>
      <c r="C32" s="2023"/>
      <c r="D32" s="2023"/>
      <c r="E32" s="2023"/>
      <c r="F32" s="2023"/>
      <c r="G32" s="2023"/>
      <c r="H32" s="2023"/>
      <c r="I32" s="386"/>
      <c r="J32" s="387"/>
    </row>
    <row r="33" spans="1:10" ht="77.25" customHeight="1" x14ac:dyDescent="0.25">
      <c r="A33" s="388"/>
      <c r="B33" s="2043" t="s">
        <v>777</v>
      </c>
      <c r="C33" s="2076"/>
      <c r="D33" s="2076"/>
      <c r="E33" s="2076"/>
      <c r="F33" s="2076"/>
      <c r="G33" s="2076"/>
      <c r="H33" s="2076"/>
      <c r="I33" s="386"/>
      <c r="J33" s="387"/>
    </row>
    <row r="34" spans="1:10" ht="21.75" customHeight="1" x14ac:dyDescent="0.25">
      <c r="A34" s="388"/>
      <c r="B34" s="2078"/>
      <c r="C34" s="2079"/>
      <c r="D34" s="2079"/>
      <c r="E34" s="2079"/>
      <c r="F34" s="2079"/>
      <c r="G34" s="2079"/>
      <c r="H34" s="2079"/>
      <c r="I34" s="386"/>
      <c r="J34" s="387"/>
    </row>
    <row r="35" spans="1:10" ht="42.75" customHeight="1" x14ac:dyDescent="0.25">
      <c r="A35" s="388" t="s">
        <v>734</v>
      </c>
      <c r="B35" s="2077" t="s">
        <v>778</v>
      </c>
      <c r="C35" s="2029"/>
      <c r="D35" s="2029"/>
      <c r="E35" s="2029"/>
      <c r="F35" s="2029"/>
      <c r="G35" s="2029"/>
      <c r="H35" s="2029"/>
      <c r="I35" s="184"/>
      <c r="J35" s="474">
        <f>I35</f>
        <v>0</v>
      </c>
    </row>
    <row r="36" spans="1:10" ht="30.75" customHeight="1" x14ac:dyDescent="0.25">
      <c r="A36" s="388"/>
      <c r="B36" s="2022" t="s">
        <v>779</v>
      </c>
      <c r="C36" s="2023"/>
      <c r="D36" s="2023"/>
      <c r="E36" s="2023"/>
      <c r="F36" s="2023"/>
      <c r="G36" s="2023"/>
      <c r="H36" s="2023"/>
      <c r="I36" s="386"/>
      <c r="J36" s="387"/>
    </row>
    <row r="37" spans="1:10" ht="20.25" customHeight="1" x14ac:dyDescent="0.25">
      <c r="A37" s="388"/>
      <c r="B37" s="2022" t="s">
        <v>780</v>
      </c>
      <c r="C37" s="2023"/>
      <c r="D37" s="2023"/>
      <c r="E37" s="2023"/>
      <c r="F37" s="2023"/>
      <c r="G37" s="2023"/>
      <c r="H37" s="2023"/>
      <c r="I37" s="386"/>
      <c r="J37" s="387"/>
    </row>
    <row r="38" spans="1:10" ht="20.25" customHeight="1" x14ac:dyDescent="0.25">
      <c r="A38" s="388"/>
      <c r="B38" s="2022" t="s">
        <v>781</v>
      </c>
      <c r="C38" s="2023"/>
      <c r="D38" s="2023"/>
      <c r="E38" s="2023"/>
      <c r="F38" s="2023"/>
      <c r="G38" s="2023"/>
      <c r="H38" s="2023"/>
      <c r="I38" s="386"/>
      <c r="J38" s="387"/>
    </row>
    <row r="39" spans="1:10" ht="20.25" customHeight="1" x14ac:dyDescent="0.25">
      <c r="A39" s="388"/>
      <c r="B39" s="2022" t="s">
        <v>782</v>
      </c>
      <c r="C39" s="2023"/>
      <c r="D39" s="2023"/>
      <c r="E39" s="2023"/>
      <c r="F39" s="2023"/>
      <c r="G39" s="2023"/>
      <c r="H39" s="2023"/>
      <c r="I39" s="386"/>
      <c r="J39" s="387"/>
    </row>
    <row r="40" spans="1:10" ht="20.25" customHeight="1" x14ac:dyDescent="0.25">
      <c r="A40" s="388"/>
      <c r="B40" s="2022" t="s">
        <v>783</v>
      </c>
      <c r="C40" s="2023"/>
      <c r="D40" s="2023"/>
      <c r="E40" s="2023"/>
      <c r="F40" s="2023"/>
      <c r="G40" s="2023"/>
      <c r="H40" s="2023"/>
      <c r="I40" s="386"/>
      <c r="J40" s="387"/>
    </row>
    <row r="41" spans="1:10" ht="20.25" customHeight="1" x14ac:dyDescent="0.25">
      <c r="A41" s="388"/>
      <c r="B41" s="2028"/>
      <c r="C41" s="2029"/>
      <c r="D41" s="2029"/>
      <c r="E41" s="2029"/>
      <c r="F41" s="2029"/>
      <c r="G41" s="2029"/>
      <c r="H41" s="2029"/>
      <c r="I41" s="386"/>
      <c r="J41" s="387"/>
    </row>
    <row r="42" spans="1:10" ht="41.25" customHeight="1" x14ac:dyDescent="0.25">
      <c r="A42" s="388" t="s">
        <v>736</v>
      </c>
      <c r="B42" s="2077" t="s">
        <v>784</v>
      </c>
      <c r="C42" s="2029"/>
      <c r="D42" s="2029"/>
      <c r="E42" s="2029"/>
      <c r="F42" s="2029"/>
      <c r="G42" s="2029"/>
      <c r="H42" s="2029"/>
      <c r="I42" s="184"/>
      <c r="J42" s="474">
        <f>I42</f>
        <v>0</v>
      </c>
    </row>
    <row r="43" spans="1:10" ht="20.25" customHeight="1" x14ac:dyDescent="0.25">
      <c r="A43" s="388"/>
      <c r="B43" s="2022" t="s">
        <v>785</v>
      </c>
      <c r="C43" s="2023"/>
      <c r="D43" s="2023"/>
      <c r="E43" s="2023"/>
      <c r="F43" s="2023"/>
      <c r="G43" s="2023"/>
      <c r="H43" s="2023"/>
      <c r="I43" s="386"/>
      <c r="J43" s="387"/>
    </row>
    <row r="44" spans="1:10" ht="21.75" customHeight="1" x14ac:dyDescent="0.25">
      <c r="A44" s="388"/>
      <c r="B44" s="2022" t="s">
        <v>786</v>
      </c>
      <c r="C44" s="2023"/>
      <c r="D44" s="2023"/>
      <c r="E44" s="2023"/>
      <c r="F44" s="2023"/>
      <c r="G44" s="2023"/>
      <c r="H44" s="2023"/>
      <c r="I44" s="386"/>
      <c r="J44" s="387"/>
    </row>
    <row r="45" spans="1:10" ht="21.75" customHeight="1" x14ac:dyDescent="0.25">
      <c r="A45" s="388"/>
      <c r="B45" s="2022" t="s">
        <v>787</v>
      </c>
      <c r="C45" s="2023"/>
      <c r="D45" s="2023"/>
      <c r="E45" s="2023"/>
      <c r="F45" s="2023"/>
      <c r="G45" s="2023"/>
      <c r="H45" s="2023"/>
      <c r="I45" s="386"/>
      <c r="J45" s="387"/>
    </row>
    <row r="46" spans="1:10" ht="24" customHeight="1" x14ac:dyDescent="0.25">
      <c r="A46" s="388"/>
      <c r="B46" s="2022" t="s">
        <v>788</v>
      </c>
      <c r="C46" s="2023"/>
      <c r="D46" s="2023"/>
      <c r="E46" s="2023"/>
      <c r="F46" s="2023"/>
      <c r="G46" s="2023"/>
      <c r="H46" s="2023"/>
      <c r="I46" s="386"/>
      <c r="J46" s="387"/>
    </row>
    <row r="47" spans="1:10" ht="26.25" customHeight="1" x14ac:dyDescent="0.25">
      <c r="A47" s="388"/>
      <c r="B47" s="2022" t="s">
        <v>789</v>
      </c>
      <c r="C47" s="2023"/>
      <c r="D47" s="2023"/>
      <c r="E47" s="2023"/>
      <c r="F47" s="2023"/>
      <c r="G47" s="2023"/>
      <c r="H47" s="2023"/>
      <c r="I47" s="386"/>
      <c r="J47" s="387"/>
    </row>
    <row r="48" spans="1:10" ht="19.5" customHeight="1" x14ac:dyDescent="0.25">
      <c r="A48" s="388"/>
      <c r="B48" s="2028"/>
      <c r="C48" s="2029"/>
      <c r="D48" s="2029"/>
      <c r="E48" s="2029"/>
      <c r="F48" s="2029"/>
      <c r="G48" s="2029"/>
      <c r="H48" s="2029"/>
      <c r="I48" s="386"/>
      <c r="J48" s="387"/>
    </row>
    <row r="49" spans="1:10" ht="33.75" customHeight="1" x14ac:dyDescent="0.25">
      <c r="A49" s="388" t="s">
        <v>735</v>
      </c>
      <c r="B49" s="2069" t="s">
        <v>831</v>
      </c>
      <c r="C49" s="2070"/>
      <c r="D49" s="2070"/>
      <c r="E49" s="2070"/>
      <c r="F49" s="2070"/>
      <c r="G49" s="2070"/>
      <c r="H49" s="2070"/>
      <c r="I49" s="386"/>
      <c r="J49" s="387"/>
    </row>
    <row r="50" spans="1:10" ht="58.5" customHeight="1" x14ac:dyDescent="0.25">
      <c r="A50" s="392"/>
      <c r="B50" s="2027" t="s">
        <v>832</v>
      </c>
      <c r="C50" s="2030"/>
      <c r="D50" s="2030"/>
      <c r="E50" s="2030"/>
      <c r="F50" s="2030"/>
      <c r="G50" s="2030"/>
      <c r="H50" s="2030"/>
      <c r="I50" s="386"/>
      <c r="J50" s="387"/>
    </row>
    <row r="51" spans="1:10" ht="24" customHeight="1" x14ac:dyDescent="0.25">
      <c r="A51" s="392"/>
      <c r="B51" s="2038" t="s">
        <v>833</v>
      </c>
      <c r="C51" s="2030"/>
      <c r="D51" s="2030"/>
      <c r="E51" s="2030"/>
      <c r="F51" s="2030"/>
      <c r="G51" s="2030"/>
      <c r="H51" s="2030"/>
      <c r="I51" s="178"/>
      <c r="J51" s="475">
        <f>I51</f>
        <v>0</v>
      </c>
    </row>
    <row r="52" spans="1:10" ht="47.25" customHeight="1" x14ac:dyDescent="0.25">
      <c r="A52" s="392"/>
      <c r="B52" s="2025" t="s">
        <v>822</v>
      </c>
      <c r="C52" s="2039"/>
      <c r="D52" s="2039"/>
      <c r="E52" s="2039"/>
      <c r="F52" s="2039"/>
      <c r="G52" s="2039"/>
      <c r="H52" s="2039"/>
      <c r="I52" s="386"/>
      <c r="J52" s="387"/>
    </row>
    <row r="53" spans="1:10" ht="19.5" customHeight="1" x14ac:dyDescent="0.25">
      <c r="A53" s="392"/>
      <c r="B53" s="393"/>
      <c r="C53" s="393"/>
      <c r="D53" s="393"/>
      <c r="E53" s="393"/>
      <c r="F53" s="393"/>
      <c r="G53" s="393"/>
      <c r="H53" s="393"/>
      <c r="I53" s="386"/>
      <c r="J53" s="387"/>
    </row>
    <row r="54" spans="1:10" ht="69.75" customHeight="1" x14ac:dyDescent="0.2">
      <c r="A54" s="394" t="s">
        <v>737</v>
      </c>
      <c r="B54" s="2065" t="s">
        <v>791</v>
      </c>
      <c r="C54" s="2066"/>
      <c r="D54" s="2066"/>
      <c r="E54" s="2066"/>
      <c r="F54" s="2066"/>
      <c r="G54" s="2066"/>
      <c r="H54" s="2066"/>
      <c r="I54" s="719"/>
      <c r="J54" s="475">
        <f>I54</f>
        <v>0</v>
      </c>
    </row>
    <row r="55" spans="1:10" ht="69.75" customHeight="1" x14ac:dyDescent="0.2">
      <c r="A55" s="394"/>
      <c r="B55" s="2071" t="s">
        <v>834</v>
      </c>
      <c r="C55" s="2072"/>
      <c r="D55" s="2072"/>
      <c r="E55" s="2072"/>
      <c r="F55" s="2072"/>
      <c r="G55" s="2072"/>
      <c r="H55" s="2072"/>
      <c r="I55" s="395"/>
      <c r="J55" s="396"/>
    </row>
    <row r="56" spans="1:10" ht="42" customHeight="1" x14ac:dyDescent="0.2">
      <c r="A56" s="394"/>
      <c r="B56" s="2033" t="s">
        <v>824</v>
      </c>
      <c r="C56" s="2033"/>
      <c r="D56" s="2033"/>
      <c r="E56" s="2033"/>
      <c r="F56" s="2033"/>
      <c r="G56" s="2033"/>
      <c r="H56" s="2034"/>
      <c r="I56" s="178"/>
      <c r="J56" s="475">
        <f>I56</f>
        <v>0</v>
      </c>
    </row>
    <row r="57" spans="1:10" ht="42" customHeight="1" x14ac:dyDescent="0.2">
      <c r="A57" s="394"/>
      <c r="B57" s="2033" t="s">
        <v>825</v>
      </c>
      <c r="C57" s="2033"/>
      <c r="D57" s="2033"/>
      <c r="E57" s="2033"/>
      <c r="F57" s="2033"/>
      <c r="G57" s="2033"/>
      <c r="H57" s="2034"/>
      <c r="I57" s="178"/>
      <c r="J57" s="475">
        <f>I57</f>
        <v>0</v>
      </c>
    </row>
    <row r="58" spans="1:10" ht="42" customHeight="1" x14ac:dyDescent="0.2">
      <c r="A58" s="394"/>
      <c r="B58" s="2073" t="s">
        <v>826</v>
      </c>
      <c r="C58" s="2074"/>
      <c r="D58" s="2074"/>
      <c r="E58" s="2074"/>
      <c r="F58" s="2074"/>
      <c r="G58" s="2074"/>
      <c r="H58" s="2075"/>
      <c r="I58" s="178"/>
      <c r="J58" s="475">
        <f>I58</f>
        <v>0</v>
      </c>
    </row>
    <row r="59" spans="1:10" ht="42" customHeight="1" x14ac:dyDescent="0.2">
      <c r="A59" s="394"/>
      <c r="B59" s="2035" t="s">
        <v>827</v>
      </c>
      <c r="C59" s="2035"/>
      <c r="D59" s="2035"/>
      <c r="E59" s="2035"/>
      <c r="F59" s="2035"/>
      <c r="G59" s="2035"/>
      <c r="H59" s="2036"/>
      <c r="I59" s="178"/>
      <c r="J59" s="475">
        <f>I59</f>
        <v>0</v>
      </c>
    </row>
    <row r="60" spans="1:10" ht="42" customHeight="1" x14ac:dyDescent="0.2">
      <c r="A60" s="394"/>
      <c r="B60" s="2033" t="s">
        <v>828</v>
      </c>
      <c r="C60" s="2033"/>
      <c r="D60" s="2033"/>
      <c r="E60" s="2033"/>
      <c r="F60" s="2033"/>
      <c r="G60" s="2033"/>
      <c r="H60" s="2034"/>
      <c r="I60" s="178"/>
      <c r="J60" s="475">
        <f>I60</f>
        <v>0</v>
      </c>
    </row>
    <row r="61" spans="1:10" x14ac:dyDescent="0.2">
      <c r="A61" s="394"/>
      <c r="B61" s="2067"/>
      <c r="C61" s="2067"/>
      <c r="D61" s="2067"/>
      <c r="E61" s="2067"/>
      <c r="F61" s="2067"/>
      <c r="G61" s="2067"/>
      <c r="H61" s="2067"/>
      <c r="I61" s="2067"/>
      <c r="J61" s="2068"/>
    </row>
    <row r="62" spans="1:10" ht="33" customHeight="1" x14ac:dyDescent="0.25">
      <c r="A62" s="394" t="s">
        <v>740</v>
      </c>
      <c r="B62" s="2037" t="s">
        <v>792</v>
      </c>
      <c r="C62" s="2032"/>
      <c r="D62" s="2032"/>
      <c r="E62" s="2032"/>
      <c r="F62" s="2032"/>
      <c r="G62" s="2032"/>
      <c r="H62" s="2032"/>
      <c r="I62" s="185"/>
      <c r="J62" s="474">
        <f>I62</f>
        <v>0</v>
      </c>
    </row>
    <row r="63" spans="1:10" ht="53.25" customHeight="1" x14ac:dyDescent="0.25">
      <c r="A63" s="394"/>
      <c r="B63" s="2022" t="s">
        <v>793</v>
      </c>
      <c r="C63" s="2023"/>
      <c r="D63" s="2023"/>
      <c r="E63" s="2023"/>
      <c r="F63" s="2023"/>
      <c r="G63" s="2023"/>
      <c r="H63" s="2023"/>
      <c r="I63" s="386"/>
      <c r="J63" s="387"/>
    </row>
    <row r="64" spans="1:10" ht="15.75" x14ac:dyDescent="0.25">
      <c r="A64" s="394"/>
      <c r="B64" s="2022" t="s">
        <v>794</v>
      </c>
      <c r="C64" s="2023"/>
      <c r="D64" s="2023"/>
      <c r="E64" s="2023"/>
      <c r="F64" s="2023"/>
      <c r="G64" s="2023"/>
      <c r="H64" s="2023"/>
      <c r="I64" s="386"/>
      <c r="J64" s="387"/>
    </row>
    <row r="65" spans="1:10" ht="25.5" customHeight="1" x14ac:dyDescent="0.25">
      <c r="A65" s="394"/>
      <c r="B65" s="2022" t="s">
        <v>795</v>
      </c>
      <c r="C65" s="2023"/>
      <c r="D65" s="2023"/>
      <c r="E65" s="2023"/>
      <c r="F65" s="2023"/>
      <c r="G65" s="2023"/>
      <c r="H65" s="2023"/>
      <c r="I65" s="386"/>
      <c r="J65" s="387"/>
    </row>
    <row r="66" spans="1:10" ht="25.5" customHeight="1" x14ac:dyDescent="0.25">
      <c r="A66" s="394"/>
      <c r="B66" s="2022" t="s">
        <v>796</v>
      </c>
      <c r="C66" s="2023"/>
      <c r="D66" s="2023"/>
      <c r="E66" s="2023"/>
      <c r="F66" s="2023"/>
      <c r="G66" s="2023"/>
      <c r="H66" s="2023"/>
      <c r="I66" s="386"/>
      <c r="J66" s="387"/>
    </row>
    <row r="67" spans="1:10" ht="25.5" customHeight="1" x14ac:dyDescent="0.25">
      <c r="A67" s="394"/>
      <c r="B67" s="2022" t="s">
        <v>797</v>
      </c>
      <c r="C67" s="2023"/>
      <c r="D67" s="2023"/>
      <c r="E67" s="2023"/>
      <c r="F67" s="2023"/>
      <c r="G67" s="2023"/>
      <c r="H67" s="2023"/>
      <c r="I67" s="386"/>
      <c r="J67" s="387"/>
    </row>
    <row r="68" spans="1:10" ht="25.5" customHeight="1" x14ac:dyDescent="0.25">
      <c r="A68" s="394"/>
      <c r="B68" s="2022" t="s">
        <v>798</v>
      </c>
      <c r="C68" s="2023"/>
      <c r="D68" s="2023"/>
      <c r="E68" s="2023"/>
      <c r="F68" s="2023"/>
      <c r="G68" s="2023"/>
      <c r="H68" s="2023"/>
      <c r="I68" s="386"/>
      <c r="J68" s="387"/>
    </row>
    <row r="69" spans="1:10" ht="25.5" customHeight="1" x14ac:dyDescent="0.25">
      <c r="A69" s="394"/>
      <c r="B69" s="2022" t="s">
        <v>799</v>
      </c>
      <c r="C69" s="2023"/>
      <c r="D69" s="2023"/>
      <c r="E69" s="2023"/>
      <c r="F69" s="2023"/>
      <c r="G69" s="2023"/>
      <c r="H69" s="2023"/>
      <c r="I69" s="386"/>
      <c r="J69" s="387"/>
    </row>
    <row r="70" spans="1:10" ht="25.5" customHeight="1" x14ac:dyDescent="0.25">
      <c r="A70" s="394"/>
      <c r="B70" s="2022"/>
      <c r="C70" s="2023"/>
      <c r="D70" s="2023"/>
      <c r="E70" s="2023"/>
      <c r="F70" s="2023"/>
      <c r="G70" s="2023"/>
      <c r="H70" s="2023"/>
      <c r="I70" s="386"/>
      <c r="J70" s="387"/>
    </row>
    <row r="71" spans="1:10" ht="40.5" customHeight="1" x14ac:dyDescent="0.25">
      <c r="A71" s="394" t="s">
        <v>835</v>
      </c>
      <c r="B71" s="2031" t="s">
        <v>800</v>
      </c>
      <c r="C71" s="2032"/>
      <c r="D71" s="2032"/>
      <c r="E71" s="2032"/>
      <c r="F71" s="2032"/>
      <c r="G71" s="2032"/>
      <c r="H71" s="2032"/>
      <c r="I71" s="185"/>
      <c r="J71" s="474">
        <f>I71</f>
        <v>0</v>
      </c>
    </row>
    <row r="72" spans="1:10" ht="59.25" customHeight="1" x14ac:dyDescent="0.25">
      <c r="A72" s="394"/>
      <c r="B72" s="2019" t="s">
        <v>836</v>
      </c>
      <c r="C72" s="2024"/>
      <c r="D72" s="2024"/>
      <c r="E72" s="2024"/>
      <c r="F72" s="2024"/>
      <c r="G72" s="2024"/>
      <c r="H72" s="2024"/>
      <c r="I72" s="386"/>
      <c r="J72" s="387"/>
    </row>
    <row r="73" spans="1:10" ht="64.5" customHeight="1" x14ac:dyDescent="0.25">
      <c r="A73" s="394"/>
      <c r="B73" s="2022" t="s">
        <v>801</v>
      </c>
      <c r="C73" s="2023"/>
      <c r="D73" s="2023"/>
      <c r="E73" s="2023"/>
      <c r="F73" s="2023"/>
      <c r="G73" s="2023"/>
      <c r="H73" s="2023"/>
      <c r="I73" s="386"/>
      <c r="J73" s="387"/>
    </row>
    <row r="74" spans="1:10" ht="25.5" customHeight="1" x14ac:dyDescent="0.25">
      <c r="A74" s="394"/>
      <c r="B74" s="2028" t="s">
        <v>805</v>
      </c>
      <c r="C74" s="2023"/>
      <c r="D74" s="2023"/>
      <c r="E74" s="2023"/>
      <c r="F74" s="2023"/>
      <c r="G74" s="2023"/>
      <c r="H74" s="2023"/>
      <c r="I74" s="386"/>
      <c r="J74" s="387"/>
    </row>
    <row r="75" spans="1:10" ht="48.75" customHeight="1" x14ac:dyDescent="0.25">
      <c r="A75" s="394"/>
      <c r="B75" s="2022" t="s">
        <v>802</v>
      </c>
      <c r="C75" s="2023"/>
      <c r="D75" s="2023"/>
      <c r="E75" s="2023"/>
      <c r="F75" s="2023"/>
      <c r="G75" s="2023"/>
      <c r="H75" s="2023"/>
      <c r="I75" s="386"/>
      <c r="J75" s="387"/>
    </row>
    <row r="76" spans="1:10" ht="23.25" customHeight="1" x14ac:dyDescent="0.25">
      <c r="A76" s="394"/>
      <c r="B76" s="2062" t="s">
        <v>806</v>
      </c>
      <c r="C76" s="2063"/>
      <c r="D76" s="2063"/>
      <c r="E76" s="2063"/>
      <c r="F76" s="2063"/>
      <c r="G76" s="2063"/>
      <c r="H76" s="2063"/>
      <c r="I76" s="386"/>
      <c r="J76" s="387"/>
    </row>
    <row r="77" spans="1:10" ht="42.75" customHeight="1" x14ac:dyDescent="0.25">
      <c r="A77" s="394"/>
      <c r="B77" s="2022" t="s">
        <v>803</v>
      </c>
      <c r="C77" s="2023"/>
      <c r="D77" s="2023"/>
      <c r="E77" s="2023"/>
      <c r="F77" s="2023"/>
      <c r="G77" s="2023"/>
      <c r="H77" s="2023"/>
      <c r="I77" s="386"/>
      <c r="J77" s="387"/>
    </row>
    <row r="78" spans="1:10" ht="21" customHeight="1" x14ac:dyDescent="0.25">
      <c r="A78" s="394"/>
      <c r="B78" s="2062" t="s">
        <v>807</v>
      </c>
      <c r="C78" s="2063"/>
      <c r="D78" s="2063"/>
      <c r="E78" s="2063"/>
      <c r="F78" s="2063"/>
      <c r="G78" s="2063"/>
      <c r="H78" s="2063"/>
      <c r="I78" s="386"/>
      <c r="J78" s="387"/>
    </row>
    <row r="79" spans="1:10" ht="46.5" customHeight="1" x14ac:dyDescent="0.25">
      <c r="A79" s="394"/>
      <c r="B79" s="2025" t="s">
        <v>804</v>
      </c>
      <c r="C79" s="2026"/>
      <c r="D79" s="2026"/>
      <c r="E79" s="2026"/>
      <c r="F79" s="2026"/>
      <c r="G79" s="2026"/>
      <c r="H79" s="2026"/>
      <c r="I79" s="2026"/>
      <c r="J79" s="387"/>
    </row>
    <row r="80" spans="1:10" ht="22.5" customHeight="1" x14ac:dyDescent="0.25">
      <c r="A80" s="394"/>
      <c r="B80" s="2062" t="s">
        <v>838</v>
      </c>
      <c r="C80" s="2063"/>
      <c r="D80" s="2063"/>
      <c r="E80" s="2063"/>
      <c r="F80" s="2063"/>
      <c r="G80" s="2063"/>
      <c r="H80" s="2063"/>
      <c r="I80" s="386"/>
      <c r="J80" s="387"/>
    </row>
    <row r="81" spans="1:10" ht="34.5" customHeight="1" x14ac:dyDescent="0.25">
      <c r="A81" s="394"/>
      <c r="B81" s="2027" t="s">
        <v>837</v>
      </c>
      <c r="C81" s="2026"/>
      <c r="D81" s="2026"/>
      <c r="E81" s="2026"/>
      <c r="F81" s="2026"/>
      <c r="G81" s="2026"/>
      <c r="H81" s="2026"/>
      <c r="I81" s="2026"/>
      <c r="J81" s="387"/>
    </row>
    <row r="82" spans="1:10" ht="21" customHeight="1" x14ac:dyDescent="0.25">
      <c r="A82" s="394"/>
      <c r="B82" s="397"/>
      <c r="C82" s="398"/>
      <c r="D82" s="398"/>
      <c r="E82" s="398"/>
      <c r="F82" s="398"/>
      <c r="G82" s="398"/>
      <c r="H82" s="398"/>
      <c r="I82" s="398"/>
      <c r="J82" s="387"/>
    </row>
    <row r="83" spans="1:10" ht="34.5" customHeight="1" x14ac:dyDescent="0.25">
      <c r="A83" s="394" t="s">
        <v>162</v>
      </c>
      <c r="B83" s="2060" t="s">
        <v>808</v>
      </c>
      <c r="C83" s="2061"/>
      <c r="D83" s="2061"/>
      <c r="E83" s="2061"/>
      <c r="F83" s="2061"/>
      <c r="G83" s="2061"/>
      <c r="H83" s="2061"/>
      <c r="I83" s="718"/>
      <c r="J83" s="474">
        <f>J84+J85</f>
        <v>0</v>
      </c>
    </row>
    <row r="84" spans="1:10" ht="54.75" customHeight="1" x14ac:dyDescent="0.25">
      <c r="A84" s="394"/>
      <c r="B84" s="2017" t="s">
        <v>839</v>
      </c>
      <c r="C84" s="2018"/>
      <c r="D84" s="2018"/>
      <c r="E84" s="2018"/>
      <c r="F84" s="2018"/>
      <c r="G84" s="2018"/>
      <c r="H84" s="2018"/>
      <c r="I84" s="186"/>
      <c r="J84" s="474">
        <f>I84</f>
        <v>0</v>
      </c>
    </row>
    <row r="85" spans="1:10" ht="34.5" customHeight="1" x14ac:dyDescent="0.25">
      <c r="A85" s="394"/>
      <c r="B85" s="2019" t="s">
        <v>840</v>
      </c>
      <c r="C85" s="2020"/>
      <c r="D85" s="2020"/>
      <c r="E85" s="2020"/>
      <c r="F85" s="2020"/>
      <c r="G85" s="2020"/>
      <c r="H85" s="2021"/>
      <c r="I85" s="186"/>
      <c r="J85" s="474">
        <f>I85</f>
        <v>0</v>
      </c>
    </row>
    <row r="86" spans="1:10" ht="31.5" customHeight="1" x14ac:dyDescent="0.25">
      <c r="A86" s="394"/>
      <c r="B86" s="399"/>
      <c r="C86" s="400"/>
      <c r="D86" s="400"/>
      <c r="E86" s="400"/>
      <c r="F86" s="400"/>
      <c r="G86" s="400"/>
      <c r="H86" s="400"/>
      <c r="I86" s="386"/>
      <c r="J86" s="387"/>
    </row>
    <row r="87" spans="1:10" ht="24.75" customHeight="1" x14ac:dyDescent="0.25">
      <c r="A87" s="394" t="s">
        <v>738</v>
      </c>
      <c r="B87" s="2031" t="s">
        <v>809</v>
      </c>
      <c r="C87" s="2032"/>
      <c r="D87" s="2032"/>
      <c r="E87" s="2032"/>
      <c r="F87" s="2032"/>
      <c r="G87" s="2032"/>
      <c r="H87" s="2032"/>
      <c r="I87" s="718"/>
      <c r="J87" s="474">
        <f>SUM(J89:J96)</f>
        <v>0</v>
      </c>
    </row>
    <row r="88" spans="1:10" ht="39.75" customHeight="1" x14ac:dyDescent="0.25">
      <c r="A88" s="394"/>
      <c r="B88" s="2022" t="s">
        <v>810</v>
      </c>
      <c r="C88" s="2029"/>
      <c r="D88" s="2029"/>
      <c r="E88" s="2029"/>
      <c r="F88" s="2029"/>
      <c r="G88" s="2029"/>
      <c r="H88" s="2029"/>
      <c r="I88" s="386"/>
      <c r="J88" s="387"/>
    </row>
    <row r="89" spans="1:10" ht="37.5" customHeight="1" x14ac:dyDescent="0.25">
      <c r="A89" s="394"/>
      <c r="B89" s="2045" t="s">
        <v>841</v>
      </c>
      <c r="C89" s="2023"/>
      <c r="D89" s="2023"/>
      <c r="E89" s="2023"/>
      <c r="F89" s="2023"/>
      <c r="G89" s="2023"/>
      <c r="H89" s="2023"/>
      <c r="I89" s="186"/>
      <c r="J89" s="474">
        <f t="shared" ref="J89:J96" si="0">I89</f>
        <v>0</v>
      </c>
    </row>
    <row r="90" spans="1:10" ht="33.75" customHeight="1" x14ac:dyDescent="0.25">
      <c r="A90" s="394"/>
      <c r="B90" s="2045" t="s">
        <v>842</v>
      </c>
      <c r="C90" s="2023"/>
      <c r="D90" s="2023"/>
      <c r="E90" s="2023"/>
      <c r="F90" s="2023"/>
      <c r="G90" s="2023"/>
      <c r="H90" s="2023"/>
      <c r="I90" s="186"/>
      <c r="J90" s="474">
        <f t="shared" si="0"/>
        <v>0</v>
      </c>
    </row>
    <row r="91" spans="1:10" ht="36.75" customHeight="1" x14ac:dyDescent="0.25">
      <c r="A91" s="394"/>
      <c r="B91" s="2045" t="s">
        <v>843</v>
      </c>
      <c r="C91" s="2023"/>
      <c r="D91" s="2023"/>
      <c r="E91" s="2023"/>
      <c r="F91" s="2023"/>
      <c r="G91" s="2023"/>
      <c r="H91" s="2023"/>
      <c r="I91" s="186"/>
      <c r="J91" s="474">
        <f t="shared" si="0"/>
        <v>0</v>
      </c>
    </row>
    <row r="92" spans="1:10" ht="130.5" customHeight="1" x14ac:dyDescent="0.25">
      <c r="A92" s="394"/>
      <c r="B92" s="2025" t="s">
        <v>823</v>
      </c>
      <c r="C92" s="2039"/>
      <c r="D92" s="2039"/>
      <c r="E92" s="2039"/>
      <c r="F92" s="2039"/>
      <c r="G92" s="2039"/>
      <c r="H92" s="2064"/>
      <c r="I92" s="186"/>
      <c r="J92" s="474">
        <f t="shared" si="0"/>
        <v>0</v>
      </c>
    </row>
    <row r="93" spans="1:10" ht="50.25" customHeight="1" x14ac:dyDescent="0.25">
      <c r="A93" s="394"/>
      <c r="B93" s="2045" t="s">
        <v>844</v>
      </c>
      <c r="C93" s="2023"/>
      <c r="D93" s="2023"/>
      <c r="E93" s="2023"/>
      <c r="F93" s="2023"/>
      <c r="G93" s="2023"/>
      <c r="H93" s="2023"/>
      <c r="I93" s="186"/>
      <c r="J93" s="474">
        <f t="shared" si="0"/>
        <v>0</v>
      </c>
    </row>
    <row r="94" spans="1:10" ht="57.75" customHeight="1" x14ac:dyDescent="0.25">
      <c r="A94" s="401" t="s">
        <v>747</v>
      </c>
      <c r="B94" s="2041" t="s">
        <v>811</v>
      </c>
      <c r="C94" s="2042"/>
      <c r="D94" s="2042"/>
      <c r="E94" s="2042"/>
      <c r="F94" s="2042"/>
      <c r="G94" s="2042"/>
      <c r="H94" s="2042"/>
      <c r="I94" s="186"/>
      <c r="J94" s="474">
        <f t="shared" si="0"/>
        <v>0</v>
      </c>
    </row>
    <row r="95" spans="1:10" ht="60" customHeight="1" x14ac:dyDescent="0.25">
      <c r="A95" s="401" t="s">
        <v>747</v>
      </c>
      <c r="B95" s="2043" t="s">
        <v>812</v>
      </c>
      <c r="C95" s="2044"/>
      <c r="D95" s="2044"/>
      <c r="E95" s="2044"/>
      <c r="F95" s="2044"/>
      <c r="G95" s="2044"/>
      <c r="H95" s="2044"/>
      <c r="I95" s="186"/>
      <c r="J95" s="474">
        <f t="shared" si="0"/>
        <v>0</v>
      </c>
    </row>
    <row r="96" spans="1:10" ht="57" customHeight="1" x14ac:dyDescent="0.25">
      <c r="A96" s="401" t="s">
        <v>747</v>
      </c>
      <c r="B96" s="2041" t="s">
        <v>813</v>
      </c>
      <c r="C96" s="2042"/>
      <c r="D96" s="2042"/>
      <c r="E96" s="2042"/>
      <c r="F96" s="2042"/>
      <c r="G96" s="2042"/>
      <c r="H96" s="2042"/>
      <c r="I96" s="186"/>
      <c r="J96" s="474">
        <f t="shared" si="0"/>
        <v>0</v>
      </c>
    </row>
    <row r="97" spans="1:10" ht="22.5" customHeight="1" x14ac:dyDescent="0.25">
      <c r="A97" s="402"/>
      <c r="B97" s="2022"/>
      <c r="C97" s="2023"/>
      <c r="D97" s="2023"/>
      <c r="E97" s="2023"/>
      <c r="F97" s="2023"/>
      <c r="G97" s="2023"/>
      <c r="H97" s="2023"/>
      <c r="I97" s="386"/>
      <c r="J97" s="387"/>
    </row>
    <row r="98" spans="1:10" ht="48" customHeight="1" x14ac:dyDescent="0.25">
      <c r="A98" s="394" t="s">
        <v>739</v>
      </c>
      <c r="B98" s="2040" t="s">
        <v>814</v>
      </c>
      <c r="C98" s="2020"/>
      <c r="D98" s="2020"/>
      <c r="E98" s="2020"/>
      <c r="F98" s="2020"/>
      <c r="G98" s="2020"/>
      <c r="H98" s="2021"/>
      <c r="I98" s="186"/>
      <c r="J98" s="474">
        <f>I98</f>
        <v>0</v>
      </c>
    </row>
    <row r="99" spans="1:10" ht="87.75" customHeight="1" x14ac:dyDescent="0.25">
      <c r="A99" s="394"/>
      <c r="B99" s="2052" t="s">
        <v>815</v>
      </c>
      <c r="C99" s="2018"/>
      <c r="D99" s="2018"/>
      <c r="E99" s="2018"/>
      <c r="F99" s="2018"/>
      <c r="G99" s="2018"/>
      <c r="H99" s="2018"/>
      <c r="I99" s="391"/>
      <c r="J99" s="387"/>
    </row>
    <row r="100" spans="1:10" ht="33" customHeight="1" x14ac:dyDescent="0.25">
      <c r="A100" s="394"/>
      <c r="B100" s="2028" t="s">
        <v>750</v>
      </c>
      <c r="C100" s="2029"/>
      <c r="D100" s="2029"/>
      <c r="E100" s="2029"/>
      <c r="F100" s="2029"/>
      <c r="G100" s="2029"/>
      <c r="H100" s="2029"/>
      <c r="I100" s="386"/>
      <c r="J100" s="387"/>
    </row>
    <row r="101" spans="1:10" ht="42" customHeight="1" x14ac:dyDescent="0.25">
      <c r="A101" s="394"/>
      <c r="B101" s="2052" t="s">
        <v>748</v>
      </c>
      <c r="C101" s="2018"/>
      <c r="D101" s="2018"/>
      <c r="E101" s="2018"/>
      <c r="F101" s="2018"/>
      <c r="G101" s="2018"/>
      <c r="H101" s="2018"/>
      <c r="I101" s="186"/>
      <c r="J101" s="474">
        <f>I101</f>
        <v>0</v>
      </c>
    </row>
    <row r="102" spans="1:10" ht="18.75" customHeight="1" x14ac:dyDescent="0.25">
      <c r="A102" s="394"/>
      <c r="B102" s="2022" t="s">
        <v>816</v>
      </c>
      <c r="C102" s="2023"/>
      <c r="D102" s="2023"/>
      <c r="E102" s="2023"/>
      <c r="F102" s="2023"/>
      <c r="G102" s="2023"/>
      <c r="H102" s="2023"/>
      <c r="I102" s="386"/>
      <c r="J102" s="387"/>
    </row>
    <row r="103" spans="1:10" ht="36" customHeight="1" x14ac:dyDescent="0.25">
      <c r="A103" s="394"/>
      <c r="B103" s="2028" t="s">
        <v>749</v>
      </c>
      <c r="C103" s="2029"/>
      <c r="D103" s="2029"/>
      <c r="E103" s="2029"/>
      <c r="F103" s="2029"/>
      <c r="G103" s="2029"/>
      <c r="H103" s="2029"/>
      <c r="I103" s="386"/>
      <c r="J103" s="387"/>
    </row>
    <row r="104" spans="1:10" ht="44.25" customHeight="1" x14ac:dyDescent="0.25">
      <c r="A104" s="394"/>
      <c r="B104" s="2052" t="s">
        <v>817</v>
      </c>
      <c r="C104" s="2018"/>
      <c r="D104" s="2018"/>
      <c r="E104" s="2018"/>
      <c r="F104" s="2018"/>
      <c r="G104" s="2018"/>
      <c r="H104" s="2018"/>
      <c r="I104" s="186"/>
      <c r="J104" s="474">
        <f>I104</f>
        <v>0</v>
      </c>
    </row>
    <row r="105" spans="1:10" ht="15.75" customHeight="1" x14ac:dyDescent="0.25">
      <c r="A105" s="394"/>
      <c r="B105" s="2022"/>
      <c r="C105" s="2023"/>
      <c r="D105" s="2023"/>
      <c r="E105" s="2023"/>
      <c r="F105" s="2023"/>
      <c r="G105" s="2023"/>
      <c r="H105" s="2023"/>
      <c r="I105" s="386"/>
      <c r="J105" s="387"/>
    </row>
    <row r="106" spans="1:10" ht="42" customHeight="1" x14ac:dyDescent="0.25">
      <c r="A106" s="394" t="s">
        <v>740</v>
      </c>
      <c r="B106" s="2040" t="s">
        <v>818</v>
      </c>
      <c r="C106" s="2020"/>
      <c r="D106" s="2020"/>
      <c r="E106" s="2020"/>
      <c r="F106" s="2020"/>
      <c r="G106" s="2020"/>
      <c r="H106" s="2021"/>
      <c r="I106" s="186"/>
      <c r="J106" s="474">
        <f>I106</f>
        <v>0</v>
      </c>
    </row>
    <row r="107" spans="1:10" ht="72.75" customHeight="1" x14ac:dyDescent="0.25">
      <c r="A107" s="394"/>
      <c r="B107" s="2052" t="s">
        <v>821</v>
      </c>
      <c r="C107" s="2053"/>
      <c r="D107" s="2053"/>
      <c r="E107" s="2053"/>
      <c r="F107" s="2053"/>
      <c r="G107" s="2053"/>
      <c r="H107" s="2053"/>
      <c r="I107" s="386"/>
      <c r="J107" s="387"/>
    </row>
    <row r="108" spans="1:10" ht="27.75" customHeight="1" x14ac:dyDescent="0.25">
      <c r="A108" s="394"/>
      <c r="B108" s="2028"/>
      <c r="C108" s="2029"/>
      <c r="D108" s="2029"/>
      <c r="E108" s="2029"/>
      <c r="F108" s="2029"/>
      <c r="G108" s="2029"/>
      <c r="H108" s="2029"/>
      <c r="I108" s="386"/>
      <c r="J108" s="387"/>
    </row>
    <row r="109" spans="1:10" ht="45.75" customHeight="1" x14ac:dyDescent="0.25">
      <c r="A109" s="394" t="s">
        <v>751</v>
      </c>
      <c r="B109" s="2040" t="s">
        <v>819</v>
      </c>
      <c r="C109" s="2020"/>
      <c r="D109" s="2020"/>
      <c r="E109" s="2020"/>
      <c r="F109" s="2020"/>
      <c r="G109" s="2020"/>
      <c r="H109" s="2021"/>
      <c r="I109" s="187"/>
      <c r="J109" s="476">
        <f>I109</f>
        <v>0</v>
      </c>
    </row>
    <row r="110" spans="1:10" ht="28.5" customHeight="1" thickBot="1" x14ac:dyDescent="0.3">
      <c r="A110" s="394"/>
      <c r="B110" s="2058" t="s">
        <v>820</v>
      </c>
      <c r="C110" s="2059"/>
      <c r="D110" s="2059"/>
      <c r="E110" s="2059"/>
      <c r="F110" s="2059"/>
      <c r="G110" s="2059"/>
      <c r="H110" s="2059"/>
      <c r="I110" s="403"/>
      <c r="J110" s="404"/>
    </row>
    <row r="111" spans="1:10" ht="16.5" thickTop="1" x14ac:dyDescent="0.25">
      <c r="A111" s="405"/>
      <c r="B111" s="2054" t="s">
        <v>651</v>
      </c>
      <c r="C111" s="2055"/>
      <c r="D111" s="2055"/>
      <c r="E111" s="2055"/>
      <c r="F111" s="2055"/>
      <c r="G111" s="2055"/>
      <c r="H111" s="2055"/>
      <c r="I111" s="2056"/>
      <c r="J111" s="2057"/>
    </row>
    <row r="112" spans="1:10" ht="13.5" customHeight="1" x14ac:dyDescent="0.2">
      <c r="A112" s="406"/>
      <c r="B112" s="2050" t="s">
        <v>157</v>
      </c>
      <c r="C112" s="2050"/>
      <c r="D112" s="2050"/>
      <c r="E112" s="2050"/>
      <c r="F112" s="2050"/>
      <c r="G112" s="2050"/>
      <c r="H112" s="2050"/>
      <c r="I112" s="2046"/>
      <c r="J112" s="2048">
        <f>J109+J106+J98+J87+J83+J71+J62+J54+J51+J42+J35+J30+J25+J11+J5</f>
        <v>0</v>
      </c>
    </row>
    <row r="113" spans="1:10" ht="39" customHeight="1" thickBot="1" x14ac:dyDescent="0.25">
      <c r="A113" s="407"/>
      <c r="B113" s="2051"/>
      <c r="C113" s="2051"/>
      <c r="D113" s="2051"/>
      <c r="E113" s="2051"/>
      <c r="F113" s="2051"/>
      <c r="G113" s="2051"/>
      <c r="H113" s="2051"/>
      <c r="I113" s="2047"/>
      <c r="J113" s="2049"/>
    </row>
    <row r="114" spans="1:10" ht="13.5" thickTop="1" x14ac:dyDescent="0.2"/>
  </sheetData>
  <mergeCells count="108">
    <mergeCell ref="B5:H5"/>
    <mergeCell ref="B18:H18"/>
    <mergeCell ref="B14:H14"/>
    <mergeCell ref="B15:H15"/>
    <mergeCell ref="B16:H16"/>
    <mergeCell ref="B17:H17"/>
    <mergeCell ref="B19:H19"/>
    <mergeCell ref="B24:H24"/>
    <mergeCell ref="B6:H6"/>
    <mergeCell ref="B7:H7"/>
    <mergeCell ref="B13:J13"/>
    <mergeCell ref="B8:H8"/>
    <mergeCell ref="B9:H9"/>
    <mergeCell ref="B11:H11"/>
    <mergeCell ref="B12:H12"/>
    <mergeCell ref="B39:H39"/>
    <mergeCell ref="B40:H40"/>
    <mergeCell ref="B41:H41"/>
    <mergeCell ref="B46:H46"/>
    <mergeCell ref="B42:H42"/>
    <mergeCell ref="B44:H44"/>
    <mergeCell ref="B20:H20"/>
    <mergeCell ref="B21:H21"/>
    <mergeCell ref="B22:H22"/>
    <mergeCell ref="B68:H68"/>
    <mergeCell ref="B65:H65"/>
    <mergeCell ref="B66:H66"/>
    <mergeCell ref="B54:H54"/>
    <mergeCell ref="B56:H56"/>
    <mergeCell ref="B61:J61"/>
    <mergeCell ref="B25:H25"/>
    <mergeCell ref="B49:H49"/>
    <mergeCell ref="B55:H55"/>
    <mergeCell ref="B58:H58"/>
    <mergeCell ref="B26:H26"/>
    <mergeCell ref="B28:H28"/>
    <mergeCell ref="B29:H29"/>
    <mergeCell ref="B30:H30"/>
    <mergeCell ref="B31:H31"/>
    <mergeCell ref="B32:H32"/>
    <mergeCell ref="B33:H33"/>
    <mergeCell ref="B27:H27"/>
    <mergeCell ref="B35:H35"/>
    <mergeCell ref="B36:H36"/>
    <mergeCell ref="B34:H34"/>
    <mergeCell ref="B47:H47"/>
    <mergeCell ref="B37:H37"/>
    <mergeCell ref="B38:H38"/>
    <mergeCell ref="B93:H93"/>
    <mergeCell ref="B83:H83"/>
    <mergeCell ref="B87:H87"/>
    <mergeCell ref="B88:H88"/>
    <mergeCell ref="B76:H76"/>
    <mergeCell ref="B74:H74"/>
    <mergeCell ref="B75:H75"/>
    <mergeCell ref="B77:H77"/>
    <mergeCell ref="B78:H78"/>
    <mergeCell ref="B80:H80"/>
    <mergeCell ref="B92:H92"/>
    <mergeCell ref="B91:H91"/>
    <mergeCell ref="B98:H98"/>
    <mergeCell ref="B96:H96"/>
    <mergeCell ref="B94:H94"/>
    <mergeCell ref="B95:H95"/>
    <mergeCell ref="B89:H89"/>
    <mergeCell ref="B90:H90"/>
    <mergeCell ref="I112:I113"/>
    <mergeCell ref="J112:J113"/>
    <mergeCell ref="B112:H113"/>
    <mergeCell ref="B108:H108"/>
    <mergeCell ref="B99:H99"/>
    <mergeCell ref="B97:H97"/>
    <mergeCell ref="B107:H107"/>
    <mergeCell ref="B111:H111"/>
    <mergeCell ref="I111:J111"/>
    <mergeCell ref="B103:H103"/>
    <mergeCell ref="B104:H104"/>
    <mergeCell ref="B100:H100"/>
    <mergeCell ref="B101:H101"/>
    <mergeCell ref="B102:H102"/>
    <mergeCell ref="B110:H110"/>
    <mergeCell ref="B109:H109"/>
    <mergeCell ref="B105:H105"/>
    <mergeCell ref="B106:H106"/>
    <mergeCell ref="H1:I1"/>
    <mergeCell ref="B2:H2"/>
    <mergeCell ref="B84:H84"/>
    <mergeCell ref="B85:H85"/>
    <mergeCell ref="B43:H43"/>
    <mergeCell ref="B72:H72"/>
    <mergeCell ref="B79:I79"/>
    <mergeCell ref="B81:I81"/>
    <mergeCell ref="B48:H48"/>
    <mergeCell ref="B50:H50"/>
    <mergeCell ref="B45:H45"/>
    <mergeCell ref="B69:H69"/>
    <mergeCell ref="B70:H70"/>
    <mergeCell ref="B71:H71"/>
    <mergeCell ref="B73:H73"/>
    <mergeCell ref="B57:H57"/>
    <mergeCell ref="B60:H60"/>
    <mergeCell ref="B59:H59"/>
    <mergeCell ref="B62:H62"/>
    <mergeCell ref="B63:H63"/>
    <mergeCell ref="B64:H64"/>
    <mergeCell ref="B51:H51"/>
    <mergeCell ref="B52:H52"/>
    <mergeCell ref="B67:H67"/>
  </mergeCells>
  <pageMargins left="0.5" right="0.5" top="0.75" bottom="0.75" header="0.3" footer="0.3"/>
  <pageSetup scale="88" fitToHeight="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E35"/>
  <sheetViews>
    <sheetView workbookViewId="0">
      <selection activeCell="G1" sqref="G1"/>
    </sheetView>
  </sheetViews>
  <sheetFormatPr defaultColWidth="8.85546875" defaultRowHeight="12.75" x14ac:dyDescent="0.2"/>
  <cols>
    <col min="1" max="1" width="43.42578125" customWidth="1"/>
    <col min="2" max="2" width="34.7109375" customWidth="1"/>
    <col min="5" max="5" width="15.42578125" customWidth="1"/>
    <col min="6" max="6" width="13.28515625" customWidth="1"/>
    <col min="7" max="7" width="18.140625" style="105" customWidth="1"/>
    <col min="8" max="9" width="18.28515625" style="105" customWidth="1"/>
    <col min="10" max="10" width="17.85546875" customWidth="1"/>
    <col min="11" max="11" width="36.42578125" customWidth="1"/>
    <col min="28" max="30" width="9.140625" hidden="1" customWidth="1"/>
    <col min="31" max="32" width="0" hidden="1" customWidth="1"/>
  </cols>
  <sheetData>
    <row r="1" spans="1:31" ht="13.5" thickBot="1" x14ac:dyDescent="0.25">
      <c r="A1" s="376" t="s">
        <v>730</v>
      </c>
      <c r="B1" s="776" t="str">
        <f>+Cover!D7</f>
        <v>02142019.SA1</v>
      </c>
      <c r="C1" s="377"/>
      <c r="D1" s="377"/>
      <c r="E1" s="377"/>
      <c r="F1" s="377"/>
      <c r="G1" s="378"/>
      <c r="H1" s="378"/>
      <c r="I1" s="2085">
        <f>+Cover!E10</f>
        <v>0</v>
      </c>
      <c r="J1" s="2085"/>
      <c r="K1" s="2085"/>
    </row>
    <row r="2" spans="1:31" ht="29.25" customHeight="1" thickTop="1" x14ac:dyDescent="0.2">
      <c r="A2" s="2091" t="s">
        <v>632</v>
      </c>
      <c r="B2" s="2091"/>
      <c r="C2" s="2091"/>
      <c r="D2" s="2091"/>
      <c r="E2" s="2091"/>
      <c r="F2" s="2091"/>
      <c r="G2" s="2091"/>
      <c r="H2" s="2091"/>
      <c r="I2" s="2091"/>
      <c r="J2" s="2091"/>
      <c r="K2" s="2091"/>
    </row>
    <row r="3" spans="1:31" ht="29.25" customHeight="1" x14ac:dyDescent="0.2">
      <c r="A3" s="2092"/>
      <c r="B3" s="2092"/>
      <c r="C3" s="2092"/>
      <c r="D3" s="2092"/>
      <c r="E3" s="2092"/>
      <c r="F3" s="2092"/>
      <c r="G3" s="2092"/>
      <c r="H3" s="2092"/>
      <c r="I3" s="2092"/>
      <c r="J3" s="2092"/>
      <c r="K3" s="2092"/>
    </row>
    <row r="4" spans="1:31" ht="37.5" customHeight="1" x14ac:dyDescent="0.2">
      <c r="A4" s="2086" t="s">
        <v>633</v>
      </c>
      <c r="B4" s="2086" t="s">
        <v>634</v>
      </c>
      <c r="C4" s="2086" t="s">
        <v>635</v>
      </c>
      <c r="D4" s="2086" t="s">
        <v>636</v>
      </c>
      <c r="E4" s="2086" t="s">
        <v>637</v>
      </c>
      <c r="F4" s="2087" t="s">
        <v>638</v>
      </c>
      <c r="G4" s="2093" t="s">
        <v>639</v>
      </c>
      <c r="H4" s="2093" t="s">
        <v>1557</v>
      </c>
      <c r="I4" s="2089" t="s">
        <v>649</v>
      </c>
      <c r="J4" s="2086" t="s">
        <v>644</v>
      </c>
      <c r="K4" s="2086" t="s">
        <v>640</v>
      </c>
    </row>
    <row r="5" spans="1:31" x14ac:dyDescent="0.2">
      <c r="A5" s="2086"/>
      <c r="B5" s="2086"/>
      <c r="C5" s="2086"/>
      <c r="D5" s="2086"/>
      <c r="E5" s="2086"/>
      <c r="F5" s="2088"/>
      <c r="G5" s="2093"/>
      <c r="H5" s="2093"/>
      <c r="I5" s="2090"/>
      <c r="J5" s="2086"/>
      <c r="K5" s="2086"/>
      <c r="AB5" s="106" t="s">
        <v>641</v>
      </c>
      <c r="AC5" s="106" t="s">
        <v>642</v>
      </c>
      <c r="AD5" s="106" t="s">
        <v>30</v>
      </c>
      <c r="AE5" s="106" t="s">
        <v>645</v>
      </c>
    </row>
    <row r="6" spans="1:31" x14ac:dyDescent="0.2">
      <c r="A6" s="109"/>
      <c r="B6" s="110"/>
      <c r="C6" s="110"/>
      <c r="D6" s="110"/>
      <c r="E6" s="110"/>
      <c r="F6" s="110"/>
      <c r="G6" s="111"/>
      <c r="H6" s="111"/>
      <c r="I6" s="111"/>
      <c r="J6" s="110"/>
      <c r="K6" s="110"/>
      <c r="AB6" s="106" t="s">
        <v>477</v>
      </c>
      <c r="AC6" s="106" t="s">
        <v>643</v>
      </c>
      <c r="AD6" s="106" t="s">
        <v>24</v>
      </c>
      <c r="AE6" s="106" t="s">
        <v>646</v>
      </c>
    </row>
    <row r="7" spans="1:31" x14ac:dyDescent="0.2">
      <c r="A7" s="109"/>
      <c r="B7" s="110"/>
      <c r="C7" s="110"/>
      <c r="D7" s="110"/>
      <c r="E7" s="110"/>
      <c r="F7" s="110"/>
      <c r="G7" s="111"/>
      <c r="H7" s="111"/>
      <c r="I7" s="111"/>
      <c r="J7" s="110"/>
      <c r="K7" s="110"/>
    </row>
    <row r="8" spans="1:31" x14ac:dyDescent="0.2">
      <c r="A8" s="109"/>
      <c r="B8" s="110"/>
      <c r="C8" s="110"/>
      <c r="D8" s="110"/>
      <c r="E8" s="110"/>
      <c r="F8" s="110"/>
      <c r="G8" s="111"/>
      <c r="H8" s="111"/>
      <c r="I8" s="111"/>
      <c r="J8" s="110"/>
      <c r="K8" s="110"/>
    </row>
    <row r="9" spans="1:31" x14ac:dyDescent="0.2">
      <c r="A9" s="109"/>
      <c r="B9" s="110"/>
      <c r="C9" s="110"/>
      <c r="D9" s="110"/>
      <c r="E9" s="110"/>
      <c r="F9" s="110"/>
      <c r="G9" s="111"/>
      <c r="H9" s="111"/>
      <c r="I9" s="111"/>
      <c r="J9" s="110"/>
      <c r="K9" s="110"/>
    </row>
    <row r="10" spans="1:31" x14ac:dyDescent="0.2">
      <c r="A10" s="109"/>
      <c r="B10" s="110"/>
      <c r="C10" s="110"/>
      <c r="D10" s="110"/>
      <c r="E10" s="110"/>
      <c r="F10" s="110"/>
      <c r="G10" s="111"/>
      <c r="H10" s="111"/>
      <c r="I10" s="111"/>
      <c r="J10" s="110"/>
      <c r="K10" s="110"/>
    </row>
    <row r="11" spans="1:31" x14ac:dyDescent="0.2">
      <c r="A11" s="109"/>
      <c r="B11" s="110"/>
      <c r="C11" s="110"/>
      <c r="D11" s="110"/>
      <c r="E11" s="110"/>
      <c r="F11" s="110"/>
      <c r="G11" s="111"/>
      <c r="H11" s="111"/>
      <c r="I11" s="111"/>
      <c r="J11" s="110"/>
      <c r="K11" s="110"/>
    </row>
    <row r="12" spans="1:31" x14ac:dyDescent="0.2">
      <c r="A12" s="109"/>
      <c r="B12" s="110"/>
      <c r="C12" s="110"/>
      <c r="D12" s="110"/>
      <c r="E12" s="110"/>
      <c r="F12" s="110"/>
      <c r="G12" s="111"/>
      <c r="H12" s="111"/>
      <c r="I12" s="111"/>
      <c r="J12" s="110"/>
      <c r="K12" s="110"/>
    </row>
    <row r="13" spans="1:31" x14ac:dyDescent="0.2">
      <c r="A13" s="109"/>
      <c r="B13" s="110"/>
      <c r="C13" s="110"/>
      <c r="D13" s="110"/>
      <c r="E13" s="110"/>
      <c r="F13" s="110"/>
      <c r="G13" s="111"/>
      <c r="H13" s="111"/>
      <c r="I13" s="111"/>
      <c r="J13" s="110"/>
      <c r="K13" s="110"/>
    </row>
    <row r="14" spans="1:31" x14ac:dyDescent="0.2">
      <c r="A14" s="109"/>
      <c r="B14" s="110"/>
      <c r="C14" s="110"/>
      <c r="D14" s="110"/>
      <c r="E14" s="110"/>
      <c r="F14" s="110"/>
      <c r="G14" s="111"/>
      <c r="H14" s="111"/>
      <c r="I14" s="111"/>
      <c r="J14" s="110"/>
      <c r="K14" s="110"/>
    </row>
    <row r="15" spans="1:31" x14ac:dyDescent="0.2">
      <c r="A15" s="109"/>
      <c r="B15" s="110"/>
      <c r="C15" s="110"/>
      <c r="D15" s="110"/>
      <c r="E15" s="110"/>
      <c r="F15" s="110"/>
      <c r="G15" s="111"/>
      <c r="H15" s="111"/>
      <c r="I15" s="111"/>
      <c r="J15" s="110"/>
      <c r="K15" s="110"/>
    </row>
    <row r="16" spans="1:31" x14ac:dyDescent="0.2">
      <c r="A16" s="109"/>
      <c r="B16" s="110"/>
      <c r="C16" s="110"/>
      <c r="D16" s="110"/>
      <c r="E16" s="110"/>
      <c r="F16" s="110"/>
      <c r="G16" s="111"/>
      <c r="H16" s="111"/>
      <c r="I16" s="111"/>
      <c r="J16" s="110"/>
      <c r="K16" s="110"/>
    </row>
    <row r="17" spans="1:11" x14ac:dyDescent="0.2">
      <c r="A17" s="109"/>
      <c r="B17" s="110"/>
      <c r="C17" s="110"/>
      <c r="D17" s="110"/>
      <c r="E17" s="110"/>
      <c r="F17" s="110"/>
      <c r="G17" s="111"/>
      <c r="H17" s="111"/>
      <c r="I17" s="111"/>
      <c r="J17" s="110"/>
      <c r="K17" s="110"/>
    </row>
    <row r="18" spans="1:11" x14ac:dyDescent="0.2">
      <c r="A18" s="109"/>
      <c r="B18" s="110"/>
      <c r="C18" s="110"/>
      <c r="D18" s="110"/>
      <c r="E18" s="110"/>
      <c r="F18" s="110"/>
      <c r="G18" s="111"/>
      <c r="H18" s="111"/>
      <c r="I18" s="111"/>
      <c r="J18" s="110"/>
      <c r="K18" s="110"/>
    </row>
    <row r="19" spans="1:11" x14ac:dyDescent="0.2">
      <c r="A19" s="109"/>
      <c r="B19" s="110"/>
      <c r="C19" s="110"/>
      <c r="D19" s="110"/>
      <c r="E19" s="110"/>
      <c r="F19" s="110"/>
      <c r="G19" s="111"/>
      <c r="H19" s="111"/>
      <c r="I19" s="111"/>
      <c r="J19" s="110"/>
      <c r="K19" s="110"/>
    </row>
    <row r="20" spans="1:11" x14ac:dyDescent="0.2">
      <c r="A20" s="109"/>
      <c r="B20" s="110"/>
      <c r="C20" s="110"/>
      <c r="D20" s="110"/>
      <c r="E20" s="110"/>
      <c r="F20" s="110"/>
      <c r="G20" s="111"/>
      <c r="H20" s="111"/>
      <c r="I20" s="111"/>
      <c r="J20" s="110"/>
      <c r="K20" s="110"/>
    </row>
    <row r="21" spans="1:11" x14ac:dyDescent="0.2">
      <c r="A21" s="109"/>
      <c r="B21" s="110"/>
      <c r="C21" s="110"/>
      <c r="D21" s="110"/>
      <c r="E21" s="110"/>
      <c r="F21" s="110"/>
      <c r="G21" s="111"/>
      <c r="H21" s="111"/>
      <c r="I21" s="111"/>
      <c r="J21" s="110"/>
      <c r="K21" s="110"/>
    </row>
    <row r="22" spans="1:11" x14ac:dyDescent="0.2">
      <c r="A22" s="109"/>
      <c r="B22" s="110"/>
      <c r="C22" s="110"/>
      <c r="D22" s="110"/>
      <c r="E22" s="110"/>
      <c r="F22" s="110"/>
      <c r="G22" s="111"/>
      <c r="H22" s="111"/>
      <c r="I22" s="111"/>
      <c r="J22" s="110"/>
      <c r="K22" s="110"/>
    </row>
    <row r="23" spans="1:11" x14ac:dyDescent="0.2">
      <c r="A23" s="109"/>
      <c r="B23" s="110"/>
      <c r="C23" s="110"/>
      <c r="D23" s="110"/>
      <c r="E23" s="110"/>
      <c r="F23" s="110"/>
      <c r="G23" s="111"/>
      <c r="H23" s="111"/>
      <c r="I23" s="111"/>
      <c r="J23" s="110"/>
      <c r="K23" s="110"/>
    </row>
    <row r="24" spans="1:11" x14ac:dyDescent="0.2">
      <c r="A24" s="109"/>
      <c r="B24" s="110"/>
      <c r="C24" s="110"/>
      <c r="D24" s="110"/>
      <c r="E24" s="110"/>
      <c r="F24" s="110"/>
      <c r="G24" s="111"/>
      <c r="H24" s="111"/>
      <c r="I24" s="111"/>
      <c r="J24" s="110"/>
      <c r="K24" s="110"/>
    </row>
    <row r="25" spans="1:11" x14ac:dyDescent="0.2">
      <c r="A25" s="109"/>
      <c r="B25" s="110"/>
      <c r="C25" s="110"/>
      <c r="D25" s="110"/>
      <c r="E25" s="110"/>
      <c r="F25" s="110"/>
      <c r="G25" s="111"/>
      <c r="H25" s="111"/>
      <c r="I25" s="111"/>
      <c r="J25" s="110"/>
      <c r="K25" s="110"/>
    </row>
    <row r="26" spans="1:11" x14ac:dyDescent="0.2">
      <c r="A26" s="109"/>
      <c r="B26" s="110"/>
      <c r="C26" s="110"/>
      <c r="D26" s="110"/>
      <c r="E26" s="110"/>
      <c r="F26" s="110"/>
      <c r="G26" s="111"/>
      <c r="H26" s="111"/>
      <c r="I26" s="111"/>
      <c r="J26" s="110"/>
      <c r="K26" s="110"/>
    </row>
    <row r="27" spans="1:11" x14ac:dyDescent="0.2">
      <c r="A27" s="109"/>
      <c r="B27" s="110"/>
      <c r="C27" s="110"/>
      <c r="D27" s="110"/>
      <c r="E27" s="110"/>
      <c r="F27" s="110"/>
      <c r="G27" s="111"/>
      <c r="H27" s="111"/>
      <c r="I27" s="111"/>
      <c r="J27" s="110"/>
      <c r="K27" s="110"/>
    </row>
    <row r="28" spans="1:11" x14ac:dyDescent="0.2">
      <c r="A28" s="109"/>
      <c r="B28" s="110"/>
      <c r="C28" s="110"/>
      <c r="D28" s="110"/>
      <c r="E28" s="110"/>
      <c r="F28" s="110"/>
      <c r="G28" s="111"/>
      <c r="H28" s="111"/>
      <c r="I28" s="111"/>
      <c r="J28" s="110"/>
      <c r="K28" s="110"/>
    </row>
    <row r="29" spans="1:11" x14ac:dyDescent="0.2">
      <c r="A29" s="109"/>
      <c r="B29" s="110"/>
      <c r="C29" s="110"/>
      <c r="D29" s="110"/>
      <c r="E29" s="110"/>
      <c r="F29" s="110"/>
      <c r="G29" s="111"/>
      <c r="H29" s="111"/>
      <c r="I29" s="111"/>
      <c r="J29" s="110"/>
      <c r="K29" s="110"/>
    </row>
    <row r="30" spans="1:11" ht="13.5" thickBot="1" x14ac:dyDescent="0.25">
      <c r="A30" s="112"/>
      <c r="B30" s="113"/>
      <c r="C30" s="113"/>
      <c r="D30" s="113"/>
      <c r="E30" s="113"/>
      <c r="F30" s="113"/>
      <c r="G30" s="114"/>
      <c r="H30" s="114"/>
      <c r="I30" s="114"/>
      <c r="J30" s="113"/>
      <c r="K30" s="113"/>
    </row>
    <row r="31" spans="1:11" ht="13.5" thickTop="1" x14ac:dyDescent="0.2">
      <c r="A31" s="377"/>
      <c r="B31" s="377"/>
      <c r="C31" s="377"/>
      <c r="D31" s="377"/>
      <c r="E31" s="377"/>
      <c r="F31" s="377"/>
      <c r="G31" s="378"/>
      <c r="H31" s="378"/>
      <c r="I31" s="378"/>
      <c r="J31" s="377"/>
      <c r="K31" s="377"/>
    </row>
    <row r="32" spans="1:11" ht="15.75" x14ac:dyDescent="0.25">
      <c r="A32" s="379" t="s">
        <v>647</v>
      </c>
      <c r="B32" s="377"/>
      <c r="C32" s="377"/>
      <c r="D32" s="377"/>
      <c r="E32" s="377"/>
      <c r="F32" s="377"/>
      <c r="G32" s="378"/>
      <c r="H32" s="378"/>
      <c r="I32" s="378"/>
      <c r="J32" s="377"/>
      <c r="K32" s="377"/>
    </row>
    <row r="33" spans="1:11" ht="15.75" x14ac:dyDescent="0.25">
      <c r="A33" s="379"/>
      <c r="B33" s="377"/>
      <c r="C33" s="377"/>
      <c r="D33" s="377"/>
      <c r="E33" s="377"/>
      <c r="F33" s="377"/>
      <c r="G33" s="378"/>
      <c r="H33" s="378"/>
      <c r="I33" s="378"/>
      <c r="J33" s="377"/>
      <c r="K33" s="377"/>
    </row>
    <row r="34" spans="1:11" ht="15.75" x14ac:dyDescent="0.25">
      <c r="A34" s="379" t="s">
        <v>648</v>
      </c>
      <c r="B34" s="377"/>
      <c r="C34" s="377"/>
      <c r="D34" s="377"/>
      <c r="E34" s="377"/>
      <c r="F34" s="377"/>
      <c r="G34" s="378"/>
      <c r="H34" s="378"/>
      <c r="I34" s="378"/>
      <c r="J34" s="377"/>
      <c r="K34" s="377"/>
    </row>
    <row r="35" spans="1:11" ht="15.75" x14ac:dyDescent="0.25">
      <c r="A35" s="104"/>
    </row>
  </sheetData>
  <sheetProtection password="CC14" sheet="1" objects="1" scenarios="1"/>
  <mergeCells count="14">
    <mergeCell ref="I1:K1"/>
    <mergeCell ref="K4:K5"/>
    <mergeCell ref="F4:F5"/>
    <mergeCell ref="I4:I5"/>
    <mergeCell ref="A2:K2"/>
    <mergeCell ref="A3:K3"/>
    <mergeCell ref="A4:A5"/>
    <mergeCell ref="B4:B5"/>
    <mergeCell ref="C4:C5"/>
    <mergeCell ref="D4:D5"/>
    <mergeCell ref="E4:E5"/>
    <mergeCell ref="G4:G5"/>
    <mergeCell ref="H4:H5"/>
    <mergeCell ref="J4:J5"/>
  </mergeCells>
  <dataValidations count="4">
    <dataValidation type="list" allowBlank="1" showInputMessage="1" showErrorMessage="1" sqref="D6:D30">
      <formula1>$AB$5:$AB$6</formula1>
    </dataValidation>
    <dataValidation type="list" allowBlank="1" showInputMessage="1" showErrorMessage="1" sqref="E6:E30">
      <formula1>$AC$5:$AC$6</formula1>
    </dataValidation>
    <dataValidation type="list" allowBlank="1" showInputMessage="1" showErrorMessage="1" sqref="F6:F30">
      <formula1>$AD$5:$AD$6</formula1>
    </dataValidation>
    <dataValidation type="list" allowBlank="1" showInputMessage="1" showErrorMessage="1" sqref="J6:J30">
      <formula1>$AE$5:$AE$6</formula1>
    </dataValidation>
  </dataValidations>
  <pageMargins left="0.7" right="0.7" top="0.75" bottom="0.75" header="0.3" footer="0.3"/>
  <pageSetup scale="5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M8"/>
  <sheetViews>
    <sheetView workbookViewId="0">
      <selection activeCell="G13" sqref="G13"/>
    </sheetView>
  </sheetViews>
  <sheetFormatPr defaultColWidth="9.140625" defaultRowHeight="12.75" x14ac:dyDescent="0.2"/>
  <cols>
    <col min="1" max="1" width="1.7109375" style="21" customWidth="1"/>
    <col min="2" max="6" width="9.140625" style="21"/>
    <col min="7" max="7" width="15.42578125" style="21" customWidth="1"/>
    <col min="8" max="9" width="9.140625" style="21"/>
    <col min="10" max="10" width="0.42578125" style="21" customWidth="1"/>
    <col min="11" max="11" width="7.7109375" style="21" customWidth="1"/>
    <col min="12" max="12" width="0.140625" style="21" customWidth="1"/>
    <col min="13" max="13" width="1.42578125" style="21" customWidth="1"/>
    <col min="14" max="16384" width="9.140625" style="21"/>
  </cols>
  <sheetData>
    <row r="1" spans="1:13" ht="13.5" x14ac:dyDescent="0.25">
      <c r="A1" s="1" t="s">
        <v>248</v>
      </c>
      <c r="C1" s="777" t="str">
        <f>+Cover!D7</f>
        <v>02142019.SA1</v>
      </c>
      <c r="H1" s="21">
        <f>+Cover!E10</f>
        <v>0</v>
      </c>
    </row>
    <row r="2" spans="1:13" ht="15.75" x14ac:dyDescent="0.25">
      <c r="B2" s="96" t="s">
        <v>395</v>
      </c>
      <c r="C2" s="97"/>
      <c r="D2" s="98"/>
      <c r="E2" s="98"/>
      <c r="F2" s="98"/>
      <c r="G2" s="98"/>
      <c r="H2" s="98"/>
      <c r="I2" s="98"/>
      <c r="J2" s="98"/>
      <c r="K2" s="99"/>
      <c r="M2" s="94"/>
    </row>
    <row r="3" spans="1:13" ht="26.25" customHeight="1" x14ac:dyDescent="0.2">
      <c r="B3" s="95" t="s">
        <v>108</v>
      </c>
      <c r="C3" s="95"/>
      <c r="D3" s="95"/>
      <c r="E3" s="95"/>
      <c r="F3" s="95"/>
      <c r="G3" s="95"/>
      <c r="H3" s="95"/>
      <c r="I3" s="95"/>
      <c r="J3" s="95"/>
      <c r="K3" s="95"/>
      <c r="L3" s="95"/>
      <c r="M3" s="95"/>
    </row>
    <row r="4" spans="1:13" ht="118.5" customHeight="1" x14ac:dyDescent="0.2">
      <c r="B4" s="2094" t="s">
        <v>619</v>
      </c>
      <c r="C4" s="2094"/>
      <c r="D4" s="2094"/>
      <c r="E4" s="2094"/>
      <c r="F4" s="2094"/>
      <c r="G4" s="2094"/>
      <c r="H4" s="2094"/>
      <c r="I4" s="2094"/>
      <c r="J4" s="2094"/>
      <c r="K4" s="2094"/>
      <c r="L4" s="2094"/>
      <c r="M4" s="2094"/>
    </row>
    <row r="5" spans="1:13" ht="33.75" customHeight="1" x14ac:dyDescent="0.2">
      <c r="B5" s="2094" t="s">
        <v>396</v>
      </c>
      <c r="C5" s="2094"/>
      <c r="D5" s="2094"/>
      <c r="E5" s="2094"/>
      <c r="F5" s="2094"/>
      <c r="G5" s="2094"/>
      <c r="H5" s="2094"/>
      <c r="I5" s="2094"/>
      <c r="J5" s="2094"/>
      <c r="K5" s="2094"/>
      <c r="L5" s="2094"/>
      <c r="M5" s="2094"/>
    </row>
    <row r="6" spans="1:13" ht="129" customHeight="1" x14ac:dyDescent="0.2">
      <c r="B6" s="2095" t="s">
        <v>1558</v>
      </c>
      <c r="C6" s="2094"/>
      <c r="D6" s="2094"/>
      <c r="E6" s="2094"/>
      <c r="F6" s="2094"/>
      <c r="G6" s="2094"/>
      <c r="H6" s="2094"/>
      <c r="I6" s="2094"/>
      <c r="J6" s="2094"/>
      <c r="K6" s="2094"/>
      <c r="L6" s="2094"/>
      <c r="M6" s="2094"/>
    </row>
    <row r="7" spans="1:13" ht="124.5" customHeight="1" x14ac:dyDescent="0.2">
      <c r="B7" s="2095" t="s">
        <v>620</v>
      </c>
      <c r="C7" s="2094"/>
      <c r="D7" s="2094"/>
      <c r="E7" s="2094"/>
      <c r="F7" s="2094"/>
      <c r="G7" s="2094"/>
      <c r="H7" s="2094"/>
      <c r="I7" s="2094"/>
      <c r="J7" s="2094"/>
      <c r="K7" s="2094"/>
      <c r="L7" s="2094"/>
      <c r="M7" s="2094"/>
    </row>
    <row r="8" spans="1:13" ht="172.5" customHeight="1" x14ac:dyDescent="0.2">
      <c r="B8" s="2096" t="s">
        <v>1687</v>
      </c>
      <c r="C8" s="2097"/>
      <c r="D8" s="2097"/>
      <c r="E8" s="2097"/>
      <c r="F8" s="2097"/>
      <c r="G8" s="2097"/>
      <c r="H8" s="2097"/>
      <c r="I8" s="2097"/>
      <c r="J8" s="2097"/>
      <c r="K8" s="2097"/>
      <c r="L8" s="95"/>
      <c r="M8" s="95"/>
    </row>
  </sheetData>
  <sheetProtection password="CC14" sheet="1" objects="1" scenarios="1"/>
  <mergeCells count="5">
    <mergeCell ref="B4:M4"/>
    <mergeCell ref="B5:M5"/>
    <mergeCell ref="B6:M6"/>
    <mergeCell ref="B7:M7"/>
    <mergeCell ref="B8:K8"/>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B1:Z69"/>
  <sheetViews>
    <sheetView workbookViewId="0">
      <selection activeCell="H31" sqref="H31:I34"/>
    </sheetView>
  </sheetViews>
  <sheetFormatPr defaultRowHeight="12.75" x14ac:dyDescent="0.2"/>
  <cols>
    <col min="1" max="2" width="9.140625" style="1322"/>
    <col min="3" max="3" width="45.28515625" style="1324" customWidth="1"/>
    <col min="4" max="4" width="27.7109375" style="1322" customWidth="1"/>
    <col min="5" max="8" width="9.140625" style="1322"/>
    <col min="9" max="9" width="45.28515625" style="1322" customWidth="1"/>
    <col min="10" max="16384" width="9.140625" style="1322"/>
  </cols>
  <sheetData>
    <row r="1" spans="2:26" ht="21" thickTop="1" x14ac:dyDescent="0.3">
      <c r="B1" s="1336"/>
      <c r="C1" s="2108" t="s">
        <v>1905</v>
      </c>
      <c r="D1" s="2109"/>
      <c r="E1" s="2109"/>
      <c r="F1" s="2109"/>
      <c r="G1" s="2109"/>
      <c r="H1" s="2109"/>
      <c r="I1" s="2110"/>
      <c r="O1" s="1323"/>
      <c r="P1" s="1323"/>
      <c r="Q1" s="1323"/>
      <c r="R1" s="1323"/>
      <c r="S1" s="1323"/>
      <c r="T1" s="1323"/>
      <c r="U1" s="1323"/>
      <c r="V1" s="1323"/>
      <c r="W1" s="1323"/>
      <c r="X1" s="1323"/>
      <c r="Y1" s="1323"/>
      <c r="Z1" s="1323"/>
    </row>
    <row r="2" spans="2:26" x14ac:dyDescent="0.2">
      <c r="B2" s="1336"/>
      <c r="C2" s="1340"/>
      <c r="D2" s="1327"/>
      <c r="E2" s="1341"/>
      <c r="F2" s="1327"/>
      <c r="G2" s="1327"/>
      <c r="H2" s="1327"/>
      <c r="I2" s="1342"/>
    </row>
    <row r="3" spans="2:26" ht="18" x14ac:dyDescent="0.25">
      <c r="B3" s="1336"/>
      <c r="C3" s="2111" t="s">
        <v>1906</v>
      </c>
      <c r="D3" s="2112"/>
      <c r="E3" s="2112"/>
      <c r="F3" s="2112"/>
      <c r="G3" s="2112"/>
      <c r="H3" s="2112"/>
      <c r="I3" s="2113"/>
      <c r="O3" s="1325"/>
      <c r="P3" s="1325"/>
      <c r="Q3" s="1325"/>
      <c r="R3" s="1325"/>
      <c r="S3" s="1325"/>
      <c r="T3" s="1325"/>
      <c r="U3" s="1325"/>
      <c r="V3" s="1325"/>
      <c r="W3" s="1325"/>
      <c r="X3" s="1325"/>
      <c r="Y3" s="1325"/>
      <c r="Z3" s="1325"/>
    </row>
    <row r="4" spans="2:26" x14ac:dyDescent="0.2">
      <c r="B4" s="1336"/>
      <c r="C4" s="1340"/>
      <c r="D4" s="1327"/>
      <c r="E4" s="1327"/>
      <c r="F4" s="1327"/>
      <c r="G4" s="1327"/>
      <c r="H4" s="1327"/>
      <c r="I4" s="1342"/>
    </row>
    <row r="5" spans="2:26" ht="63.75" customHeight="1" x14ac:dyDescent="0.2">
      <c r="B5" s="1336"/>
      <c r="C5" s="2098" t="s">
        <v>1907</v>
      </c>
      <c r="D5" s="2114"/>
      <c r="E5" s="2114"/>
      <c r="F5" s="2114"/>
      <c r="G5" s="2114"/>
      <c r="H5" s="2114"/>
      <c r="I5" s="2099"/>
    </row>
    <row r="6" spans="2:26" ht="25.5" customHeight="1" x14ac:dyDescent="0.2">
      <c r="B6" s="1336"/>
      <c r="C6" s="2126" t="s">
        <v>1908</v>
      </c>
      <c r="D6" s="2127"/>
      <c r="E6" s="2102"/>
      <c r="F6" s="2102"/>
      <c r="G6" s="2102"/>
      <c r="H6" s="1327"/>
      <c r="I6" s="1342"/>
    </row>
    <row r="7" spans="2:26" x14ac:dyDescent="0.2">
      <c r="B7" s="1336"/>
      <c r="C7" s="1343"/>
      <c r="D7" s="1344"/>
      <c r="E7" s="2119"/>
      <c r="F7" s="2119"/>
      <c r="G7" s="2119"/>
      <c r="H7" s="1344"/>
      <c r="I7" s="1345"/>
    </row>
    <row r="8" spans="2:26" ht="39" customHeight="1" x14ac:dyDescent="0.2">
      <c r="B8" s="1336"/>
      <c r="C8" s="2118" t="s">
        <v>1913</v>
      </c>
      <c r="D8" s="2118"/>
      <c r="E8" s="2120"/>
      <c r="F8" s="2120"/>
      <c r="G8" s="2121"/>
      <c r="H8" s="1363"/>
      <c r="I8" s="1362" t="s">
        <v>1933</v>
      </c>
    </row>
    <row r="9" spans="2:26" s="1326" customFormat="1" ht="33" customHeight="1" x14ac:dyDescent="0.2">
      <c r="B9" s="1339"/>
      <c r="C9" s="2128" t="s">
        <v>1914</v>
      </c>
      <c r="D9" s="2128"/>
      <c r="E9" s="2122"/>
      <c r="F9" s="2122"/>
      <c r="G9" s="2123"/>
      <c r="H9" s="2100" t="s">
        <v>2017</v>
      </c>
      <c r="I9" s="2101"/>
    </row>
    <row r="10" spans="2:26" s="1326" customFormat="1" ht="33" customHeight="1" x14ac:dyDescent="0.2">
      <c r="B10" s="2104" t="s">
        <v>1956</v>
      </c>
      <c r="C10" s="2105"/>
      <c r="D10" s="1331"/>
      <c r="E10" s="1332"/>
      <c r="F10" s="1332"/>
      <c r="G10" s="1333"/>
      <c r="H10" s="1346" t="s">
        <v>1956</v>
      </c>
      <c r="I10" s="1347"/>
    </row>
    <row r="11" spans="2:26" ht="15.75" x14ac:dyDescent="0.2">
      <c r="B11" s="1338" t="s">
        <v>1958</v>
      </c>
      <c r="C11" s="1328"/>
      <c r="D11" s="1327"/>
      <c r="E11" s="2102"/>
      <c r="F11" s="2102"/>
      <c r="G11" s="2103"/>
      <c r="H11" s="1354" t="s">
        <v>1958</v>
      </c>
      <c r="I11" s="1348"/>
    </row>
    <row r="12" spans="2:26" ht="21" customHeight="1" x14ac:dyDescent="0.2">
      <c r="B12" s="1334" t="s">
        <v>1957</v>
      </c>
      <c r="C12" s="1329" t="s">
        <v>1998</v>
      </c>
      <c r="D12" s="1327"/>
      <c r="E12" s="2102"/>
      <c r="F12" s="2102"/>
      <c r="G12" s="2102"/>
      <c r="H12" s="1349" t="s">
        <v>1957</v>
      </c>
      <c r="I12" s="1350" t="s">
        <v>1998</v>
      </c>
    </row>
    <row r="13" spans="2:26" ht="20.25" customHeight="1" x14ac:dyDescent="0.2">
      <c r="B13" s="1334" t="s">
        <v>1959</v>
      </c>
      <c r="C13" s="1329" t="s">
        <v>1995</v>
      </c>
      <c r="D13" s="1327"/>
      <c r="E13" s="1327"/>
      <c r="F13" s="1327"/>
      <c r="G13" s="1327"/>
      <c r="H13" s="1349" t="s">
        <v>1959</v>
      </c>
      <c r="I13" s="1350" t="s">
        <v>1995</v>
      </c>
    </row>
    <row r="14" spans="2:26" ht="23.25" customHeight="1" x14ac:dyDescent="0.2">
      <c r="B14" s="1334" t="s">
        <v>1960</v>
      </c>
      <c r="C14" s="1329" t="s">
        <v>1996</v>
      </c>
      <c r="D14" s="1327"/>
      <c r="E14" s="2102"/>
      <c r="F14" s="2102"/>
      <c r="G14" s="2103"/>
      <c r="H14" s="1355" t="s">
        <v>1999</v>
      </c>
      <c r="I14" s="1348"/>
    </row>
    <row r="15" spans="2:26" ht="22.5" customHeight="1" x14ac:dyDescent="0.2">
      <c r="B15" s="1334" t="s">
        <v>1965</v>
      </c>
      <c r="C15" s="1330" t="s">
        <v>678</v>
      </c>
      <c r="D15" s="1327"/>
      <c r="E15" s="2102"/>
      <c r="F15" s="2102"/>
      <c r="G15" s="2103"/>
      <c r="H15" s="1349" t="s">
        <v>2000</v>
      </c>
      <c r="I15" s="1360" t="s">
        <v>1885</v>
      </c>
    </row>
    <row r="16" spans="2:26" ht="28.5" customHeight="1" x14ac:dyDescent="0.2">
      <c r="B16" s="1334" t="s">
        <v>1966</v>
      </c>
      <c r="C16" s="1329" t="s">
        <v>1997</v>
      </c>
      <c r="D16" s="1327"/>
      <c r="E16" s="2102"/>
      <c r="F16" s="2102"/>
      <c r="G16" s="2103"/>
      <c r="H16" s="1349" t="s">
        <v>2001</v>
      </c>
      <c r="I16" s="1360" t="s">
        <v>1886</v>
      </c>
    </row>
    <row r="17" spans="2:9" ht="21.75" customHeight="1" x14ac:dyDescent="0.2">
      <c r="B17" s="1334" t="s">
        <v>1967</v>
      </c>
      <c r="C17" s="1330" t="s">
        <v>1917</v>
      </c>
      <c r="D17" s="1327"/>
      <c r="E17" s="2102"/>
      <c r="F17" s="2102"/>
      <c r="G17" s="2103"/>
      <c r="H17" s="1349" t="s">
        <v>2002</v>
      </c>
      <c r="I17" s="1361" t="s">
        <v>2003</v>
      </c>
    </row>
    <row r="18" spans="2:9" ht="23.25" customHeight="1" x14ac:dyDescent="0.2">
      <c r="B18" s="1334" t="s">
        <v>1968</v>
      </c>
      <c r="C18" s="1330" t="s">
        <v>1915</v>
      </c>
      <c r="D18" s="1327"/>
      <c r="E18" s="2102"/>
      <c r="F18" s="2102"/>
      <c r="G18" s="2103"/>
      <c r="H18" s="1349" t="s">
        <v>2004</v>
      </c>
      <c r="I18" s="1360" t="s">
        <v>1888</v>
      </c>
    </row>
    <row r="19" spans="2:9" x14ac:dyDescent="0.2">
      <c r="B19" s="1334" t="s">
        <v>1969</v>
      </c>
      <c r="C19" s="1330" t="s">
        <v>1916</v>
      </c>
      <c r="D19" s="1327"/>
      <c r="E19" s="2102"/>
      <c r="F19" s="2102"/>
      <c r="G19" s="2103"/>
      <c r="H19" s="1349" t="s">
        <v>2005</v>
      </c>
      <c r="I19" s="1361" t="s">
        <v>2006</v>
      </c>
    </row>
    <row r="20" spans="2:9" ht="21.75" customHeight="1" x14ac:dyDescent="0.2">
      <c r="B20" s="1335"/>
      <c r="C20" s="1330" t="s">
        <v>56</v>
      </c>
      <c r="D20" s="1327"/>
      <c r="E20" s="2102"/>
      <c r="F20" s="2102"/>
      <c r="G20" s="2103"/>
      <c r="H20" s="1349" t="s">
        <v>2007</v>
      </c>
      <c r="I20" s="1360" t="s">
        <v>1889</v>
      </c>
    </row>
    <row r="21" spans="2:9" ht="21.75" customHeight="1" x14ac:dyDescent="0.2">
      <c r="B21" s="1335"/>
      <c r="C21" s="1330" t="s">
        <v>678</v>
      </c>
      <c r="D21" s="1327"/>
      <c r="E21" s="2102"/>
      <c r="F21" s="2102"/>
      <c r="G21" s="2103"/>
      <c r="H21" s="1349" t="s">
        <v>2008</v>
      </c>
      <c r="I21" s="1360" t="s">
        <v>1884</v>
      </c>
    </row>
    <row r="22" spans="2:9" ht="22.5" customHeight="1" x14ac:dyDescent="0.2">
      <c r="B22" s="1334" t="s">
        <v>1961</v>
      </c>
      <c r="C22" s="1329" t="s">
        <v>1922</v>
      </c>
      <c r="D22" s="1327"/>
      <c r="E22" s="2102"/>
      <c r="F22" s="2102"/>
      <c r="G22" s="2103"/>
      <c r="H22" s="1349" t="s">
        <v>2009</v>
      </c>
      <c r="I22" s="1360" t="s">
        <v>1741</v>
      </c>
    </row>
    <row r="23" spans="2:9" ht="21.75" customHeight="1" x14ac:dyDescent="0.2">
      <c r="B23" s="1334" t="s">
        <v>1962</v>
      </c>
      <c r="C23" s="1329" t="s">
        <v>1920</v>
      </c>
      <c r="D23" s="1327"/>
      <c r="E23" s="2102"/>
      <c r="F23" s="2102"/>
      <c r="G23" s="2103"/>
      <c r="H23" s="1349" t="s">
        <v>2010</v>
      </c>
      <c r="I23" s="1360" t="s">
        <v>463</v>
      </c>
    </row>
    <row r="24" spans="2:9" ht="21.75" customHeight="1" x14ac:dyDescent="0.2">
      <c r="B24" s="1334" t="s">
        <v>1963</v>
      </c>
      <c r="C24" s="1330" t="s">
        <v>1918</v>
      </c>
      <c r="D24" s="1327"/>
      <c r="E24" s="2102"/>
      <c r="F24" s="2102"/>
      <c r="G24" s="2103"/>
      <c r="H24" s="1349" t="s">
        <v>2011</v>
      </c>
      <c r="I24" s="1360" t="s">
        <v>1890</v>
      </c>
    </row>
    <row r="25" spans="2:9" ht="21" customHeight="1" x14ac:dyDescent="0.2">
      <c r="B25" s="1334" t="s">
        <v>1964</v>
      </c>
      <c r="C25" s="1329" t="s">
        <v>1921</v>
      </c>
      <c r="D25" s="1327"/>
      <c r="E25" s="2102"/>
      <c r="F25" s="2102"/>
      <c r="G25" s="2103"/>
      <c r="H25" s="1351" t="s">
        <v>2012</v>
      </c>
      <c r="I25" s="1360" t="s">
        <v>1891</v>
      </c>
    </row>
    <row r="26" spans="2:9" ht="21" customHeight="1" x14ac:dyDescent="0.2">
      <c r="B26" s="1334" t="s">
        <v>1970</v>
      </c>
      <c r="C26" s="1330" t="s">
        <v>1919</v>
      </c>
      <c r="D26" s="1327"/>
      <c r="E26" s="2102"/>
      <c r="F26" s="2102"/>
      <c r="G26" s="2103"/>
      <c r="H26" s="1351" t="s">
        <v>2013</v>
      </c>
      <c r="I26" s="1360" t="s">
        <v>1892</v>
      </c>
    </row>
    <row r="27" spans="2:9" ht="21.75" customHeight="1" x14ac:dyDescent="0.2">
      <c r="B27" s="1334" t="s">
        <v>1971</v>
      </c>
      <c r="C27" s="1329" t="s">
        <v>1924</v>
      </c>
      <c r="D27" s="1327"/>
      <c r="E27" s="2102"/>
      <c r="F27" s="2102"/>
      <c r="G27" s="2103"/>
      <c r="H27" s="1351" t="s">
        <v>2014</v>
      </c>
      <c r="I27" s="1360" t="s">
        <v>1893</v>
      </c>
    </row>
    <row r="28" spans="2:9" ht="19.5" customHeight="1" x14ac:dyDescent="0.2">
      <c r="B28" s="1334" t="s">
        <v>1972</v>
      </c>
      <c r="C28" s="1330" t="s">
        <v>39</v>
      </c>
      <c r="D28" s="1327"/>
      <c r="E28" s="2102"/>
      <c r="F28" s="2102"/>
      <c r="G28" s="2103"/>
      <c r="H28" s="1351" t="s">
        <v>2015</v>
      </c>
      <c r="I28" s="1360" t="s">
        <v>1894</v>
      </c>
    </row>
    <row r="29" spans="2:9" ht="24" customHeight="1" x14ac:dyDescent="0.2">
      <c r="B29" s="1335"/>
      <c r="C29" s="1356" t="s">
        <v>680</v>
      </c>
      <c r="D29" s="1327"/>
      <c r="E29" s="2102"/>
      <c r="F29" s="2102"/>
      <c r="G29" s="2103"/>
      <c r="H29" s="1351" t="s">
        <v>2016</v>
      </c>
      <c r="I29" s="1360" t="s">
        <v>1895</v>
      </c>
    </row>
    <row r="30" spans="2:9" ht="21.75" customHeight="1" x14ac:dyDescent="0.2">
      <c r="B30" s="1334" t="s">
        <v>1973</v>
      </c>
      <c r="C30" s="1329" t="s">
        <v>1923</v>
      </c>
      <c r="D30" s="1327"/>
      <c r="E30" s="2102"/>
      <c r="F30" s="2102"/>
      <c r="G30" s="2103"/>
      <c r="H30" s="1352"/>
      <c r="I30" s="1353"/>
    </row>
    <row r="31" spans="2:9" ht="17.25" customHeight="1" x14ac:dyDescent="0.2">
      <c r="B31" s="1334" t="s">
        <v>1974</v>
      </c>
      <c r="C31" s="1329" t="s">
        <v>1920</v>
      </c>
      <c r="D31" s="1327"/>
      <c r="E31" s="2102"/>
      <c r="F31" s="2102"/>
      <c r="G31" s="2103"/>
      <c r="H31" s="2098" t="s">
        <v>2022</v>
      </c>
      <c r="I31" s="2099"/>
    </row>
    <row r="32" spans="2:9" ht="24.75" customHeight="1" x14ac:dyDescent="0.2">
      <c r="B32" s="1334" t="s">
        <v>1975</v>
      </c>
      <c r="C32" s="1330" t="s">
        <v>1918</v>
      </c>
      <c r="D32" s="1327"/>
      <c r="E32" s="2102"/>
      <c r="F32" s="2102"/>
      <c r="G32" s="2103"/>
      <c r="H32" s="2098"/>
      <c r="I32" s="2099"/>
    </row>
    <row r="33" spans="2:9" ht="23.25" customHeight="1" x14ac:dyDescent="0.2">
      <c r="B33" s="1334" t="s">
        <v>1976</v>
      </c>
      <c r="C33" s="1329" t="s">
        <v>1921</v>
      </c>
      <c r="D33" s="1327"/>
      <c r="E33" s="2102"/>
      <c r="F33" s="2102"/>
      <c r="G33" s="2103"/>
      <c r="H33" s="2098"/>
      <c r="I33" s="2099"/>
    </row>
    <row r="34" spans="2:9" ht="24" customHeight="1" x14ac:dyDescent="0.2">
      <c r="B34" s="1334" t="s">
        <v>1977</v>
      </c>
      <c r="C34" s="1330" t="s">
        <v>1919</v>
      </c>
      <c r="D34" s="1327"/>
      <c r="E34" s="2102"/>
      <c r="F34" s="2102"/>
      <c r="G34" s="2103"/>
      <c r="H34" s="2098"/>
      <c r="I34" s="2099"/>
    </row>
    <row r="35" spans="2:9" ht="22.5" customHeight="1" x14ac:dyDescent="0.2">
      <c r="B35" s="1334" t="s">
        <v>1978</v>
      </c>
      <c r="C35" s="1329" t="s">
        <v>1924</v>
      </c>
      <c r="D35" s="1327"/>
      <c r="E35" s="2102"/>
      <c r="F35" s="2102"/>
      <c r="G35" s="2103"/>
      <c r="H35" s="1357"/>
      <c r="I35" s="1342"/>
    </row>
    <row r="36" spans="2:9" ht="23.25" customHeight="1" x14ac:dyDescent="0.2">
      <c r="B36" s="1334" t="s">
        <v>1979</v>
      </c>
      <c r="C36" s="1330" t="s">
        <v>39</v>
      </c>
      <c r="D36" s="1327"/>
      <c r="E36" s="2102"/>
      <c r="F36" s="2102"/>
      <c r="G36" s="2103"/>
      <c r="H36" s="1357"/>
      <c r="I36" s="1342"/>
    </row>
    <row r="37" spans="2:9" ht="22.5" customHeight="1" x14ac:dyDescent="0.2">
      <c r="B37" s="1335"/>
      <c r="C37" s="1330" t="s">
        <v>1769</v>
      </c>
      <c r="D37" s="1327"/>
      <c r="E37" s="2102"/>
      <c r="F37" s="2102"/>
      <c r="G37" s="2103"/>
      <c r="H37" s="1357"/>
      <c r="I37" s="1342"/>
    </row>
    <row r="38" spans="2:9" ht="23.25" customHeight="1" x14ac:dyDescent="0.2">
      <c r="B38" s="1334" t="s">
        <v>1980</v>
      </c>
      <c r="C38" s="1329" t="s">
        <v>1923</v>
      </c>
      <c r="D38" s="1327"/>
      <c r="E38" s="2102"/>
      <c r="F38" s="2102"/>
      <c r="G38" s="2103"/>
      <c r="H38" s="1357"/>
      <c r="I38" s="1342"/>
    </row>
    <row r="39" spans="2:9" ht="21.75" customHeight="1" x14ac:dyDescent="0.2">
      <c r="B39" s="1334" t="s">
        <v>1981</v>
      </c>
      <c r="C39" s="1329" t="s">
        <v>1920</v>
      </c>
      <c r="D39" s="1327"/>
      <c r="E39" s="2102"/>
      <c r="F39" s="2102"/>
      <c r="G39" s="2103"/>
      <c r="H39" s="1357"/>
      <c r="I39" s="1342"/>
    </row>
    <row r="40" spans="2:9" ht="20.25" customHeight="1" x14ac:dyDescent="0.2">
      <c r="B40" s="1334" t="s">
        <v>1982</v>
      </c>
      <c r="C40" s="1330" t="s">
        <v>1918</v>
      </c>
      <c r="D40" s="1327"/>
      <c r="E40" s="2102"/>
      <c r="F40" s="2102"/>
      <c r="G40" s="2103"/>
      <c r="H40" s="1357"/>
      <c r="I40" s="1342"/>
    </row>
    <row r="41" spans="2:9" ht="20.25" customHeight="1" x14ac:dyDescent="0.2">
      <c r="B41" s="1334" t="s">
        <v>1983</v>
      </c>
      <c r="C41" s="1329" t="s">
        <v>1921</v>
      </c>
      <c r="D41" s="1327"/>
      <c r="E41" s="2102"/>
      <c r="F41" s="2102"/>
      <c r="G41" s="2103"/>
      <c r="H41" s="1357"/>
      <c r="I41" s="1342"/>
    </row>
    <row r="42" spans="2:9" ht="21" customHeight="1" x14ac:dyDescent="0.2">
      <c r="B42" s="1334" t="s">
        <v>1984</v>
      </c>
      <c r="C42" s="1330" t="s">
        <v>1919</v>
      </c>
      <c r="D42" s="1327"/>
      <c r="E42" s="2102"/>
      <c r="F42" s="2102"/>
      <c r="G42" s="2103"/>
      <c r="H42" s="1357"/>
      <c r="I42" s="1342"/>
    </row>
    <row r="43" spans="2:9" ht="22.5" customHeight="1" x14ac:dyDescent="0.2">
      <c r="B43" s="1334" t="s">
        <v>1985</v>
      </c>
      <c r="C43" s="1329" t="s">
        <v>1924</v>
      </c>
      <c r="D43" s="1327"/>
      <c r="E43" s="2102"/>
      <c r="F43" s="2102"/>
      <c r="G43" s="2103"/>
      <c r="H43" s="1357"/>
      <c r="I43" s="1342"/>
    </row>
    <row r="44" spans="2:9" ht="19.5" customHeight="1" x14ac:dyDescent="0.2">
      <c r="B44" s="1334" t="s">
        <v>1986</v>
      </c>
      <c r="C44" s="1330" t="s">
        <v>39</v>
      </c>
      <c r="D44" s="1327"/>
      <c r="E44" s="2102"/>
      <c r="F44" s="2102"/>
      <c r="G44" s="2103"/>
      <c r="H44" s="1357"/>
      <c r="I44" s="1342"/>
    </row>
    <row r="45" spans="2:9" x14ac:dyDescent="0.2">
      <c r="B45" s="1336"/>
      <c r="C45" s="1330"/>
      <c r="D45" s="1327"/>
      <c r="E45" s="2102"/>
      <c r="F45" s="2102"/>
      <c r="G45" s="2103"/>
      <c r="H45" s="1357"/>
      <c r="I45" s="1342"/>
    </row>
    <row r="46" spans="2:9" ht="19.5" customHeight="1" x14ac:dyDescent="0.2">
      <c r="B46" s="2106" t="s">
        <v>1925</v>
      </c>
      <c r="C46" s="2107"/>
      <c r="D46" s="1327"/>
      <c r="E46" s="2102"/>
      <c r="F46" s="2102"/>
      <c r="G46" s="2103"/>
      <c r="H46" s="1357"/>
      <c r="I46" s="1342"/>
    </row>
    <row r="47" spans="2:9" x14ac:dyDescent="0.2">
      <c r="B47" s="1334" t="s">
        <v>1957</v>
      </c>
      <c r="C47" s="1329" t="s">
        <v>1987</v>
      </c>
      <c r="D47" s="1327"/>
      <c r="E47" s="2102"/>
      <c r="F47" s="2102"/>
      <c r="G47" s="2103"/>
      <c r="H47" s="1357"/>
      <c r="I47" s="1342"/>
    </row>
    <row r="48" spans="2:9" x14ac:dyDescent="0.2">
      <c r="B48" s="1336"/>
      <c r="C48" s="1330"/>
      <c r="D48" s="1327"/>
      <c r="E48" s="2102"/>
      <c r="F48" s="2102"/>
      <c r="G48" s="2103"/>
      <c r="H48" s="1357"/>
      <c r="I48" s="1342"/>
    </row>
    <row r="49" spans="2:9" ht="15.75" x14ac:dyDescent="0.2">
      <c r="B49" s="2106" t="s">
        <v>1926</v>
      </c>
      <c r="C49" s="2107"/>
      <c r="D49" s="1327"/>
      <c r="E49" s="2102"/>
      <c r="F49" s="2102"/>
      <c r="G49" s="2103"/>
      <c r="H49" s="1357"/>
      <c r="I49" s="1342"/>
    </row>
    <row r="50" spans="2:9" ht="18.75" customHeight="1" x14ac:dyDescent="0.2">
      <c r="B50" s="1336"/>
      <c r="C50" s="1330" t="s">
        <v>139</v>
      </c>
      <c r="D50" s="1327"/>
      <c r="E50" s="2102"/>
      <c r="F50" s="2102"/>
      <c r="G50" s="2103"/>
      <c r="H50" s="1357"/>
      <c r="I50" s="1342"/>
    </row>
    <row r="51" spans="2:9" ht="17.25" customHeight="1" x14ac:dyDescent="0.2">
      <c r="B51" s="1334" t="s">
        <v>1988</v>
      </c>
      <c r="C51" s="1329" t="s">
        <v>1923</v>
      </c>
      <c r="D51" s="1327"/>
      <c r="E51" s="2102"/>
      <c r="F51" s="2102"/>
      <c r="G51" s="2103"/>
      <c r="H51" s="1357"/>
      <c r="I51" s="1342"/>
    </row>
    <row r="52" spans="2:9" ht="22.5" customHeight="1" x14ac:dyDescent="0.2">
      <c r="B52" s="1334" t="s">
        <v>1989</v>
      </c>
      <c r="C52" s="1329" t="s">
        <v>1920</v>
      </c>
      <c r="D52" s="1327"/>
      <c r="E52" s="2102"/>
      <c r="F52" s="2102"/>
      <c r="G52" s="2103"/>
      <c r="H52" s="1357"/>
      <c r="I52" s="1342"/>
    </row>
    <row r="53" spans="2:9" ht="21.75" customHeight="1" x14ac:dyDescent="0.2">
      <c r="B53" s="1334" t="s">
        <v>1990</v>
      </c>
      <c r="C53" s="1330" t="s">
        <v>1918</v>
      </c>
      <c r="D53" s="1327"/>
      <c r="E53" s="2102"/>
      <c r="F53" s="2102"/>
      <c r="G53" s="2103"/>
      <c r="H53" s="1357"/>
      <c r="I53" s="1342"/>
    </row>
    <row r="54" spans="2:9" ht="24" customHeight="1" x14ac:dyDescent="0.2">
      <c r="B54" s="1334" t="s">
        <v>1991</v>
      </c>
      <c r="C54" s="1329" t="s">
        <v>1921</v>
      </c>
      <c r="D54" s="1327"/>
      <c r="E54" s="2102"/>
      <c r="F54" s="2102"/>
      <c r="G54" s="2103"/>
      <c r="H54" s="1357"/>
      <c r="I54" s="1342"/>
    </row>
    <row r="55" spans="2:9" ht="21.75" customHeight="1" x14ac:dyDescent="0.2">
      <c r="B55" s="1334" t="s">
        <v>1992</v>
      </c>
      <c r="C55" s="1330" t="s">
        <v>1919</v>
      </c>
      <c r="D55" s="1327"/>
      <c r="E55" s="2102"/>
      <c r="F55" s="2102"/>
      <c r="G55" s="2103"/>
      <c r="H55" s="1357"/>
      <c r="I55" s="1342"/>
    </row>
    <row r="56" spans="2:9" ht="21.75" customHeight="1" x14ac:dyDescent="0.2">
      <c r="B56" s="1334" t="s">
        <v>1993</v>
      </c>
      <c r="C56" s="1329" t="s">
        <v>1924</v>
      </c>
      <c r="D56" s="1327"/>
      <c r="E56" s="2102"/>
      <c r="F56" s="2102"/>
      <c r="G56" s="2103"/>
      <c r="H56" s="1357"/>
      <c r="I56" s="1342"/>
    </row>
    <row r="57" spans="2:9" x14ac:dyDescent="0.2">
      <c r="B57" s="1334" t="s">
        <v>1994</v>
      </c>
      <c r="C57" s="1329" t="s">
        <v>39</v>
      </c>
      <c r="D57" s="1327"/>
      <c r="E57" s="2102"/>
      <c r="F57" s="2102"/>
      <c r="G57" s="2103"/>
      <c r="H57" s="1357"/>
      <c r="I57" s="1342"/>
    </row>
    <row r="58" spans="2:9" x14ac:dyDescent="0.2">
      <c r="B58" s="1336"/>
      <c r="C58" s="1330"/>
      <c r="D58" s="1327"/>
      <c r="E58" s="2102"/>
      <c r="F58" s="2102"/>
      <c r="G58" s="2103"/>
      <c r="H58" s="1357"/>
      <c r="I58" s="1342"/>
    </row>
    <row r="59" spans="2:9" ht="15.75" x14ac:dyDescent="0.2">
      <c r="B59" s="2106" t="s">
        <v>1929</v>
      </c>
      <c r="C59" s="2107"/>
      <c r="D59" s="1327"/>
      <c r="E59" s="2102"/>
      <c r="F59" s="2102"/>
      <c r="G59" s="2103"/>
      <c r="H59" s="1357"/>
      <c r="I59" s="1342"/>
    </row>
    <row r="60" spans="2:9" x14ac:dyDescent="0.2">
      <c r="B60" s="1336"/>
      <c r="C60" s="1329" t="s">
        <v>1930</v>
      </c>
      <c r="D60" s="1327"/>
      <c r="E60" s="2102"/>
      <c r="F60" s="2102"/>
      <c r="G60" s="2103"/>
      <c r="H60" s="1357"/>
      <c r="I60" s="1342"/>
    </row>
    <row r="61" spans="2:9" x14ac:dyDescent="0.2">
      <c r="B61" s="1336"/>
      <c r="C61" s="1330"/>
      <c r="D61" s="1327"/>
      <c r="E61" s="2102"/>
      <c r="F61" s="2102"/>
      <c r="G61" s="2103"/>
      <c r="H61" s="1357"/>
      <c r="I61" s="1342"/>
    </row>
    <row r="62" spans="2:9" ht="15.75" x14ac:dyDescent="0.2">
      <c r="B62" s="2106" t="s">
        <v>1927</v>
      </c>
      <c r="C62" s="2107"/>
      <c r="D62" s="1327"/>
      <c r="E62" s="2102"/>
      <c r="F62" s="2102"/>
      <c r="G62" s="2103"/>
      <c r="H62" s="1357"/>
      <c r="I62" s="1342"/>
    </row>
    <row r="63" spans="2:9" ht="21" customHeight="1" x14ac:dyDescent="0.2">
      <c r="B63" s="1336"/>
      <c r="C63" s="1329" t="s">
        <v>1928</v>
      </c>
      <c r="D63" s="1327"/>
      <c r="E63" s="2102"/>
      <c r="F63" s="2102"/>
      <c r="G63" s="2103"/>
      <c r="H63" s="1357"/>
      <c r="I63" s="1342"/>
    </row>
    <row r="64" spans="2:9" x14ac:dyDescent="0.2">
      <c r="B64" s="1336"/>
      <c r="C64" s="1330"/>
      <c r="D64" s="1327"/>
      <c r="E64" s="2102"/>
      <c r="F64" s="2102"/>
      <c r="G64" s="2103"/>
      <c r="H64" s="1357"/>
      <c r="I64" s="1342"/>
    </row>
    <row r="65" spans="2:9" x14ac:dyDescent="0.2">
      <c r="B65" s="1336"/>
      <c r="C65" s="2124" t="s">
        <v>1931</v>
      </c>
      <c r="D65" s="2124"/>
      <c r="E65" s="2124"/>
      <c r="F65" s="2124"/>
      <c r="G65" s="2125"/>
      <c r="H65" s="1357"/>
      <c r="I65" s="1342"/>
    </row>
    <row r="66" spans="2:9" x14ac:dyDescent="0.2">
      <c r="B66" s="1336"/>
      <c r="C66" s="2124" t="s">
        <v>1932</v>
      </c>
      <c r="D66" s="2124"/>
      <c r="E66" s="2124"/>
      <c r="F66" s="2124"/>
      <c r="G66" s="2125"/>
      <c r="H66" s="1357"/>
      <c r="I66" s="1342"/>
    </row>
    <row r="67" spans="2:9" x14ac:dyDescent="0.2">
      <c r="B67" s="1336"/>
      <c r="C67" s="1330"/>
      <c r="D67" s="1327"/>
      <c r="E67" s="2102"/>
      <c r="F67" s="2102"/>
      <c r="G67" s="2103"/>
      <c r="H67" s="1357"/>
      <c r="I67" s="1342"/>
    </row>
    <row r="68" spans="2:9" ht="54.75" customHeight="1" thickBot="1" x14ac:dyDescent="0.25">
      <c r="B68" s="1337"/>
      <c r="C68" s="2115" t="s">
        <v>1955</v>
      </c>
      <c r="D68" s="2116"/>
      <c r="E68" s="2116"/>
      <c r="F68" s="2116"/>
      <c r="G68" s="2117"/>
      <c r="H68" s="1358"/>
      <c r="I68" s="1359"/>
    </row>
    <row r="69" spans="2:9" ht="13.5" thickTop="1" x14ac:dyDescent="0.2"/>
  </sheetData>
  <sheetProtection password="CC14" sheet="1" objects="1" scenarios="1"/>
  <mergeCells count="74">
    <mergeCell ref="C66:G66"/>
    <mergeCell ref="C6:D6"/>
    <mergeCell ref="C9:D9"/>
    <mergeCell ref="E18:G18"/>
    <mergeCell ref="E19:G19"/>
    <mergeCell ref="E20:G20"/>
    <mergeCell ref="E21:G21"/>
    <mergeCell ref="E22:G22"/>
    <mergeCell ref="E23:G23"/>
    <mergeCell ref="E24:G24"/>
    <mergeCell ref="E25:G25"/>
    <mergeCell ref="E26:G26"/>
    <mergeCell ref="E27:G27"/>
    <mergeCell ref="E28:G28"/>
    <mergeCell ref="E29:G29"/>
    <mergeCell ref="E30:G30"/>
    <mergeCell ref="C1:I1"/>
    <mergeCell ref="C3:I3"/>
    <mergeCell ref="C5:I5"/>
    <mergeCell ref="C68:G68"/>
    <mergeCell ref="C8:D8"/>
    <mergeCell ref="E6:G6"/>
    <mergeCell ref="E7:G7"/>
    <mergeCell ref="E8:G8"/>
    <mergeCell ref="E9:G9"/>
    <mergeCell ref="E11:G11"/>
    <mergeCell ref="E12:G12"/>
    <mergeCell ref="E14:G14"/>
    <mergeCell ref="E15:G15"/>
    <mergeCell ref="E16:G16"/>
    <mergeCell ref="E17:G17"/>
    <mergeCell ref="C65:G65"/>
    <mergeCell ref="E31:G31"/>
    <mergeCell ref="E32:G32"/>
    <mergeCell ref="E33:G33"/>
    <mergeCell ref="E34:G34"/>
    <mergeCell ref="E35:G35"/>
    <mergeCell ref="E36:G36"/>
    <mergeCell ref="E37:G37"/>
    <mergeCell ref="E38:G38"/>
    <mergeCell ref="E39:G39"/>
    <mergeCell ref="E40:G40"/>
    <mergeCell ref="E41:G41"/>
    <mergeCell ref="E42:G42"/>
    <mergeCell ref="E43:G43"/>
    <mergeCell ref="E44:G44"/>
    <mergeCell ref="E45:G45"/>
    <mergeCell ref="E46:G46"/>
    <mergeCell ref="E47:G47"/>
    <mergeCell ref="E48:G48"/>
    <mergeCell ref="E56:G56"/>
    <mergeCell ref="E57:G57"/>
    <mergeCell ref="E58:G58"/>
    <mergeCell ref="E49:G49"/>
    <mergeCell ref="E50:G50"/>
    <mergeCell ref="E51:G51"/>
    <mergeCell ref="E52:G52"/>
    <mergeCell ref="E53:G53"/>
    <mergeCell ref="H31:I34"/>
    <mergeCell ref="H9:I9"/>
    <mergeCell ref="E64:G64"/>
    <mergeCell ref="E67:G67"/>
    <mergeCell ref="B10:C10"/>
    <mergeCell ref="B46:C46"/>
    <mergeCell ref="B49:C49"/>
    <mergeCell ref="B59:C59"/>
    <mergeCell ref="B62:C62"/>
    <mergeCell ref="E59:G59"/>
    <mergeCell ref="E60:G60"/>
    <mergeCell ref="E61:G61"/>
    <mergeCell ref="E62:G62"/>
    <mergeCell ref="E63:G63"/>
    <mergeCell ref="E54:G54"/>
    <mergeCell ref="E55:G55"/>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AA50"/>
  <sheetViews>
    <sheetView topLeftCell="P1" workbookViewId="0">
      <selection activeCell="T6" sqref="T6"/>
    </sheetView>
  </sheetViews>
  <sheetFormatPr defaultRowHeight="12.75" x14ac:dyDescent="0.2"/>
  <cols>
    <col min="1" max="1" width="10.140625" bestFit="1" customWidth="1"/>
    <col min="3" max="3" width="16.42578125" style="1200" customWidth="1"/>
    <col min="4" max="4" width="15.7109375" bestFit="1" customWidth="1"/>
    <col min="5" max="5" width="18" bestFit="1" customWidth="1"/>
    <col min="6" max="6" width="11" customWidth="1"/>
    <col min="7" max="7" width="18" bestFit="1" customWidth="1"/>
    <col min="9" max="9" width="18" bestFit="1" customWidth="1"/>
    <col min="10" max="10" width="12.5703125" customWidth="1"/>
    <col min="11" max="11" width="18" bestFit="1" customWidth="1"/>
    <col min="12" max="12" width="15" customWidth="1"/>
    <col min="13" max="13" width="14.85546875" customWidth="1"/>
    <col min="14" max="17" width="21.7109375" customWidth="1"/>
    <col min="19" max="19" width="16.140625" customWidth="1"/>
    <col min="20" max="20" width="16.28515625" customWidth="1"/>
    <col min="21" max="22" width="16.7109375" customWidth="1"/>
    <col min="23" max="23" width="13.85546875" customWidth="1"/>
    <col min="24" max="24" width="15" customWidth="1"/>
    <col min="25" max="25" width="20" customWidth="1"/>
    <col min="26" max="26" width="22" customWidth="1"/>
    <col min="27" max="27" width="12.28515625" customWidth="1"/>
  </cols>
  <sheetData>
    <row r="1" spans="1:27" ht="18.75" thickBot="1" x14ac:dyDescent="0.3">
      <c r="A1" s="1260"/>
      <c r="B1" s="1260"/>
      <c r="C1" s="1265"/>
      <c r="D1" s="1260"/>
      <c r="E1" s="1260"/>
      <c r="F1" s="1260"/>
      <c r="G1" s="1260"/>
      <c r="H1" s="1260"/>
      <c r="I1" s="1266" t="s">
        <v>1909</v>
      </c>
      <c r="J1" s="1266"/>
      <c r="K1" s="1266"/>
      <c r="L1" s="1260"/>
      <c r="M1" s="1260"/>
      <c r="N1" s="1260"/>
      <c r="O1" s="1260"/>
      <c r="P1" s="1260"/>
      <c r="Q1" s="1260"/>
      <c r="R1" s="1260"/>
      <c r="S1" s="1260"/>
      <c r="T1" s="1260"/>
      <c r="U1" s="1260"/>
      <c r="V1" s="2137" t="s">
        <v>1910</v>
      </c>
      <c r="W1" s="2137"/>
      <c r="X1" s="1260"/>
      <c r="Y1" s="1260"/>
      <c r="Z1" s="1260"/>
      <c r="AA1" s="1260"/>
    </row>
    <row r="2" spans="1:27" ht="14.25" thickTop="1" thickBot="1" x14ac:dyDescent="0.25">
      <c r="A2" s="1264"/>
      <c r="B2" s="1264"/>
      <c r="C2" s="1273"/>
      <c r="D2" s="1274"/>
      <c r="E2" s="1274"/>
      <c r="F2" s="1274"/>
      <c r="G2" s="1274"/>
      <c r="H2" s="1274"/>
      <c r="I2" s="1274"/>
      <c r="J2" s="1274"/>
      <c r="K2" s="1274"/>
      <c r="L2" s="1274"/>
      <c r="M2" s="1274"/>
      <c r="N2" s="1274"/>
      <c r="O2" s="1274"/>
      <c r="P2" s="1274"/>
      <c r="Q2" s="1274"/>
      <c r="R2" s="1295"/>
      <c r="S2" s="1300" t="s">
        <v>1730</v>
      </c>
      <c r="T2" s="1224">
        <f>+Cover!E10</f>
        <v>0</v>
      </c>
      <c r="U2" s="1216" t="s">
        <v>1885</v>
      </c>
      <c r="V2" s="1216" t="s">
        <v>1886</v>
      </c>
      <c r="W2" s="1216" t="s">
        <v>1887</v>
      </c>
      <c r="X2" s="1216" t="s">
        <v>1888</v>
      </c>
      <c r="Y2" s="1216" t="s">
        <v>2006</v>
      </c>
      <c r="Z2" s="1217" t="s">
        <v>1889</v>
      </c>
      <c r="AA2" s="1267"/>
    </row>
    <row r="3" spans="1:27" ht="13.5" thickTop="1" x14ac:dyDescent="0.2">
      <c r="A3" s="1264"/>
      <c r="B3" s="1264"/>
      <c r="C3" s="1239" t="s">
        <v>1730</v>
      </c>
      <c r="D3" s="1240">
        <f>+Cover!E10</f>
        <v>0</v>
      </c>
      <c r="E3" s="1241"/>
      <c r="F3" s="1242"/>
      <c r="G3" s="1242"/>
      <c r="H3" s="1242"/>
      <c r="I3" s="1242"/>
      <c r="J3" s="1242"/>
      <c r="K3" s="1243"/>
      <c r="L3" s="1276"/>
      <c r="M3" s="1277"/>
      <c r="N3" s="1277"/>
      <c r="O3" s="1277"/>
      <c r="P3" s="1277"/>
      <c r="Q3" s="1277"/>
      <c r="R3" s="1307"/>
      <c r="S3" s="1301" t="s">
        <v>111</v>
      </c>
      <c r="T3" s="1225">
        <f>+Cover!E11</f>
        <v>0</v>
      </c>
      <c r="U3" s="1213"/>
      <c r="V3" s="1219"/>
      <c r="W3" s="1213"/>
      <c r="X3" s="1213"/>
      <c r="Y3" s="1213"/>
      <c r="Z3" s="1214"/>
      <c r="AA3" s="1260"/>
    </row>
    <row r="4" spans="1:27" ht="20.25" customHeight="1" x14ac:dyDescent="0.2">
      <c r="A4" s="1264"/>
      <c r="B4" s="1264"/>
      <c r="C4" s="1244" t="s">
        <v>111</v>
      </c>
      <c r="D4" s="1094">
        <f>+Cover!E11</f>
        <v>0</v>
      </c>
      <c r="E4" s="2129" t="str">
        <f>IF(D4=0, "YOU MUST FILL IN THE PROJECT PARISH ON THE PRIMARY INPUT TAB", "")</f>
        <v>YOU MUST FILL IN THE PROJECT PARISH ON THE PRIMARY INPUT TAB</v>
      </c>
      <c r="F4" s="2130"/>
      <c r="G4" s="2130"/>
      <c r="H4" s="2130"/>
      <c r="I4" s="2130"/>
      <c r="J4" s="2130"/>
      <c r="K4" s="2131"/>
      <c r="L4" s="1276"/>
      <c r="M4" s="1277"/>
      <c r="N4" s="1277"/>
      <c r="O4" s="1277"/>
      <c r="P4" s="1277"/>
      <c r="Q4" s="1277"/>
      <c r="R4" s="1307"/>
      <c r="S4" s="1302" t="s">
        <v>1884</v>
      </c>
      <c r="T4" s="1226"/>
      <c r="U4" s="1227">
        <f>+U3*U6</f>
        <v>0</v>
      </c>
      <c r="V4" s="1202">
        <f t="shared" ref="V4:Z4" si="0">+V3*V6</f>
        <v>0</v>
      </c>
      <c r="W4" s="1202">
        <f t="shared" si="0"/>
        <v>0</v>
      </c>
      <c r="X4" s="1202">
        <f t="shared" si="0"/>
        <v>0</v>
      </c>
      <c r="Y4" s="1202">
        <f t="shared" si="0"/>
        <v>0</v>
      </c>
      <c r="Z4" s="1220">
        <f t="shared" si="0"/>
        <v>0</v>
      </c>
      <c r="AA4" s="1260"/>
    </row>
    <row r="5" spans="1:27" ht="38.25" x14ac:dyDescent="0.25">
      <c r="A5" s="1264"/>
      <c r="B5" s="1264"/>
      <c r="C5" s="1245" t="s">
        <v>611</v>
      </c>
      <c r="D5" s="1095">
        <f>+'Primary Input'!E37</f>
        <v>0</v>
      </c>
      <c r="E5" s="2152" t="str">
        <f>IF(D5&gt;Lists!F45, "ERROR. AMOUNT REQUESTED EXCEED PER PROJECT  LIMIT", "")</f>
        <v/>
      </c>
      <c r="F5" s="2153"/>
      <c r="G5" s="2153"/>
      <c r="H5" s="2153"/>
      <c r="I5" s="2153"/>
      <c r="J5" s="2153"/>
      <c r="K5" s="2154"/>
      <c r="L5" s="1276"/>
      <c r="M5" s="1277"/>
      <c r="N5" s="1277"/>
      <c r="O5" s="1277"/>
      <c r="P5" s="1277"/>
      <c r="Q5" s="1277"/>
      <c r="R5" s="1307"/>
      <c r="S5" s="1303" t="s">
        <v>1741</v>
      </c>
      <c r="T5" s="1369"/>
      <c r="U5" s="1218" t="s">
        <v>1890</v>
      </c>
      <c r="V5" s="1218" t="s">
        <v>1891</v>
      </c>
      <c r="W5" s="1218" t="s">
        <v>1892</v>
      </c>
      <c r="X5" s="1218" t="s">
        <v>1893</v>
      </c>
      <c r="Y5" s="1218" t="s">
        <v>1894</v>
      </c>
      <c r="Z5" s="1221" t="s">
        <v>1895</v>
      </c>
      <c r="AA5" s="1260"/>
    </row>
    <row r="6" spans="1:27" ht="36.75" customHeight="1" thickBot="1" x14ac:dyDescent="0.3">
      <c r="A6" s="1260"/>
      <c r="B6" s="1260"/>
      <c r="C6" s="1245" t="s">
        <v>1734</v>
      </c>
      <c r="D6" s="1095">
        <f>+'Primary Input'!E38</f>
        <v>0</v>
      </c>
      <c r="E6" s="2152" t="str">
        <f>IF(D6&gt;Lists!H44, "ERROR. AMOUNT REQUESTED EXCEED PER PROJECT LIMIT.", "")</f>
        <v/>
      </c>
      <c r="F6" s="2153"/>
      <c r="G6" s="2153"/>
      <c r="H6" s="2153"/>
      <c r="I6" s="2153"/>
      <c r="J6" s="2153"/>
      <c r="K6" s="2154"/>
      <c r="L6" s="1276"/>
      <c r="M6" s="1277"/>
      <c r="N6" s="1277"/>
      <c r="O6" s="1277"/>
      <c r="P6" s="1277"/>
      <c r="Q6" s="1277"/>
      <c r="R6" s="1307"/>
      <c r="S6" s="1199" t="s">
        <v>463</v>
      </c>
      <c r="T6" s="1228"/>
      <c r="U6" s="1222"/>
      <c r="V6" s="1222"/>
      <c r="W6" s="1222"/>
      <c r="X6" s="1222"/>
      <c r="Y6" s="1222"/>
      <c r="Z6" s="1223"/>
      <c r="AA6" s="1260"/>
    </row>
    <row r="7" spans="1:27" ht="40.5" customHeight="1" thickTop="1" x14ac:dyDescent="0.25">
      <c r="A7" s="1260"/>
      <c r="B7" s="1260"/>
      <c r="C7" s="1245" t="s">
        <v>1735</v>
      </c>
      <c r="D7" s="1095">
        <f>+'Sources and Uses'!F24</f>
        <v>0</v>
      </c>
      <c r="E7" s="1194"/>
      <c r="F7" s="1195"/>
      <c r="G7" s="1195"/>
      <c r="H7" s="1195"/>
      <c r="I7" s="1195"/>
      <c r="J7" s="1195"/>
      <c r="K7" s="1246"/>
      <c r="L7" s="1276"/>
      <c r="M7" s="1277"/>
      <c r="N7" s="1277"/>
      <c r="O7" s="1277"/>
      <c r="P7" s="1277"/>
      <c r="Q7" s="1277"/>
      <c r="R7" s="1307"/>
      <c r="S7" s="1303" t="s">
        <v>1734</v>
      </c>
      <c r="T7" s="1201" t="e">
        <f>+Lists!Q119</f>
        <v>#DIV/0!</v>
      </c>
      <c r="U7" s="2138" t="s">
        <v>1912</v>
      </c>
      <c r="V7" s="2139"/>
      <c r="W7" s="2139"/>
      <c r="X7" s="2139"/>
      <c r="Y7" s="2139"/>
      <c r="Z7" s="2140"/>
      <c r="AA7" s="1260"/>
    </row>
    <row r="8" spans="1:27" ht="63.75" customHeight="1" thickBot="1" x14ac:dyDescent="0.25">
      <c r="A8" s="1260"/>
      <c r="B8" s="1260"/>
      <c r="C8" s="1247" t="s">
        <v>1741</v>
      </c>
      <c r="D8" s="1248">
        <f>+Eligibility!E6</f>
        <v>0</v>
      </c>
      <c r="E8" s="2134" t="str">
        <f>IF(D8="Yes", "MUST PROVIDE BACKUP WITH THE APPLICATION", "")</f>
        <v/>
      </c>
      <c r="F8" s="2135"/>
      <c r="G8" s="2135"/>
      <c r="H8" s="2135"/>
      <c r="I8" s="2135"/>
      <c r="J8" s="2135"/>
      <c r="K8" s="2136"/>
      <c r="L8" s="1276"/>
      <c r="M8" s="1277"/>
      <c r="N8" s="1277"/>
      <c r="O8" s="1277"/>
      <c r="P8" s="1277"/>
      <c r="Q8" s="1277"/>
      <c r="R8" s="1307"/>
      <c r="S8" s="1303" t="s">
        <v>611</v>
      </c>
      <c r="T8" s="1201" t="e">
        <f>+Lists!Q118</f>
        <v>#DIV/0!</v>
      </c>
      <c r="U8" s="2141"/>
      <c r="V8" s="2142"/>
      <c r="W8" s="2142"/>
      <c r="X8" s="2142"/>
      <c r="Y8" s="2142"/>
      <c r="Z8" s="2143"/>
      <c r="AA8" s="1260"/>
    </row>
    <row r="9" spans="1:27" ht="18.75" thickTop="1" x14ac:dyDescent="0.2">
      <c r="A9" s="1260"/>
      <c r="B9" s="1260"/>
      <c r="C9" s="1272"/>
      <c r="D9" s="1270"/>
      <c r="E9" s="1270"/>
      <c r="F9" s="1271"/>
      <c r="G9" s="1271"/>
      <c r="H9" s="1271"/>
      <c r="I9" s="1271"/>
      <c r="J9" s="1271"/>
      <c r="K9" s="1271"/>
      <c r="L9" s="1275"/>
      <c r="M9" s="1275"/>
      <c r="N9" s="1275"/>
      <c r="O9" s="1275"/>
      <c r="P9" s="1275"/>
      <c r="Q9" s="1275"/>
      <c r="R9" s="1307"/>
      <c r="S9" s="1304"/>
      <c r="T9" s="1229"/>
      <c r="U9" s="1278"/>
      <c r="V9" s="1279"/>
      <c r="W9" s="1279"/>
      <c r="X9" s="1261"/>
      <c r="Y9" s="1261"/>
      <c r="Z9" s="1280"/>
      <c r="AA9" s="1260"/>
    </row>
    <row r="10" spans="1:27" ht="57" customHeight="1" x14ac:dyDescent="0.2">
      <c r="A10" s="1260"/>
      <c r="B10" s="1260"/>
      <c r="C10" s="2144" t="s">
        <v>1911</v>
      </c>
      <c r="D10" s="2145"/>
      <c r="E10" s="2145"/>
      <c r="F10" s="2145"/>
      <c r="G10" s="2145"/>
      <c r="H10" s="2145"/>
      <c r="I10" s="2145"/>
      <c r="J10" s="2145"/>
      <c r="K10" s="2145"/>
      <c r="L10" s="2145"/>
      <c r="M10" s="2145"/>
      <c r="N10" s="2145"/>
      <c r="O10" s="2145"/>
      <c r="P10" s="2145"/>
      <c r="Q10" s="2145"/>
      <c r="R10" s="1307"/>
      <c r="S10" s="1215" t="s">
        <v>1896</v>
      </c>
      <c r="T10" s="1230">
        <f>SUM(U4:Z4)</f>
        <v>0</v>
      </c>
      <c r="U10" s="1276"/>
      <c r="V10" s="1277"/>
      <c r="W10" s="1277"/>
      <c r="X10" s="1277"/>
      <c r="Y10" s="1277"/>
      <c r="Z10" s="1281"/>
      <c r="AA10" s="1260"/>
    </row>
    <row r="11" spans="1:27" ht="57" customHeight="1" thickBot="1" x14ac:dyDescent="0.25">
      <c r="A11" s="1277"/>
      <c r="B11" s="1294"/>
      <c r="C11" s="2146" t="s">
        <v>1816</v>
      </c>
      <c r="D11" s="2147"/>
      <c r="E11" s="2147"/>
      <c r="F11" s="2147"/>
      <c r="G11" s="2147"/>
      <c r="H11" s="2147"/>
      <c r="I11" s="2147"/>
      <c r="J11" s="2147"/>
      <c r="K11" s="2147"/>
      <c r="L11" s="2147"/>
      <c r="M11" s="2147"/>
      <c r="N11" s="2147"/>
      <c r="O11" s="2147"/>
      <c r="P11" s="2147"/>
      <c r="Q11" s="2148"/>
      <c r="R11" s="1307"/>
      <c r="S11" s="1215" t="s">
        <v>1904</v>
      </c>
      <c r="T11" s="1231" t="e">
        <f>+T4/T10</f>
        <v>#DIV/0!</v>
      </c>
      <c r="U11" s="1282"/>
      <c r="V11" s="1277"/>
      <c r="W11" s="1277"/>
      <c r="X11" s="1277"/>
      <c r="Y11" s="1277"/>
      <c r="Z11" s="1281"/>
      <c r="AA11" s="1260"/>
    </row>
    <row r="12" spans="1:27" ht="75.75" thickTop="1" x14ac:dyDescent="0.2">
      <c r="A12" s="1277"/>
      <c r="B12" s="1277"/>
      <c r="C12" s="1249" t="s">
        <v>1742</v>
      </c>
      <c r="D12" s="1250" t="s">
        <v>1731</v>
      </c>
      <c r="E12" s="1251" t="s">
        <v>1842</v>
      </c>
      <c r="F12" s="1251" t="s">
        <v>1881</v>
      </c>
      <c r="G12" s="1252" t="s">
        <v>1830</v>
      </c>
      <c r="H12" s="1251" t="s">
        <v>1732</v>
      </c>
      <c r="I12" s="1251" t="s">
        <v>1831</v>
      </c>
      <c r="J12" s="1251" t="s">
        <v>1711</v>
      </c>
      <c r="K12" s="1251" t="s">
        <v>1832</v>
      </c>
      <c r="L12" s="1251" t="s">
        <v>1738</v>
      </c>
      <c r="M12" s="1251" t="s">
        <v>1739</v>
      </c>
      <c r="N12" s="1253" t="s">
        <v>1752</v>
      </c>
      <c r="O12" s="1253" t="s">
        <v>1841</v>
      </c>
      <c r="P12" s="1253" t="s">
        <v>1833</v>
      </c>
      <c r="Q12" s="1296"/>
      <c r="R12" s="1307"/>
      <c r="S12" s="1305" t="s">
        <v>1742</v>
      </c>
      <c r="T12" s="1091" t="s">
        <v>1750</v>
      </c>
      <c r="U12" s="1232" t="s">
        <v>1751</v>
      </c>
      <c r="V12" s="1277"/>
      <c r="W12" s="1310"/>
      <c r="X12" s="1277"/>
      <c r="Y12" s="1277"/>
      <c r="Z12" s="1281"/>
      <c r="AA12" s="1260"/>
    </row>
    <row r="13" spans="1:27" ht="18.75" x14ac:dyDescent="0.3">
      <c r="A13" s="1260"/>
      <c r="B13" s="1260"/>
      <c r="C13" s="1254">
        <v>0</v>
      </c>
      <c r="D13" s="1181" t="e">
        <f>IF(+Lists!L57&lt;Lists!H57,Lists!H57,Lists!L57)</f>
        <v>#DIV/0!</v>
      </c>
      <c r="E13" s="1182" t="e">
        <f>+Lists!Q76*D13</f>
        <v>#DIV/0!</v>
      </c>
      <c r="F13" s="1181" t="e">
        <f>IF(+Lists!J57&lt;Lists!H57,Lists!H57,Lists!J57)</f>
        <v>#DIV/0!</v>
      </c>
      <c r="G13" s="1182" t="e">
        <f>+F13*Lists!$H$43*F13</f>
        <v>#DIV/0!</v>
      </c>
      <c r="H13" s="1181" t="e">
        <f>IF(+Lists!I57&lt;Lists!H57,Lists!H57,Lists!I57)</f>
        <v>#DIV/0!</v>
      </c>
      <c r="I13" s="1182" t="e">
        <f>+Underwriting!H112*H13</f>
        <v>#DIV/0!</v>
      </c>
      <c r="J13" s="1183" t="e">
        <f>+Lists!H57</f>
        <v>#DIV/0!</v>
      </c>
      <c r="K13" s="1184" t="e">
        <f>+Underwriting!H127</f>
        <v>#DIV/0!</v>
      </c>
      <c r="L13" s="1097" t="str">
        <f t="shared" ref="L13:L17" si="1">IF($D$8="NO",MAX(F13,H13,J13),"")</f>
        <v/>
      </c>
      <c r="M13" s="1097" t="str">
        <f>IF($D$8="YES",MAX(D13,H13,J13), "")</f>
        <v/>
      </c>
      <c r="N13" s="1188">
        <f>MAX(L13:M13)</f>
        <v>0</v>
      </c>
      <c r="O13" s="1189">
        <f t="shared" ref="O13:O18" si="2">IF(N13,+P13/N13,0)</f>
        <v>0</v>
      </c>
      <c r="P13" s="1159" t="e">
        <f>IF($D$8="Yes",MIN($E$13,$G$13,$I$13),MIN($E$13,$I$13,K13))</f>
        <v>#DIV/0!</v>
      </c>
      <c r="Q13" s="1297"/>
      <c r="R13" s="1307"/>
      <c r="S13" s="1305">
        <v>0</v>
      </c>
      <c r="T13" s="1210"/>
      <c r="U13" s="1233"/>
      <c r="V13" s="1277"/>
      <c r="W13" s="1283"/>
      <c r="X13" s="1277"/>
      <c r="Y13" s="1277"/>
      <c r="Z13" s="1281"/>
      <c r="AA13" s="1260"/>
    </row>
    <row r="14" spans="1:27" ht="18.75" x14ac:dyDescent="0.3">
      <c r="A14" s="1260"/>
      <c r="B14" s="1260"/>
      <c r="C14" s="1254">
        <v>1</v>
      </c>
      <c r="D14" s="1181" t="e">
        <f>IF(+Lists!L58&lt;Lists!H58,Lists!H58,Lists!L58)</f>
        <v>#DIV/0!</v>
      </c>
      <c r="E14" s="1182" t="e">
        <f>+Lists!R76*D14</f>
        <v>#DIV/0!</v>
      </c>
      <c r="F14" s="1181" t="e">
        <f>IF(+Lists!J58&lt;Lists!H58,Lists!H58,Lists!J58)</f>
        <v>#DIV/0!</v>
      </c>
      <c r="G14" s="1182" t="e">
        <f>Lists!$E$43*F14</f>
        <v>#DIV/0!</v>
      </c>
      <c r="H14" s="1181" t="e">
        <f>IF(Lists!I58&lt;Lists!H58,Lists!H58,Lists!I58)</f>
        <v>#DIV/0!</v>
      </c>
      <c r="I14" s="1182" t="e">
        <f>+Underwriting!H113*H14</f>
        <v>#DIV/0!</v>
      </c>
      <c r="J14" s="1183" t="e">
        <f>+Lists!H58</f>
        <v>#DIV/0!</v>
      </c>
      <c r="K14" s="1184" t="e">
        <f>+Underwriting!H128</f>
        <v>#DIV/0!</v>
      </c>
      <c r="L14" s="1097" t="str">
        <f t="shared" si="1"/>
        <v/>
      </c>
      <c r="M14" s="1097" t="str">
        <f t="shared" ref="M14:M18" si="3">IF($D$8="YES",MAX(D14,H14,J14), "")</f>
        <v/>
      </c>
      <c r="N14" s="1188">
        <f t="shared" ref="N14:N18" si="4">MAX(L14:M14)</f>
        <v>0</v>
      </c>
      <c r="O14" s="1189">
        <f t="shared" si="2"/>
        <v>0</v>
      </c>
      <c r="P14" s="1159" t="e">
        <f>IF($D$8="YES",MIN($E$14,$G$14,$I$14),MIN($E$14,$I$14))</f>
        <v>#DIV/0!</v>
      </c>
      <c r="Q14" s="1297"/>
      <c r="R14" s="1307"/>
      <c r="S14" s="1305">
        <v>1</v>
      </c>
      <c r="T14" s="1211"/>
      <c r="U14" s="1233"/>
      <c r="V14" s="1277"/>
      <c r="W14" s="1283"/>
      <c r="X14" s="1277"/>
      <c r="Y14" s="1277"/>
      <c r="Z14" s="1281"/>
      <c r="AA14" s="1260"/>
    </row>
    <row r="15" spans="1:27" ht="18.75" x14ac:dyDescent="0.3">
      <c r="A15" s="1260"/>
      <c r="B15" s="1260"/>
      <c r="C15" s="1254">
        <v>2</v>
      </c>
      <c r="D15" s="1181" t="e">
        <f>IF(+Lists!L59&lt;Lists!H59,Lists!H59,Lists!L59)</f>
        <v>#DIV/0!</v>
      </c>
      <c r="E15" s="1182" t="e">
        <f>Lists!S76*D15</f>
        <v>#DIV/0!</v>
      </c>
      <c r="F15" s="1181" t="e">
        <f>IF(+Lists!J59&lt;Lists!H59,Lists!H59,Lists!J59)</f>
        <v>#DIV/0!</v>
      </c>
      <c r="G15" s="1182" t="e">
        <f>Lists!$E$43*F15</f>
        <v>#DIV/0!</v>
      </c>
      <c r="H15" s="1181" t="e">
        <f>IF(Lists!I59&lt;Lists!H59,Lists!H59,Lists!I59)</f>
        <v>#DIV/0!</v>
      </c>
      <c r="I15" s="1182" t="e">
        <f>+Underwriting!H114*H15</f>
        <v>#DIV/0!</v>
      </c>
      <c r="J15" s="1183" t="e">
        <f>+Lists!H59</f>
        <v>#DIV/0!</v>
      </c>
      <c r="K15" s="1184" t="e">
        <f>+Underwriting!H129</f>
        <v>#DIV/0!</v>
      </c>
      <c r="L15" s="1097" t="str">
        <f t="shared" si="1"/>
        <v/>
      </c>
      <c r="M15" s="1097" t="str">
        <f t="shared" si="3"/>
        <v/>
      </c>
      <c r="N15" s="1188">
        <f t="shared" si="4"/>
        <v>0</v>
      </c>
      <c r="O15" s="1189">
        <f t="shared" si="2"/>
        <v>0</v>
      </c>
      <c r="P15" s="1159" t="e">
        <f>IF($D$8="YES",MIN($E$15,$G$15,$I$15),MIN($E$15,$I$15))</f>
        <v>#DIV/0!</v>
      </c>
      <c r="Q15" s="1297"/>
      <c r="R15" s="1307"/>
      <c r="S15" s="1305">
        <v>2</v>
      </c>
      <c r="T15" s="1211"/>
      <c r="U15" s="1233"/>
      <c r="V15" s="1277"/>
      <c r="W15" s="1283"/>
      <c r="X15" s="1277"/>
      <c r="Y15" s="1277"/>
      <c r="Z15" s="1281"/>
      <c r="AA15" s="1260"/>
    </row>
    <row r="16" spans="1:27" ht="18.75" x14ac:dyDescent="0.3">
      <c r="A16" s="1260"/>
      <c r="B16" s="1260"/>
      <c r="C16" s="1254">
        <v>3</v>
      </c>
      <c r="D16" s="1181" t="e">
        <f>IF(+Lists!L60&lt;Lists!H60,Lists!H60,Lists!L60)</f>
        <v>#DIV/0!</v>
      </c>
      <c r="E16" s="1182" t="e">
        <f>+Lists!T76*D16</f>
        <v>#DIV/0!</v>
      </c>
      <c r="F16" s="1181" t="e">
        <f>IF(+Lists!J60&lt;Lists!H60,Lists!H60,Lists!J60)</f>
        <v>#DIV/0!</v>
      </c>
      <c r="G16" s="1182" t="e">
        <f>Lists!$E$43*F16</f>
        <v>#DIV/0!</v>
      </c>
      <c r="H16" s="1181" t="e">
        <f>IF(Lists!I60&lt;Lists!H60,Lists!H60,Lists!I60)</f>
        <v>#DIV/0!</v>
      </c>
      <c r="I16" s="1182" t="e">
        <f>+Underwriting!H115*H16</f>
        <v>#DIV/0!</v>
      </c>
      <c r="J16" s="1183" t="e">
        <f>+Lists!H60</f>
        <v>#DIV/0!</v>
      </c>
      <c r="K16" s="1184" t="e">
        <f>+Underwriting!H130</f>
        <v>#DIV/0!</v>
      </c>
      <c r="L16" s="1097" t="str">
        <f t="shared" si="1"/>
        <v/>
      </c>
      <c r="M16" s="1097" t="str">
        <f t="shared" si="3"/>
        <v/>
      </c>
      <c r="N16" s="1188">
        <f t="shared" si="4"/>
        <v>0</v>
      </c>
      <c r="O16" s="1189">
        <f t="shared" si="2"/>
        <v>0</v>
      </c>
      <c r="P16" s="1159" t="e">
        <f>IF($D$8="YES",MIN($G$16,$I$16),MIN($E$16,$I$16))</f>
        <v>#DIV/0!</v>
      </c>
      <c r="Q16" s="1297"/>
      <c r="R16" s="1307"/>
      <c r="S16" s="1305">
        <v>3</v>
      </c>
      <c r="T16" s="1211"/>
      <c r="U16" s="1233"/>
      <c r="V16" s="1277"/>
      <c r="W16" s="1283"/>
      <c r="X16" s="1277"/>
      <c r="Y16" s="1277"/>
      <c r="Z16" s="1281"/>
      <c r="AA16" s="1260"/>
    </row>
    <row r="17" spans="1:27" ht="18.75" x14ac:dyDescent="0.3">
      <c r="A17" s="1260"/>
      <c r="B17" s="1260"/>
      <c r="C17" s="1254">
        <v>4</v>
      </c>
      <c r="D17" s="1181" t="e">
        <f>IF(+Lists!L61&lt;Lists!H61,Lists!H61,Lists!L61)</f>
        <v>#DIV/0!</v>
      </c>
      <c r="E17" s="1182" t="e">
        <f>Lists!U76*D17</f>
        <v>#DIV/0!</v>
      </c>
      <c r="F17" s="1181" t="e">
        <f>IF(+Lists!J61&lt;Lists!H61,Lists!H61,Lists!J61)</f>
        <v>#DIV/0!</v>
      </c>
      <c r="G17" s="1182" t="e">
        <f>Lists!$E$43*F17</f>
        <v>#DIV/0!</v>
      </c>
      <c r="H17" s="1181" t="e">
        <f>IF(Lists!I61&lt;Lists!H61,Lists!H61,Lists!I61)</f>
        <v>#DIV/0!</v>
      </c>
      <c r="I17" s="1182" t="e">
        <f>+Underwriting!H116*H17</f>
        <v>#DIV/0!</v>
      </c>
      <c r="J17" s="1183" t="e">
        <f>+Lists!H61</f>
        <v>#DIV/0!</v>
      </c>
      <c r="K17" s="1184" t="e">
        <f>+Underwriting!H131</f>
        <v>#DIV/0!</v>
      </c>
      <c r="L17" s="1097" t="str">
        <f t="shared" si="1"/>
        <v/>
      </c>
      <c r="M17" s="1097" t="str">
        <f t="shared" si="3"/>
        <v/>
      </c>
      <c r="N17" s="1188">
        <f t="shared" si="4"/>
        <v>0</v>
      </c>
      <c r="O17" s="1189">
        <f t="shared" si="2"/>
        <v>0</v>
      </c>
      <c r="P17" s="1159" t="e">
        <f>IF($D$8="YES",MIN($E$17,$G$17,$I$17),MIN($E$17,$I$17))</f>
        <v>#DIV/0!</v>
      </c>
      <c r="Q17" s="1297"/>
      <c r="R17" s="1307"/>
      <c r="S17" s="1305">
        <v>4</v>
      </c>
      <c r="T17" s="1211"/>
      <c r="U17" s="1233"/>
      <c r="V17" s="1277"/>
      <c r="W17" s="1283"/>
      <c r="X17" s="1277"/>
      <c r="Y17" s="1277"/>
      <c r="Z17" s="1281"/>
      <c r="AA17" s="1260"/>
    </row>
    <row r="18" spans="1:27" ht="18.75" x14ac:dyDescent="0.3">
      <c r="A18" s="1260"/>
      <c r="B18" s="1260"/>
      <c r="C18" s="1254">
        <v>5</v>
      </c>
      <c r="D18" s="1181" t="e">
        <f>IF(+Lists!L62&lt;Lists!H62,Lists!H62,Lists!L62)</f>
        <v>#DIV/0!</v>
      </c>
      <c r="E18" s="1185" t="e">
        <f>Lists!U76*D18</f>
        <v>#DIV/0!</v>
      </c>
      <c r="F18" s="1181" t="e">
        <f>IF(+Lists!J62&lt;Lists!H62,Lists!H62,Lists!J62)</f>
        <v>#DIV/0!</v>
      </c>
      <c r="G18" s="1182" t="e">
        <f>Lists!$E$43*F18</f>
        <v>#DIV/0!</v>
      </c>
      <c r="H18" s="1181" t="e">
        <f>IF(Lists!I62&lt;Lists!H62,Lists!H62,Lists!I62)</f>
        <v>#DIV/0!</v>
      </c>
      <c r="I18" s="1182" t="e">
        <f>+Underwriting!H117*H18</f>
        <v>#DIV/0!</v>
      </c>
      <c r="J18" s="1183" t="e">
        <f>+Lists!H62</f>
        <v>#DIV/0!</v>
      </c>
      <c r="K18" s="1184" t="e">
        <f>+Underwriting!H132</f>
        <v>#DIV/0!</v>
      </c>
      <c r="L18" s="1097" t="str">
        <f>IF($D$8="NO",MAX(F18,H18,J18),"")</f>
        <v/>
      </c>
      <c r="M18" s="1097" t="str">
        <f t="shared" si="3"/>
        <v/>
      </c>
      <c r="N18" s="1188">
        <f t="shared" si="4"/>
        <v>0</v>
      </c>
      <c r="O18" s="1189">
        <f t="shared" si="2"/>
        <v>0</v>
      </c>
      <c r="P18" s="1159" t="e">
        <f>IF($D$8="YES",MIN($E$18,$G$18,$I$18),MIN($E$18,$I$18))</f>
        <v>#DIV/0!</v>
      </c>
      <c r="Q18" s="1297"/>
      <c r="R18" s="1307"/>
      <c r="S18" s="1305">
        <v>5</v>
      </c>
      <c r="T18" s="1212"/>
      <c r="U18" s="1234"/>
      <c r="V18" s="1277"/>
      <c r="W18" s="1283"/>
      <c r="X18" s="1277"/>
      <c r="Y18" s="1277"/>
      <c r="Z18" s="1281"/>
      <c r="AA18" s="1260"/>
    </row>
    <row r="19" spans="1:27" ht="18.75" x14ac:dyDescent="0.3">
      <c r="A19" s="1260"/>
      <c r="B19" s="1260"/>
      <c r="C19" s="1254" t="s">
        <v>1877</v>
      </c>
      <c r="D19" s="1186"/>
      <c r="E19" s="1185" t="e">
        <f>SUM(E13:E18)</f>
        <v>#DIV/0!</v>
      </c>
      <c r="F19" s="1186"/>
      <c r="G19" s="1185" t="e">
        <f>SUM(G13:G18)</f>
        <v>#DIV/0!</v>
      </c>
      <c r="H19" s="1181"/>
      <c r="I19" s="1185" t="e">
        <f>SUM(I13:I18)</f>
        <v>#DIV/0!</v>
      </c>
      <c r="J19" s="1183"/>
      <c r="K19" s="1185" t="e">
        <f>SUM(K13:K18)</f>
        <v>#DIV/0!</v>
      </c>
      <c r="L19" s="1097"/>
      <c r="M19" s="1097"/>
      <c r="N19" s="1190"/>
      <c r="O19" s="1189"/>
      <c r="P19" s="1159"/>
      <c r="Q19" s="1297"/>
      <c r="R19" s="1307"/>
      <c r="S19" s="1305"/>
      <c r="T19" s="1212"/>
      <c r="U19" s="1234"/>
      <c r="V19" s="1277"/>
      <c r="W19" s="1283"/>
      <c r="X19" s="1277"/>
      <c r="Y19" s="1277"/>
      <c r="Z19" s="1281"/>
      <c r="AA19" s="1260"/>
    </row>
    <row r="20" spans="1:27" s="107" customFormat="1" ht="19.5" thickBot="1" x14ac:dyDescent="0.35">
      <c r="A20" s="1262"/>
      <c r="B20" s="1263"/>
      <c r="C20" s="1255" t="s">
        <v>1878</v>
      </c>
      <c r="D20" s="1176" t="e">
        <f t="shared" ref="D20:J20" si="5">SUM(D13:D18)</f>
        <v>#DIV/0!</v>
      </c>
      <c r="E20" s="1177" t="e">
        <f>IF(SUM(E13:E18)&lt;D5, SUM(E13:E18),D5)</f>
        <v>#DIV/0!</v>
      </c>
      <c r="F20" s="1176" t="e">
        <f t="shared" si="5"/>
        <v>#DIV/0!</v>
      </c>
      <c r="G20" s="1177" t="e">
        <f>IF(SUM(G13:G18)&lt;D5, SUM(G13:G18),D5)</f>
        <v>#DIV/0!</v>
      </c>
      <c r="H20" s="1176" t="e">
        <f t="shared" si="5"/>
        <v>#DIV/0!</v>
      </c>
      <c r="I20" s="1177" t="e">
        <f>IF(SUM(I13:I18)&lt;D5, SUM(I13:I18),D5)</f>
        <v>#DIV/0!</v>
      </c>
      <c r="J20" s="1176" t="e">
        <f t="shared" si="5"/>
        <v>#DIV/0!</v>
      </c>
      <c r="K20" s="1177" t="e">
        <f>IF(SUM(K13:K18)&lt;D5, SUM(K13:K18),D5)</f>
        <v>#DIV/0!</v>
      </c>
      <c r="L20" s="1178">
        <f>SUM(L13:L18)</f>
        <v>0</v>
      </c>
      <c r="M20" s="1176">
        <f>SUM(M13:M18)</f>
        <v>0</v>
      </c>
      <c r="N20" s="1178">
        <f>SUM(N13:N18)</f>
        <v>0</v>
      </c>
      <c r="O20" s="1191"/>
      <c r="P20" s="1159" t="e">
        <f>IF(SUM(P14:P19)&lt;D5, SUM(P14:P19),D5)</f>
        <v>#DIV/0!</v>
      </c>
      <c r="Q20" s="1298"/>
      <c r="R20" s="1308"/>
      <c r="S20" s="1306" t="s">
        <v>157</v>
      </c>
      <c r="T20" s="1235">
        <f>SUM(T13:T18)</f>
        <v>0</v>
      </c>
      <c r="U20" s="1236">
        <f>SUM(U13:U18)</f>
        <v>0</v>
      </c>
      <c r="V20" s="1284"/>
      <c r="W20" s="1285"/>
      <c r="X20" s="1284"/>
      <c r="Y20" s="1284"/>
      <c r="Z20" s="1286"/>
      <c r="AA20" s="1263"/>
    </row>
    <row r="21" spans="1:27" ht="25.5" customHeight="1" thickTop="1" x14ac:dyDescent="0.2">
      <c r="A21" s="1260"/>
      <c r="B21" s="1260"/>
      <c r="C21" s="2149" t="s">
        <v>1815</v>
      </c>
      <c r="D21" s="2150"/>
      <c r="E21" s="2150"/>
      <c r="F21" s="2150"/>
      <c r="G21" s="2150"/>
      <c r="H21" s="2150"/>
      <c r="I21" s="2150"/>
      <c r="J21" s="2150"/>
      <c r="K21" s="2150"/>
      <c r="L21" s="2150"/>
      <c r="M21" s="2150"/>
      <c r="N21" s="2150"/>
      <c r="O21" s="2150"/>
      <c r="P21" s="2150"/>
      <c r="Q21" s="2151"/>
      <c r="R21" s="1307"/>
      <c r="S21" s="1277"/>
      <c r="T21" s="1277"/>
      <c r="U21" s="1277"/>
      <c r="V21" s="1277"/>
      <c r="W21" s="1277"/>
      <c r="X21" s="1277"/>
      <c r="Y21" s="1277"/>
      <c r="Z21" s="1281"/>
      <c r="AA21" s="1260"/>
    </row>
    <row r="22" spans="1:27" ht="75" x14ac:dyDescent="0.2">
      <c r="A22" s="1260"/>
      <c r="B22" s="1260"/>
      <c r="C22" s="1238" t="s">
        <v>1742</v>
      </c>
      <c r="D22" s="1091" t="s">
        <v>1731</v>
      </c>
      <c r="E22" s="1091" t="s">
        <v>1842</v>
      </c>
      <c r="F22" s="1187" t="s">
        <v>1882</v>
      </c>
      <c r="G22" s="1187" t="s">
        <v>1830</v>
      </c>
      <c r="H22" s="1091" t="s">
        <v>1732</v>
      </c>
      <c r="I22" s="1091" t="s">
        <v>1831</v>
      </c>
      <c r="J22" s="1091" t="s">
        <v>1711</v>
      </c>
      <c r="K22" s="1091" t="s">
        <v>1832</v>
      </c>
      <c r="L22" s="1091" t="s">
        <v>1738</v>
      </c>
      <c r="M22" s="1091" t="s">
        <v>1739</v>
      </c>
      <c r="N22" s="1096" t="s">
        <v>1812</v>
      </c>
      <c r="O22" s="1096" t="s">
        <v>1841</v>
      </c>
      <c r="P22" s="1096"/>
      <c r="Q22" s="1297"/>
      <c r="R22" s="1307"/>
      <c r="S22" s="1277"/>
      <c r="T22" s="1277"/>
      <c r="U22" s="1277"/>
      <c r="V22" s="1277"/>
      <c r="W22" s="1277"/>
      <c r="X22" s="1277"/>
      <c r="Y22" s="1277"/>
      <c r="Z22" s="1281"/>
      <c r="AA22" s="1260"/>
    </row>
    <row r="23" spans="1:27" ht="18.75" x14ac:dyDescent="0.3">
      <c r="A23" s="1260"/>
      <c r="B23" s="1260"/>
      <c r="C23" s="1255">
        <v>0</v>
      </c>
      <c r="D23" s="1146" t="e">
        <f>IF(Underwriting!H265&lt;Underwriting!H210,Underwriting!H210,Underwriting!H265)</f>
        <v>#DIV/0!</v>
      </c>
      <c r="E23" s="1154" t="e">
        <f>+Lists!Q76*D23</f>
        <v>#DIV/0!</v>
      </c>
      <c r="F23" s="1146" t="e">
        <f>IF(Underwriting!H235&lt;Underwriting!H210,Underwriting!H210,Underwriting!H235)</f>
        <v>#DIV/0!</v>
      </c>
      <c r="G23" s="1154" t="e">
        <f>+Lists!$H$43*F23</f>
        <v>#DIV/0!</v>
      </c>
      <c r="H23" s="1146" t="e">
        <f>IF(Underwriting!H227&lt;Underwriting!H210,Underwriting!H210,Underwriting!H227)</f>
        <v>#DIV/0!</v>
      </c>
      <c r="I23" s="1154" t="e">
        <f>+Underwriting!H112*'Funding and Units Worksheet'!H23</f>
        <v>#DIV/0!</v>
      </c>
      <c r="J23" s="1147" t="e">
        <f>+Underwriting!H210</f>
        <v>#DIV/0!</v>
      </c>
      <c r="K23" s="1168" t="e">
        <f>+Underwriting!H218</f>
        <v>#DIV/0!</v>
      </c>
      <c r="L23" s="1097" t="str">
        <f>IF($D$8="NO",MAX(F23,H23,J23),"")</f>
        <v/>
      </c>
      <c r="M23" s="1097" t="str">
        <f>IF($D$8="YES",MAX(D23,J23,L23), "")</f>
        <v/>
      </c>
      <c r="N23" s="1097" t="str">
        <f>+IF(Eligibility!$E$6="Yes",'Funding and Units Worksheet'!M23,'Funding and Units Worksheet'!L23)</f>
        <v/>
      </c>
      <c r="O23" s="1159" t="e">
        <f>IF(P23,P23/N23,0)</f>
        <v>#DIV/0!</v>
      </c>
      <c r="P23" s="1159" t="e">
        <f t="shared" ref="P23:P28" si="6">IF($D$8="Yes",MIN(E23,I23),MIN(E23,I23))</f>
        <v>#DIV/0!</v>
      </c>
      <c r="Q23" s="1297"/>
      <c r="R23" s="1307"/>
      <c r="S23" s="1277"/>
      <c r="T23" s="1277"/>
      <c r="U23" s="1277"/>
      <c r="V23" s="1277"/>
      <c r="W23" s="1277"/>
      <c r="X23" s="1277"/>
      <c r="Y23" s="1277"/>
      <c r="Z23" s="1281"/>
      <c r="AA23" s="1260"/>
    </row>
    <row r="24" spans="1:27" ht="18.75" x14ac:dyDescent="0.3">
      <c r="A24" s="1260"/>
      <c r="B24" s="1260"/>
      <c r="C24" s="1255">
        <v>1</v>
      </c>
      <c r="D24" s="1146" t="e">
        <f>IF(Underwriting!H266&lt;Underwriting!H211,Underwriting!H211,Underwriting!H266)</f>
        <v>#DIV/0!</v>
      </c>
      <c r="E24" s="1154" t="e">
        <f>+Lists!R76*D24</f>
        <v>#DIV/0!</v>
      </c>
      <c r="F24" s="1146" t="e">
        <f>IF(Underwriting!H236&lt;Underwriting!H211,Underwriting!H211,Underwriting!H236)</f>
        <v>#DIV/0!</v>
      </c>
      <c r="G24" s="1154" t="e">
        <f>+Lists!$H$43*F24</f>
        <v>#DIV/0!</v>
      </c>
      <c r="H24" s="1146" t="e">
        <f>IF(Underwriting!H228&lt;Underwriting!H211,Underwriting!H211,Underwriting!H228)</f>
        <v>#DIV/0!</v>
      </c>
      <c r="I24" s="1154" t="e">
        <f>+Underwriting!H113*'Funding and Units Worksheet'!H24</f>
        <v>#DIV/0!</v>
      </c>
      <c r="J24" s="1147" t="e">
        <f>+Underwriting!H211</f>
        <v>#DIV/0!</v>
      </c>
      <c r="K24" s="1168" t="e">
        <f>+Underwriting!H219</f>
        <v>#DIV/0!</v>
      </c>
      <c r="L24" s="1097" t="str">
        <f t="shared" ref="L24:L28" si="7">IF($D$8="NO",MAX(F24,H24,J24),"")</f>
        <v/>
      </c>
      <c r="M24" s="1097" t="str">
        <f t="shared" ref="M24:M28" si="8">IF($D$8="YES",MAX(D24,J24,L24), "")</f>
        <v/>
      </c>
      <c r="N24" s="1097" t="str">
        <f>+IF(Eligibility!$E$6="Yes",'Funding and Units Worksheet'!M24,'Funding and Units Worksheet'!L24)</f>
        <v/>
      </c>
      <c r="O24" s="1159" t="e">
        <f t="shared" ref="O24:O28" si="9">IF(P24,P24/N24,0)</f>
        <v>#DIV/0!</v>
      </c>
      <c r="P24" s="1159" t="e">
        <f t="shared" si="6"/>
        <v>#DIV/0!</v>
      </c>
      <c r="Q24" s="1297"/>
      <c r="R24" s="1307"/>
      <c r="S24" s="1277"/>
      <c r="T24" s="1277"/>
      <c r="U24" s="1277"/>
      <c r="V24" s="1277"/>
      <c r="W24" s="1277"/>
      <c r="X24" s="1277"/>
      <c r="Y24" s="1277"/>
      <c r="Z24" s="1281"/>
      <c r="AA24" s="1260"/>
    </row>
    <row r="25" spans="1:27" ht="18.75" x14ac:dyDescent="0.3">
      <c r="A25" s="1260"/>
      <c r="B25" s="1260"/>
      <c r="C25" s="1255">
        <v>2</v>
      </c>
      <c r="D25" s="1146" t="e">
        <f>IF(Underwriting!H267&lt;Underwriting!H212,Underwriting!H212,Underwriting!H267)</f>
        <v>#DIV/0!</v>
      </c>
      <c r="E25" s="1154" t="e">
        <f>+Lists!S76*D25</f>
        <v>#DIV/0!</v>
      </c>
      <c r="F25" s="1146" t="e">
        <f>IF(Underwriting!H237&lt;Underwriting!H212,Underwriting!H212,Underwriting!H237)</f>
        <v>#DIV/0!</v>
      </c>
      <c r="G25" s="1154" t="e">
        <f>+Lists!$H$43*F25</f>
        <v>#DIV/0!</v>
      </c>
      <c r="H25" s="1146" t="e">
        <f>IF(Underwriting!H229&lt;Underwriting!H212,Underwriting!H212,Underwriting!H229)</f>
        <v>#DIV/0!</v>
      </c>
      <c r="I25" s="1154" t="e">
        <f>+Underwriting!H114*'Funding and Units Worksheet'!H25</f>
        <v>#DIV/0!</v>
      </c>
      <c r="J25" s="1147" t="e">
        <f>+Underwriting!H212</f>
        <v>#DIV/0!</v>
      </c>
      <c r="K25" s="1168" t="e">
        <f>+Underwriting!H220</f>
        <v>#DIV/0!</v>
      </c>
      <c r="L25" s="1097" t="str">
        <f t="shared" si="7"/>
        <v/>
      </c>
      <c r="M25" s="1097" t="str">
        <f t="shared" si="8"/>
        <v/>
      </c>
      <c r="N25" s="1097" t="str">
        <f>+IF(Eligibility!$E$6="Yes",'Funding and Units Worksheet'!M25,'Funding and Units Worksheet'!L25)</f>
        <v/>
      </c>
      <c r="O25" s="1159" t="e">
        <f t="shared" si="9"/>
        <v>#DIV/0!</v>
      </c>
      <c r="P25" s="1159" t="e">
        <f t="shared" si="6"/>
        <v>#DIV/0!</v>
      </c>
      <c r="Q25" s="1297"/>
      <c r="R25" s="1307"/>
      <c r="S25" s="1277"/>
      <c r="T25" s="1277"/>
      <c r="U25" s="1277"/>
      <c r="V25" s="1277"/>
      <c r="W25" s="1277"/>
      <c r="X25" s="1277"/>
      <c r="Y25" s="1277"/>
      <c r="Z25" s="1281"/>
      <c r="AA25" s="1260"/>
    </row>
    <row r="26" spans="1:27" ht="18.75" x14ac:dyDescent="0.3">
      <c r="A26" s="1260"/>
      <c r="B26" s="1260"/>
      <c r="C26" s="1255">
        <v>3</v>
      </c>
      <c r="D26" s="1146" t="e">
        <f>IF(Underwriting!H268&lt;Underwriting!H213,Underwriting!H213,Underwriting!H268)</f>
        <v>#DIV/0!</v>
      </c>
      <c r="E26" s="1154" t="e">
        <f>+Lists!T76*D26</f>
        <v>#DIV/0!</v>
      </c>
      <c r="F26" s="1146" t="e">
        <f>IF(Underwriting!H238&lt;Underwriting!H213,Underwriting!H213,Underwriting!H238)</f>
        <v>#DIV/0!</v>
      </c>
      <c r="G26" s="1154" t="e">
        <f>+Lists!$H$43*F26</f>
        <v>#DIV/0!</v>
      </c>
      <c r="H26" s="1146" t="e">
        <f>IF(Underwriting!H230&lt;Underwriting!H213,Underwriting!H213,Underwriting!H230)</f>
        <v>#DIV/0!</v>
      </c>
      <c r="I26" s="1154" t="e">
        <f>+Underwriting!H115*'Funding and Units Worksheet'!H26</f>
        <v>#DIV/0!</v>
      </c>
      <c r="J26" s="1147" t="e">
        <f>+Underwriting!H213</f>
        <v>#DIV/0!</v>
      </c>
      <c r="K26" s="1168" t="e">
        <f>+Underwriting!H221</f>
        <v>#DIV/0!</v>
      </c>
      <c r="L26" s="1097" t="str">
        <f t="shared" si="7"/>
        <v/>
      </c>
      <c r="M26" s="1097" t="str">
        <f t="shared" si="8"/>
        <v/>
      </c>
      <c r="N26" s="1097" t="str">
        <f>+IF(Eligibility!$E$6="Yes",'Funding and Units Worksheet'!M26,'Funding and Units Worksheet'!L26)</f>
        <v/>
      </c>
      <c r="O26" s="1159" t="e">
        <f t="shared" si="9"/>
        <v>#DIV/0!</v>
      </c>
      <c r="P26" s="1159" t="e">
        <f t="shared" si="6"/>
        <v>#DIV/0!</v>
      </c>
      <c r="Q26" s="1297"/>
      <c r="R26" s="1307"/>
      <c r="S26" s="1277"/>
      <c r="T26" s="1277"/>
      <c r="U26" s="1277"/>
      <c r="V26" s="1277"/>
      <c r="W26" s="1277"/>
      <c r="X26" s="1277"/>
      <c r="Y26" s="1277"/>
      <c r="Z26" s="1281"/>
      <c r="AA26" s="1260"/>
    </row>
    <row r="27" spans="1:27" ht="18.75" x14ac:dyDescent="0.3">
      <c r="A27" s="1260"/>
      <c r="B27" s="1260"/>
      <c r="C27" s="1255">
        <v>4</v>
      </c>
      <c r="D27" s="1146" t="e">
        <f>IF(Underwriting!H269&lt;Underwriting!H214,Underwriting!H214,Underwriting!H269)</f>
        <v>#DIV/0!</v>
      </c>
      <c r="E27" s="1154" t="e">
        <f>+Lists!U78*D27</f>
        <v>#DIV/0!</v>
      </c>
      <c r="F27" s="1146" t="e">
        <f>IF(Underwriting!H239&lt;Underwriting!H214,Underwriting!H214,Underwriting!H239)</f>
        <v>#DIV/0!</v>
      </c>
      <c r="G27" s="1154" t="e">
        <f>+Lists!$H$43*F27</f>
        <v>#DIV/0!</v>
      </c>
      <c r="H27" s="1146" t="e">
        <f>IF(Underwriting!H231&lt;Underwriting!H214,Underwriting!H214,Underwriting!H231)</f>
        <v>#DIV/0!</v>
      </c>
      <c r="I27" s="1154" t="e">
        <f>+Underwriting!H116*'Funding and Units Worksheet'!H27</f>
        <v>#DIV/0!</v>
      </c>
      <c r="J27" s="1147" t="e">
        <f>+Underwriting!H214</f>
        <v>#DIV/0!</v>
      </c>
      <c r="K27" s="1168" t="e">
        <f>+Underwriting!H222</f>
        <v>#DIV/0!</v>
      </c>
      <c r="L27" s="1097" t="str">
        <f t="shared" si="7"/>
        <v/>
      </c>
      <c r="M27" s="1097" t="str">
        <f t="shared" si="8"/>
        <v/>
      </c>
      <c r="N27" s="1097" t="str">
        <f>+IF(Eligibility!$E$6="Yes",'Funding and Units Worksheet'!M27,'Funding and Units Worksheet'!L27)</f>
        <v/>
      </c>
      <c r="O27" s="1159" t="e">
        <f t="shared" si="9"/>
        <v>#DIV/0!</v>
      </c>
      <c r="P27" s="1159" t="e">
        <f t="shared" si="6"/>
        <v>#DIV/0!</v>
      </c>
      <c r="Q27" s="1297"/>
      <c r="R27" s="1307"/>
      <c r="S27" s="1277"/>
      <c r="T27" s="1277"/>
      <c r="U27" s="1277"/>
      <c r="V27" s="1277"/>
      <c r="W27" s="1277"/>
      <c r="X27" s="1277"/>
      <c r="Y27" s="1277"/>
      <c r="Z27" s="1281"/>
      <c r="AA27" s="1260"/>
    </row>
    <row r="28" spans="1:27" ht="18.75" x14ac:dyDescent="0.3">
      <c r="A28" s="1260"/>
      <c r="B28" s="1260"/>
      <c r="C28" s="1255">
        <v>5</v>
      </c>
      <c r="D28" s="1146" t="e">
        <f>IF(Underwriting!H270&lt;Underwriting!H215,Underwriting!H215,Underwriting!H270)</f>
        <v>#DIV/0!</v>
      </c>
      <c r="E28" s="1154" t="e">
        <f>+E18</f>
        <v>#DIV/0!</v>
      </c>
      <c r="F28" s="1146" t="e">
        <f>IF(Underwriting!H240&lt;Underwriting!H215,Underwriting!H215,Underwriting!H240)</f>
        <v>#DIV/0!</v>
      </c>
      <c r="G28" s="1154" t="e">
        <f>+Lists!$H$43*F28</f>
        <v>#DIV/0!</v>
      </c>
      <c r="H28" s="1146" t="e">
        <f>IF(Underwriting!H232&lt;Underwriting!H215,Underwriting!H215,Underwriting!H232)</f>
        <v>#DIV/0!</v>
      </c>
      <c r="I28" s="1154" t="e">
        <f>+Underwriting!H117*'Funding and Units Worksheet'!H28</f>
        <v>#DIV/0!</v>
      </c>
      <c r="J28" s="1147" t="e">
        <f>+Underwriting!H215</f>
        <v>#DIV/0!</v>
      </c>
      <c r="K28" s="1168" t="e">
        <f>+Underwriting!H223</f>
        <v>#DIV/0!</v>
      </c>
      <c r="L28" s="1097" t="str">
        <f t="shared" si="7"/>
        <v/>
      </c>
      <c r="M28" s="1097" t="str">
        <f t="shared" si="8"/>
        <v/>
      </c>
      <c r="N28" s="1097" t="str">
        <f>+IF(Eligibility!$E$6="Yes",'Funding and Units Worksheet'!M28,'Funding and Units Worksheet'!L28)</f>
        <v/>
      </c>
      <c r="O28" s="1159" t="e">
        <f t="shared" si="9"/>
        <v>#DIV/0!</v>
      </c>
      <c r="P28" s="1159" t="e">
        <f t="shared" si="6"/>
        <v>#DIV/0!</v>
      </c>
      <c r="Q28" s="1297"/>
      <c r="R28" s="1307"/>
      <c r="S28" s="1277"/>
      <c r="T28" s="1277"/>
      <c r="U28" s="1277"/>
      <c r="V28" s="1277"/>
      <c r="W28" s="1277"/>
      <c r="X28" s="1277"/>
      <c r="Y28" s="1277"/>
      <c r="Z28" s="1281"/>
      <c r="AA28" s="1260"/>
    </row>
    <row r="29" spans="1:27" ht="18.75" x14ac:dyDescent="0.3">
      <c r="A29" s="1260"/>
      <c r="B29" s="1260"/>
      <c r="C29" s="1255" t="s">
        <v>1877</v>
      </c>
      <c r="D29" s="1146"/>
      <c r="E29" s="1154" t="e">
        <f>SUM(E23:E28)</f>
        <v>#DIV/0!</v>
      </c>
      <c r="F29" s="1146"/>
      <c r="G29" s="1154" t="e">
        <f>SUM(G23:G28)</f>
        <v>#DIV/0!</v>
      </c>
      <c r="H29" s="1146"/>
      <c r="I29" s="1154" t="e">
        <f>SUM(I23:I28)</f>
        <v>#DIV/0!</v>
      </c>
      <c r="J29" s="1147"/>
      <c r="K29" s="1154" t="e">
        <f>SUM(K23:K28)</f>
        <v>#DIV/0!</v>
      </c>
      <c r="L29" s="1097"/>
      <c r="M29" s="1097"/>
      <c r="N29" s="1097"/>
      <c r="O29" s="1159"/>
      <c r="P29" s="1159"/>
      <c r="Q29" s="1297"/>
      <c r="R29" s="1307"/>
      <c r="S29" s="1277"/>
      <c r="T29" s="1277"/>
      <c r="U29" s="1277"/>
      <c r="V29" s="1277"/>
      <c r="W29" s="1277"/>
      <c r="X29" s="1277"/>
      <c r="Y29" s="1277"/>
      <c r="Z29" s="1281"/>
      <c r="AA29" s="1260"/>
    </row>
    <row r="30" spans="1:27" ht="19.5" thickBot="1" x14ac:dyDescent="0.35">
      <c r="A30" s="1260"/>
      <c r="B30" s="1260"/>
      <c r="C30" s="1256" t="s">
        <v>1878</v>
      </c>
      <c r="D30" s="1257" t="e">
        <f t="shared" ref="D30:M30" si="10">SUM(D23:D28)</f>
        <v>#DIV/0!</v>
      </c>
      <c r="E30" s="1258" t="e">
        <f>IF(SUM(E23:E28)&lt;D6, SUM(E23:E28),D6)</f>
        <v>#DIV/0!</v>
      </c>
      <c r="F30" s="1257" t="e">
        <f t="shared" si="10"/>
        <v>#DIV/0!</v>
      </c>
      <c r="G30" s="1258" t="e">
        <f>IF(SUM(G23:G28)&lt;D6, SUM(G23:G28),D6)</f>
        <v>#DIV/0!</v>
      </c>
      <c r="H30" s="1257" t="e">
        <f t="shared" si="10"/>
        <v>#DIV/0!</v>
      </c>
      <c r="I30" s="1258" t="e">
        <f>IF(SUM(I23:I28)&lt;D6, SUM(I23:I28),D6)</f>
        <v>#DIV/0!</v>
      </c>
      <c r="J30" s="1257" t="e">
        <f t="shared" si="10"/>
        <v>#DIV/0!</v>
      </c>
      <c r="K30" s="1258" t="e">
        <f>IF(SUM(K23:K28)&lt;D6, SUM(K23:K28),D6)</f>
        <v>#DIV/0!</v>
      </c>
      <c r="L30" s="1257">
        <f t="shared" si="10"/>
        <v>0</v>
      </c>
      <c r="M30" s="1257">
        <f t="shared" si="10"/>
        <v>0</v>
      </c>
      <c r="N30" s="1257">
        <f>SUM(N23:N28)</f>
        <v>0</v>
      </c>
      <c r="O30" s="1257"/>
      <c r="P30" s="1258" t="e">
        <f>IF(SUM(P23:P28)&lt;D6, SUM(P23:P28),D6)</f>
        <v>#DIV/0!</v>
      </c>
      <c r="Q30" s="1299"/>
      <c r="R30" s="1307"/>
      <c r="S30" s="1277"/>
      <c r="T30" s="1277"/>
      <c r="U30" s="1277"/>
      <c r="V30" s="1277"/>
      <c r="W30" s="1277"/>
      <c r="X30" s="1277"/>
      <c r="Y30" s="1277"/>
      <c r="Z30" s="1281"/>
      <c r="AA30" s="1260"/>
    </row>
    <row r="31" spans="1:27" ht="29.25" customHeight="1" thickTop="1" x14ac:dyDescent="0.2">
      <c r="A31" s="1260"/>
      <c r="B31" s="1260"/>
      <c r="C31" s="1311"/>
      <c r="D31" s="1260"/>
      <c r="E31" s="1268"/>
      <c r="F31" s="1268"/>
      <c r="G31" s="1268"/>
      <c r="H31" s="1268"/>
      <c r="I31" s="1268"/>
      <c r="J31" s="1268"/>
      <c r="K31" s="1268"/>
      <c r="L31" s="1268"/>
      <c r="M31" s="1268"/>
      <c r="N31" s="1268"/>
      <c r="O31" s="1268"/>
      <c r="P31" s="1290"/>
      <c r="Q31" s="1268"/>
      <c r="R31" s="1307"/>
      <c r="S31" s="1277"/>
      <c r="T31" s="1277"/>
      <c r="U31" s="1277"/>
      <c r="V31" s="1277"/>
      <c r="W31" s="1277"/>
      <c r="X31" s="1277"/>
      <c r="Y31" s="1277"/>
      <c r="Z31" s="1281"/>
      <c r="AA31" s="1260"/>
    </row>
    <row r="32" spans="1:27" ht="29.25" customHeight="1" x14ac:dyDescent="0.2">
      <c r="A32" s="1260"/>
      <c r="B32" s="1260"/>
      <c r="C32" s="2132" t="s">
        <v>1736</v>
      </c>
      <c r="D32" s="2133"/>
      <c r="E32" s="1268"/>
      <c r="F32" s="1268"/>
      <c r="G32" s="1268"/>
      <c r="H32" s="1268"/>
      <c r="I32" s="1268"/>
      <c r="J32" s="1292"/>
      <c r="K32" s="1268"/>
      <c r="L32" s="1268"/>
      <c r="M32" s="1268"/>
      <c r="N32" s="1268"/>
      <c r="O32" s="1268"/>
      <c r="P32" s="1290"/>
      <c r="Q32" s="1268"/>
      <c r="R32" s="1307"/>
      <c r="S32" s="1277"/>
      <c r="T32" s="1277"/>
      <c r="U32" s="1277"/>
      <c r="V32" s="1277"/>
      <c r="W32" s="1277"/>
      <c r="X32" s="1277"/>
      <c r="Y32" s="1277"/>
      <c r="Z32" s="1281"/>
      <c r="AA32" s="1260"/>
    </row>
    <row r="33" spans="1:27" ht="43.5" customHeight="1" x14ac:dyDescent="0.2">
      <c r="A33" s="1260"/>
      <c r="B33" s="1260"/>
      <c r="C33" s="1090" t="s">
        <v>1742</v>
      </c>
      <c r="D33" s="1192" t="s">
        <v>1876</v>
      </c>
      <c r="E33" s="1291"/>
      <c r="F33" s="1268"/>
      <c r="G33" s="1268"/>
      <c r="H33" s="1268"/>
      <c r="I33" s="1268"/>
      <c r="J33" s="1292"/>
      <c r="K33" s="1268"/>
      <c r="L33" s="1268"/>
      <c r="M33" s="1268"/>
      <c r="N33" s="1268"/>
      <c r="O33" s="1268"/>
      <c r="P33" s="1290"/>
      <c r="Q33" s="1268"/>
      <c r="R33" s="1307"/>
      <c r="S33" s="1277"/>
      <c r="T33" s="1277"/>
      <c r="U33" s="1277"/>
      <c r="V33" s="1277"/>
      <c r="W33" s="1277"/>
      <c r="X33" s="1277"/>
      <c r="Y33" s="1277"/>
      <c r="Z33" s="1281"/>
      <c r="AA33" s="1260"/>
    </row>
    <row r="34" spans="1:27" x14ac:dyDescent="0.2">
      <c r="A34" s="1260"/>
      <c r="B34" s="1260"/>
      <c r="C34" s="1237">
        <v>0</v>
      </c>
      <c r="D34" s="1193" t="e">
        <f>+'Primary Input'!E53-('Funding and Units Worksheet'!N23+'Funding and Units Worksheet'!N13)</f>
        <v>#VALUE!</v>
      </c>
      <c r="E34" s="1287"/>
      <c r="F34" s="1277"/>
      <c r="G34" s="1277"/>
      <c r="H34" s="1277"/>
      <c r="I34" s="1268"/>
      <c r="J34" s="1292"/>
      <c r="K34" s="1277"/>
      <c r="L34" s="1268"/>
      <c r="M34" s="1277"/>
      <c r="N34" s="1277"/>
      <c r="O34" s="1277"/>
      <c r="P34" s="1277"/>
      <c r="Q34" s="1277"/>
      <c r="R34" s="1307"/>
      <c r="S34" s="1277"/>
      <c r="T34" s="1277"/>
      <c r="U34" s="1277"/>
      <c r="V34" s="1277"/>
      <c r="W34" s="1277"/>
      <c r="X34" s="1277"/>
      <c r="Y34" s="1277"/>
      <c r="Z34" s="1281"/>
      <c r="AA34" s="1260"/>
    </row>
    <row r="35" spans="1:27" x14ac:dyDescent="0.2">
      <c r="A35" s="1260"/>
      <c r="B35" s="1260"/>
      <c r="C35" s="1237">
        <v>1</v>
      </c>
      <c r="D35" s="1193" t="e">
        <f>+'Primary Input'!E54-('Funding and Units Worksheet'!N24+'Funding and Units Worksheet'!N14)</f>
        <v>#VALUE!</v>
      </c>
      <c r="E35" s="1287"/>
      <c r="F35" s="1277"/>
      <c r="G35" s="1277"/>
      <c r="H35" s="1277"/>
      <c r="I35" s="1268"/>
      <c r="J35" s="1292"/>
      <c r="K35" s="1277"/>
      <c r="L35" s="1268"/>
      <c r="M35" s="1277"/>
      <c r="N35" s="1277"/>
      <c r="O35" s="1277"/>
      <c r="P35" s="1277"/>
      <c r="Q35" s="1277"/>
      <c r="R35" s="1307"/>
      <c r="S35" s="1277"/>
      <c r="T35" s="1277"/>
      <c r="U35" s="1277"/>
      <c r="V35" s="1277"/>
      <c r="W35" s="1277"/>
      <c r="X35" s="1277"/>
      <c r="Y35" s="1277"/>
      <c r="Z35" s="1281"/>
      <c r="AA35" s="1260"/>
    </row>
    <row r="36" spans="1:27" x14ac:dyDescent="0.2">
      <c r="A36" s="1260"/>
      <c r="B36" s="1260"/>
      <c r="C36" s="1237">
        <v>2</v>
      </c>
      <c r="D36" s="1193" t="e">
        <f>+'Primary Input'!E55-('Funding and Units Worksheet'!N25+'Funding and Units Worksheet'!N15)</f>
        <v>#VALUE!</v>
      </c>
      <c r="E36" s="1287"/>
      <c r="F36" s="1277"/>
      <c r="G36" s="1277"/>
      <c r="H36" s="1277"/>
      <c r="I36" s="1268"/>
      <c r="J36" s="1292"/>
      <c r="K36" s="1277"/>
      <c r="L36" s="1268"/>
      <c r="M36" s="1277"/>
      <c r="N36" s="1277"/>
      <c r="O36" s="1277"/>
      <c r="P36" s="1277"/>
      <c r="Q36" s="1277"/>
      <c r="R36" s="1307"/>
      <c r="S36" s="1277"/>
      <c r="T36" s="1277"/>
      <c r="U36" s="1277"/>
      <c r="V36" s="1277"/>
      <c r="W36" s="1277"/>
      <c r="X36" s="1277"/>
      <c r="Y36" s="1277"/>
      <c r="Z36" s="1281"/>
      <c r="AA36" s="1260"/>
    </row>
    <row r="37" spans="1:27" x14ac:dyDescent="0.2">
      <c r="A37" s="1260"/>
      <c r="B37" s="1260"/>
      <c r="C37" s="1237">
        <v>3</v>
      </c>
      <c r="D37" s="1193" t="e">
        <f>+'Primary Input'!E56-('Funding and Units Worksheet'!N26+'Funding and Units Worksheet'!N16)</f>
        <v>#VALUE!</v>
      </c>
      <c r="E37" s="1287"/>
      <c r="F37" s="1277"/>
      <c r="G37" s="1277"/>
      <c r="H37" s="1277"/>
      <c r="I37" s="1268"/>
      <c r="J37" s="1292"/>
      <c r="K37" s="1277"/>
      <c r="L37" s="1268"/>
      <c r="M37" s="1277"/>
      <c r="N37" s="1277"/>
      <c r="O37" s="1277"/>
      <c r="P37" s="1277"/>
      <c r="Q37" s="1277"/>
      <c r="R37" s="1307"/>
      <c r="S37" s="1277"/>
      <c r="T37" s="1277"/>
      <c r="U37" s="1277"/>
      <c r="V37" s="1277"/>
      <c r="W37" s="1277"/>
      <c r="X37" s="1277"/>
      <c r="Y37" s="1277"/>
      <c r="Z37" s="1281"/>
      <c r="AA37" s="1260"/>
    </row>
    <row r="38" spans="1:27" x14ac:dyDescent="0.2">
      <c r="A38" s="1260"/>
      <c r="B38" s="1260"/>
      <c r="C38" s="1237">
        <v>4</v>
      </c>
      <c r="D38" s="1193" t="e">
        <f>+'Primary Input'!E57-('Funding and Units Worksheet'!N27+'Funding and Units Worksheet'!N17)</f>
        <v>#VALUE!</v>
      </c>
      <c r="E38" s="1287"/>
      <c r="F38" s="1277"/>
      <c r="G38" s="1277"/>
      <c r="H38" s="1277"/>
      <c r="I38" s="1277"/>
      <c r="J38" s="1292"/>
      <c r="K38" s="1277"/>
      <c r="L38" s="1277"/>
      <c r="M38" s="1277"/>
      <c r="N38" s="1277"/>
      <c r="O38" s="1277"/>
      <c r="P38" s="1277"/>
      <c r="Q38" s="1277"/>
      <c r="R38" s="1307"/>
      <c r="S38" s="1277"/>
      <c r="T38" s="1277"/>
      <c r="U38" s="1277"/>
      <c r="V38" s="1277"/>
      <c r="W38" s="1277"/>
      <c r="X38" s="1277"/>
      <c r="Y38" s="1277"/>
      <c r="Z38" s="1281"/>
      <c r="AA38" s="1260"/>
    </row>
    <row r="39" spans="1:27" x14ac:dyDescent="0.2">
      <c r="A39" s="1260"/>
      <c r="B39" s="1260"/>
      <c r="C39" s="1237">
        <v>5</v>
      </c>
      <c r="D39" s="1193" t="e">
        <f>+'Primary Input'!E58-('Funding and Units Worksheet'!N28+'Funding and Units Worksheet'!N18)</f>
        <v>#VALUE!</v>
      </c>
      <c r="E39" s="1287"/>
      <c r="F39" s="1277"/>
      <c r="G39" s="1277"/>
      <c r="H39" s="1277"/>
      <c r="I39" s="1277"/>
      <c r="J39" s="1277"/>
      <c r="K39" s="1277"/>
      <c r="L39" s="1277"/>
      <c r="M39" s="1277"/>
      <c r="N39" s="1277"/>
      <c r="O39" s="1277"/>
      <c r="P39" s="1277"/>
      <c r="Q39" s="1277"/>
      <c r="R39" s="1307"/>
      <c r="S39" s="1277"/>
      <c r="T39" s="1277"/>
      <c r="U39" s="1277"/>
      <c r="V39" s="1277"/>
      <c r="W39" s="1277"/>
      <c r="X39" s="1277"/>
      <c r="Y39" s="1277"/>
      <c r="Z39" s="1281"/>
      <c r="AA39" s="1260"/>
    </row>
    <row r="40" spans="1:27" x14ac:dyDescent="0.2">
      <c r="A40" s="1260"/>
      <c r="B40" s="1260"/>
      <c r="C40" s="1237" t="s">
        <v>157</v>
      </c>
      <c r="D40" s="1193" t="e">
        <f>SUM(D34:D39)</f>
        <v>#VALUE!</v>
      </c>
      <c r="E40" s="1287"/>
      <c r="F40" s="1277"/>
      <c r="G40" s="1277"/>
      <c r="H40" s="1277"/>
      <c r="I40" s="1277"/>
      <c r="J40" s="1277"/>
      <c r="K40" s="1277"/>
      <c r="L40" s="1277"/>
      <c r="M40" s="1277"/>
      <c r="N40" s="1277"/>
      <c r="O40" s="1277"/>
      <c r="P40" s="1277"/>
      <c r="Q40" s="1277"/>
      <c r="R40" s="1307"/>
      <c r="S40" s="1277"/>
      <c r="T40" s="1277"/>
      <c r="U40" s="1277"/>
      <c r="V40" s="1277"/>
      <c r="W40" s="1277"/>
      <c r="X40" s="1277"/>
      <c r="Y40" s="1277"/>
      <c r="Z40" s="1281"/>
      <c r="AA40" s="1260"/>
    </row>
    <row r="41" spans="1:27" ht="13.5" thickBot="1" x14ac:dyDescent="0.25">
      <c r="A41" s="1260"/>
      <c r="B41" s="1260"/>
      <c r="C41" s="1269"/>
      <c r="D41" s="1259"/>
      <c r="E41" s="1293"/>
      <c r="F41" s="1288"/>
      <c r="G41" s="1288"/>
      <c r="H41" s="1288"/>
      <c r="I41" s="1288"/>
      <c r="J41" s="1288"/>
      <c r="K41" s="1288"/>
      <c r="L41" s="1288"/>
      <c r="M41" s="1288"/>
      <c r="N41" s="1288"/>
      <c r="O41" s="1288"/>
      <c r="P41" s="1288"/>
      <c r="Q41" s="1288"/>
      <c r="R41" s="1309"/>
      <c r="S41" s="1288"/>
      <c r="T41" s="1288"/>
      <c r="U41" s="1288"/>
      <c r="V41" s="1288"/>
      <c r="W41" s="1288"/>
      <c r="X41" s="1288"/>
      <c r="Y41" s="1288"/>
      <c r="Z41" s="1289"/>
      <c r="AA41" s="1260"/>
    </row>
    <row r="42" spans="1:27" ht="13.5" thickTop="1" x14ac:dyDescent="0.2">
      <c r="A42" s="1260"/>
      <c r="B42" s="1260"/>
      <c r="C42" s="1265"/>
      <c r="D42" s="1260"/>
      <c r="E42" s="1260"/>
      <c r="F42" s="1260"/>
      <c r="G42" s="1260"/>
      <c r="H42" s="1260"/>
      <c r="I42" s="1260"/>
      <c r="J42" s="1260"/>
      <c r="K42" s="1260"/>
      <c r="L42" s="1260"/>
      <c r="M42" s="1260"/>
      <c r="N42" s="1260"/>
      <c r="O42" s="1260"/>
      <c r="P42" s="1260"/>
      <c r="Q42" s="1260"/>
      <c r="R42" s="1260"/>
      <c r="S42" s="1260"/>
      <c r="T42" s="1260"/>
      <c r="U42" s="1260"/>
      <c r="V42" s="1260"/>
      <c r="W42" s="1260"/>
      <c r="X42" s="1260"/>
      <c r="Y42" s="1260"/>
      <c r="Z42" s="1260"/>
      <c r="AA42" s="1260"/>
    </row>
    <row r="44" spans="1:27" x14ac:dyDescent="0.2">
      <c r="M44" s="735"/>
      <c r="O44" s="735"/>
    </row>
    <row r="46" spans="1:27" x14ac:dyDescent="0.2">
      <c r="I46" s="1153"/>
    </row>
    <row r="47" spans="1:27" x14ac:dyDescent="0.2">
      <c r="I47" s="1153"/>
      <c r="K47" s="1173"/>
    </row>
    <row r="48" spans="1:27" x14ac:dyDescent="0.2">
      <c r="I48" s="1153"/>
    </row>
    <row r="49" spans="9:9" x14ac:dyDescent="0.2">
      <c r="I49" s="1153"/>
    </row>
    <row r="50" spans="9:9" x14ac:dyDescent="0.2">
      <c r="I50" s="1153"/>
    </row>
  </sheetData>
  <sheetProtection password="CC14" sheet="1" objects="1" scenarios="1"/>
  <mergeCells count="10">
    <mergeCell ref="E4:K4"/>
    <mergeCell ref="C32:D32"/>
    <mergeCell ref="E8:K8"/>
    <mergeCell ref="V1:W1"/>
    <mergeCell ref="U7:Z8"/>
    <mergeCell ref="C10:Q10"/>
    <mergeCell ref="C11:Q11"/>
    <mergeCell ref="C21:Q21"/>
    <mergeCell ref="E6:K6"/>
    <mergeCell ref="E5:K5"/>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Lists!$H$2:$H$4</xm:f>
          </x14:formula1>
          <xm:sqref>T5</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8080"/>
    <pageSetUpPr fitToPage="1"/>
  </sheetPr>
  <dimension ref="A1:N94"/>
  <sheetViews>
    <sheetView zoomScaleNormal="100" workbookViewId="0">
      <selection activeCell="A27" sqref="A27"/>
    </sheetView>
  </sheetViews>
  <sheetFormatPr defaultColWidth="8.85546875" defaultRowHeight="12.75" x14ac:dyDescent="0.2"/>
  <cols>
    <col min="1" max="2" width="3.7109375" customWidth="1"/>
    <col min="3" max="6" width="1.7109375" customWidth="1"/>
    <col min="7" max="7" width="8.7109375" customWidth="1"/>
    <col min="8" max="8" width="3.7109375" customWidth="1"/>
    <col min="9" max="9" width="85.42578125" customWidth="1"/>
    <col min="10" max="10" width="1.7109375" customWidth="1"/>
    <col min="11" max="13" width="5.7109375" customWidth="1"/>
    <col min="14" max="14" width="3.7109375" customWidth="1"/>
  </cols>
  <sheetData>
    <row r="1" spans="1:14" ht="15" thickTop="1" thickBot="1" x14ac:dyDescent="0.3">
      <c r="A1" s="274" t="s">
        <v>388</v>
      </c>
      <c r="B1" s="408"/>
      <c r="C1" s="408"/>
      <c r="D1" s="408"/>
      <c r="E1" s="408"/>
      <c r="F1" s="408"/>
      <c r="G1" s="408"/>
      <c r="H1" s="408"/>
      <c r="I1" s="408"/>
      <c r="J1" s="408"/>
      <c r="K1" s="408"/>
      <c r="L1" s="408"/>
      <c r="M1" s="408"/>
      <c r="N1" s="409"/>
    </row>
    <row r="2" spans="1:14" ht="58.5" customHeight="1" thickTop="1" thickBot="1" x14ac:dyDescent="0.25">
      <c r="A2" s="275"/>
      <c r="B2" s="410"/>
      <c r="C2" s="411"/>
      <c r="D2" s="412"/>
      <c r="E2" s="411"/>
      <c r="F2" s="412"/>
      <c r="G2" s="411"/>
      <c r="H2" s="411"/>
      <c r="I2" s="413" t="s">
        <v>387</v>
      </c>
      <c r="J2" s="414"/>
      <c r="K2" s="415" t="s">
        <v>560</v>
      </c>
      <c r="L2" s="415" t="s">
        <v>561</v>
      </c>
      <c r="M2" s="416" t="s">
        <v>562</v>
      </c>
      <c r="N2" s="276"/>
    </row>
    <row r="3" spans="1:14" ht="23.25" customHeight="1" thickTop="1" x14ac:dyDescent="0.2">
      <c r="A3" s="275"/>
      <c r="B3" s="2155" t="s">
        <v>857</v>
      </c>
      <c r="C3" s="2155"/>
      <c r="D3" s="2155"/>
      <c r="E3" s="2155"/>
      <c r="F3" s="2155"/>
      <c r="G3" s="2155"/>
      <c r="H3" s="2155"/>
      <c r="I3" s="2155"/>
      <c r="J3" s="2155"/>
      <c r="K3" s="2155"/>
      <c r="L3" s="2155"/>
      <c r="M3" s="2155"/>
      <c r="N3" s="2156"/>
    </row>
    <row r="4" spans="1:14" x14ac:dyDescent="0.2">
      <c r="A4" s="275"/>
      <c r="B4" s="417">
        <v>1</v>
      </c>
      <c r="C4" s="417"/>
      <c r="D4" s="418"/>
      <c r="E4" s="417"/>
      <c r="F4" s="419"/>
      <c r="G4" s="417"/>
      <c r="H4" s="420" t="s">
        <v>563</v>
      </c>
      <c r="I4" s="421" t="s">
        <v>5</v>
      </c>
      <c r="J4" s="189"/>
      <c r="K4" s="477" t="s">
        <v>162</v>
      </c>
      <c r="L4" s="143"/>
      <c r="M4" s="189"/>
      <c r="N4" s="276"/>
    </row>
    <row r="5" spans="1:14" ht="12" customHeight="1" x14ac:dyDescent="0.2">
      <c r="A5" s="275"/>
      <c r="B5" s="422">
        <v>3</v>
      </c>
      <c r="C5" s="422"/>
      <c r="D5" s="423"/>
      <c r="E5" s="422"/>
      <c r="F5" s="424"/>
      <c r="G5" s="422"/>
      <c r="H5" s="425" t="s">
        <v>563</v>
      </c>
      <c r="I5" s="426" t="s">
        <v>9</v>
      </c>
      <c r="J5" s="189"/>
      <c r="K5" s="477" t="s">
        <v>162</v>
      </c>
      <c r="L5" s="143"/>
      <c r="M5" s="189"/>
      <c r="N5" s="276"/>
    </row>
    <row r="6" spans="1:14" ht="12" customHeight="1" x14ac:dyDescent="0.2">
      <c r="A6" s="275"/>
      <c r="B6" s="422">
        <v>4</v>
      </c>
      <c r="C6" s="422"/>
      <c r="D6" s="423"/>
      <c r="E6" s="422"/>
      <c r="F6" s="424"/>
      <c r="G6" s="422"/>
      <c r="H6" s="425" t="s">
        <v>563</v>
      </c>
      <c r="I6" s="426" t="s">
        <v>544</v>
      </c>
      <c r="J6" s="189"/>
      <c r="K6" s="477" t="s">
        <v>162</v>
      </c>
      <c r="L6" s="143"/>
      <c r="M6" s="189"/>
      <c r="N6" s="276"/>
    </row>
    <row r="7" spans="1:14" ht="12" customHeight="1" x14ac:dyDescent="0.2">
      <c r="A7" s="275"/>
      <c r="B7" s="422">
        <v>5</v>
      </c>
      <c r="C7" s="422"/>
      <c r="D7" s="423"/>
      <c r="E7" s="422"/>
      <c r="F7" s="424"/>
      <c r="G7" s="422"/>
      <c r="H7" s="425" t="s">
        <v>563</v>
      </c>
      <c r="I7" s="426" t="s">
        <v>109</v>
      </c>
      <c r="J7" s="189"/>
      <c r="K7" s="477" t="s">
        <v>162</v>
      </c>
      <c r="L7" s="143"/>
      <c r="M7" s="189"/>
      <c r="N7" s="276"/>
    </row>
    <row r="8" spans="1:14" ht="12" customHeight="1" x14ac:dyDescent="0.2">
      <c r="A8" s="275"/>
      <c r="B8" s="422">
        <v>6</v>
      </c>
      <c r="C8" s="422"/>
      <c r="D8" s="423"/>
      <c r="E8" s="422"/>
      <c r="F8" s="424"/>
      <c r="G8" s="422"/>
      <c r="H8" s="425" t="s">
        <v>563</v>
      </c>
      <c r="I8" s="426" t="s">
        <v>752</v>
      </c>
      <c r="J8" s="189"/>
      <c r="K8" s="477" t="s">
        <v>162</v>
      </c>
      <c r="L8" s="143"/>
      <c r="M8" s="189"/>
      <c r="N8" s="276"/>
    </row>
    <row r="9" spans="1:14" ht="12" customHeight="1" x14ac:dyDescent="0.2">
      <c r="A9" s="275"/>
      <c r="B9" s="422">
        <v>7</v>
      </c>
      <c r="C9" s="422"/>
      <c r="D9" s="423"/>
      <c r="E9" s="422"/>
      <c r="F9" s="424"/>
      <c r="G9" s="422"/>
      <c r="H9" s="425" t="s">
        <v>563</v>
      </c>
      <c r="I9" s="426" t="s">
        <v>128</v>
      </c>
      <c r="J9" s="189"/>
      <c r="K9" s="477" t="s">
        <v>162</v>
      </c>
      <c r="L9" s="143"/>
      <c r="M9" s="189"/>
      <c r="N9" s="276"/>
    </row>
    <row r="10" spans="1:14" ht="12" customHeight="1" x14ac:dyDescent="0.2">
      <c r="A10" s="275"/>
      <c r="B10" s="422">
        <v>8</v>
      </c>
      <c r="C10" s="422"/>
      <c r="D10" s="423"/>
      <c r="E10" s="422"/>
      <c r="F10" s="424"/>
      <c r="G10" s="422"/>
      <c r="H10" s="425" t="s">
        <v>563</v>
      </c>
      <c r="I10" s="426" t="s">
        <v>1934</v>
      </c>
      <c r="J10" s="189"/>
      <c r="K10" s="477" t="s">
        <v>162</v>
      </c>
      <c r="L10" s="143"/>
      <c r="M10" s="189"/>
      <c r="N10" s="276"/>
    </row>
    <row r="11" spans="1:14" ht="12" customHeight="1" x14ac:dyDescent="0.2">
      <c r="A11" s="275"/>
      <c r="B11" s="422"/>
      <c r="C11" s="422"/>
      <c r="D11" s="427"/>
      <c r="E11" s="424" t="s">
        <v>0</v>
      </c>
      <c r="F11" s="427"/>
      <c r="G11" s="424"/>
      <c r="H11" s="428"/>
      <c r="I11" s="429"/>
      <c r="J11" s="189"/>
      <c r="K11" s="477"/>
      <c r="L11" s="143"/>
      <c r="M11" s="189"/>
      <c r="N11" s="276"/>
    </row>
    <row r="12" spans="1:14" ht="12" customHeight="1" x14ac:dyDescent="0.2">
      <c r="A12" s="275"/>
      <c r="B12" s="422">
        <v>9</v>
      </c>
      <c r="C12" s="422"/>
      <c r="D12" s="427"/>
      <c r="E12" s="424"/>
      <c r="F12" s="427"/>
      <c r="G12" s="424"/>
      <c r="H12" s="425" t="s">
        <v>563</v>
      </c>
      <c r="I12" s="426" t="s">
        <v>753</v>
      </c>
      <c r="J12" s="189"/>
      <c r="K12" s="477" t="s">
        <v>162</v>
      </c>
      <c r="L12" s="143"/>
      <c r="M12" s="189"/>
      <c r="N12" s="276"/>
    </row>
    <row r="13" spans="1:14" ht="12" customHeight="1" x14ac:dyDescent="0.2">
      <c r="A13" s="275"/>
      <c r="B13" s="422"/>
      <c r="C13" s="422"/>
      <c r="D13" s="427"/>
      <c r="E13" s="424" t="s">
        <v>1</v>
      </c>
      <c r="F13" s="427"/>
      <c r="G13" s="424"/>
      <c r="H13" s="425"/>
      <c r="I13" s="426"/>
      <c r="J13" s="189"/>
      <c r="K13" s="477"/>
      <c r="L13" s="143"/>
      <c r="M13" s="189"/>
      <c r="N13" s="276"/>
    </row>
    <row r="14" spans="1:14" ht="12" customHeight="1" x14ac:dyDescent="0.2">
      <c r="A14" s="275"/>
      <c r="B14" s="422">
        <v>10</v>
      </c>
      <c r="C14" s="422"/>
      <c r="D14" s="423"/>
      <c r="E14" s="422"/>
      <c r="F14" s="424"/>
      <c r="G14" s="422"/>
      <c r="H14" s="425" t="s">
        <v>563</v>
      </c>
      <c r="I14" s="426" t="s">
        <v>858</v>
      </c>
      <c r="J14" s="189"/>
      <c r="K14" s="477" t="s">
        <v>162</v>
      </c>
      <c r="L14" s="143"/>
      <c r="M14" s="189"/>
      <c r="N14" s="276"/>
    </row>
    <row r="15" spans="1:14" ht="12" customHeight="1" x14ac:dyDescent="0.2">
      <c r="A15" s="275"/>
      <c r="B15" s="422">
        <v>11</v>
      </c>
      <c r="C15" s="422"/>
      <c r="D15" s="423"/>
      <c r="E15" s="422"/>
      <c r="F15" s="424"/>
      <c r="G15" s="422"/>
      <c r="H15" s="425" t="s">
        <v>563</v>
      </c>
      <c r="I15" s="426" t="s">
        <v>178</v>
      </c>
      <c r="J15" s="189"/>
      <c r="K15" s="477" t="s">
        <v>162</v>
      </c>
      <c r="L15" s="143"/>
      <c r="M15" s="189"/>
      <c r="N15" s="276"/>
    </row>
    <row r="16" spans="1:14" ht="12" customHeight="1" x14ac:dyDescent="0.2">
      <c r="A16" s="275"/>
      <c r="B16" s="422">
        <v>12</v>
      </c>
      <c r="C16" s="422"/>
      <c r="D16" s="423"/>
      <c r="E16" s="422"/>
      <c r="F16" s="424"/>
      <c r="G16" s="422"/>
      <c r="H16" s="425" t="s">
        <v>563</v>
      </c>
      <c r="I16" s="426" t="s">
        <v>200</v>
      </c>
      <c r="J16" s="189"/>
      <c r="K16" s="477" t="s">
        <v>162</v>
      </c>
      <c r="L16" s="143"/>
      <c r="M16" s="189"/>
      <c r="N16" s="276"/>
    </row>
    <row r="17" spans="1:14" ht="12" customHeight="1" x14ac:dyDescent="0.2">
      <c r="A17" s="275"/>
      <c r="B17" s="422">
        <v>13</v>
      </c>
      <c r="C17" s="422"/>
      <c r="D17" s="423"/>
      <c r="E17" s="422"/>
      <c r="F17" s="424"/>
      <c r="G17" s="422"/>
      <c r="H17" s="425" t="s">
        <v>563</v>
      </c>
      <c r="I17" s="426" t="s">
        <v>567</v>
      </c>
      <c r="J17" s="189"/>
      <c r="K17" s="477" t="s">
        <v>162</v>
      </c>
      <c r="L17" s="143"/>
      <c r="M17" s="189"/>
      <c r="N17" s="276"/>
    </row>
    <row r="18" spans="1:14" ht="12" customHeight="1" x14ac:dyDescent="0.2">
      <c r="A18" s="275"/>
      <c r="B18" s="422">
        <v>14</v>
      </c>
      <c r="C18" s="422"/>
      <c r="D18" s="423"/>
      <c r="E18" s="422"/>
      <c r="F18" s="424"/>
      <c r="G18" s="422"/>
      <c r="H18" s="425" t="s">
        <v>563</v>
      </c>
      <c r="I18" s="426" t="s">
        <v>249</v>
      </c>
      <c r="J18" s="189"/>
      <c r="K18" s="477" t="s">
        <v>162</v>
      </c>
      <c r="L18" s="143"/>
      <c r="M18" s="189"/>
      <c r="N18" s="276"/>
    </row>
    <row r="19" spans="1:14" ht="12" customHeight="1" x14ac:dyDescent="0.2">
      <c r="A19" s="275"/>
      <c r="B19" s="422">
        <v>15</v>
      </c>
      <c r="C19" s="422"/>
      <c r="D19" s="423"/>
      <c r="E19" s="422"/>
      <c r="F19" s="424"/>
      <c r="G19" s="422"/>
      <c r="H19" s="430" t="s">
        <v>563</v>
      </c>
      <c r="I19" s="426" t="s">
        <v>658</v>
      </c>
      <c r="J19" s="189"/>
      <c r="K19" s="477"/>
      <c r="L19" s="143"/>
      <c r="M19" s="189"/>
      <c r="N19" s="276"/>
    </row>
    <row r="20" spans="1:14" ht="12" customHeight="1" x14ac:dyDescent="0.2">
      <c r="A20" s="275"/>
      <c r="B20" s="422">
        <v>16</v>
      </c>
      <c r="C20" s="422"/>
      <c r="D20" s="423"/>
      <c r="E20" s="422"/>
      <c r="F20" s="424"/>
      <c r="G20" s="422"/>
      <c r="H20" s="425" t="s">
        <v>563</v>
      </c>
      <c r="I20" s="426" t="s">
        <v>2</v>
      </c>
      <c r="J20" s="189"/>
      <c r="K20" s="477" t="s">
        <v>162</v>
      </c>
      <c r="L20" s="143"/>
      <c r="M20" s="189"/>
      <c r="N20" s="276"/>
    </row>
    <row r="21" spans="1:14" ht="12" customHeight="1" x14ac:dyDescent="0.2">
      <c r="A21" s="275"/>
      <c r="B21" s="422">
        <v>17</v>
      </c>
      <c r="C21" s="422"/>
      <c r="D21" s="423"/>
      <c r="E21" s="422"/>
      <c r="F21" s="424"/>
      <c r="G21" s="422"/>
      <c r="H21" s="425" t="s">
        <v>563</v>
      </c>
      <c r="I21" s="426" t="s">
        <v>559</v>
      </c>
      <c r="J21" s="189"/>
      <c r="K21" s="477" t="s">
        <v>162</v>
      </c>
      <c r="L21" s="143"/>
      <c r="M21" s="189"/>
      <c r="N21" s="276"/>
    </row>
    <row r="22" spans="1:14" ht="12" customHeight="1" x14ac:dyDescent="0.2">
      <c r="A22" s="275"/>
      <c r="B22" s="422">
        <v>18</v>
      </c>
      <c r="C22" s="422"/>
      <c r="D22" s="423"/>
      <c r="E22" s="422"/>
      <c r="F22" s="424"/>
      <c r="G22" s="422"/>
      <c r="H22" s="425" t="s">
        <v>563</v>
      </c>
      <c r="I22" s="426" t="s">
        <v>754</v>
      </c>
      <c r="J22" s="189"/>
      <c r="K22" s="477" t="s">
        <v>162</v>
      </c>
      <c r="L22" s="143"/>
      <c r="M22" s="144" t="s">
        <v>162</v>
      </c>
      <c r="N22" s="276"/>
    </row>
    <row r="23" spans="1:14" ht="12" customHeight="1" x14ac:dyDescent="0.2">
      <c r="A23" s="275"/>
      <c r="B23" s="422"/>
      <c r="C23" s="424"/>
      <c r="D23" s="427"/>
      <c r="E23" s="424"/>
      <c r="F23" s="427"/>
      <c r="G23" s="424"/>
      <c r="H23" s="428"/>
      <c r="I23" s="431"/>
      <c r="J23" s="189"/>
      <c r="K23" s="145"/>
      <c r="L23" s="145"/>
      <c r="M23" s="189"/>
      <c r="N23" s="276"/>
    </row>
    <row r="24" spans="1:14" ht="12" customHeight="1" x14ac:dyDescent="0.2">
      <c r="A24" s="275"/>
      <c r="B24" s="422"/>
      <c r="C24" s="422" t="s">
        <v>568</v>
      </c>
      <c r="D24" s="423"/>
      <c r="E24" s="422"/>
      <c r="F24" s="423"/>
      <c r="G24" s="422"/>
      <c r="H24" s="425"/>
      <c r="I24" s="426"/>
      <c r="J24" s="189"/>
      <c r="K24" s="145"/>
      <c r="L24" s="145"/>
      <c r="M24" s="189"/>
      <c r="N24" s="276"/>
    </row>
    <row r="25" spans="1:14" ht="12" customHeight="1" x14ac:dyDescent="0.2">
      <c r="A25" s="275"/>
      <c r="B25" s="422"/>
      <c r="C25" s="424"/>
      <c r="D25" s="427" t="s">
        <v>564</v>
      </c>
      <c r="E25" s="424" t="s">
        <v>569</v>
      </c>
      <c r="F25" s="427"/>
      <c r="G25" s="424"/>
      <c r="H25" s="428" t="s">
        <v>563</v>
      </c>
      <c r="I25" s="431" t="s">
        <v>389</v>
      </c>
      <c r="J25" s="189"/>
      <c r="K25" s="477" t="s">
        <v>162</v>
      </c>
      <c r="L25" s="143"/>
      <c r="M25" s="189"/>
      <c r="N25" s="276"/>
    </row>
    <row r="26" spans="1:14" ht="12" customHeight="1" x14ac:dyDescent="0.2">
      <c r="A26" s="275"/>
      <c r="B26" s="422"/>
      <c r="C26" s="422" t="s">
        <v>570</v>
      </c>
      <c r="D26" s="427"/>
      <c r="E26" s="424"/>
      <c r="F26" s="427"/>
      <c r="G26" s="424"/>
      <c r="H26" s="428"/>
      <c r="I26" s="431"/>
      <c r="J26" s="189"/>
      <c r="K26" s="145"/>
      <c r="L26" s="145"/>
      <c r="M26" s="189"/>
      <c r="N26" s="276"/>
    </row>
    <row r="27" spans="1:14" ht="12" customHeight="1" x14ac:dyDescent="0.2">
      <c r="A27" s="275"/>
      <c r="B27" s="422"/>
      <c r="C27" s="424"/>
      <c r="D27" s="427" t="s">
        <v>564</v>
      </c>
      <c r="E27" s="424" t="s">
        <v>571</v>
      </c>
      <c r="F27" s="427"/>
      <c r="G27" s="424"/>
      <c r="H27" s="428" t="s">
        <v>563</v>
      </c>
      <c r="I27" s="431" t="s">
        <v>3</v>
      </c>
      <c r="J27" s="189"/>
      <c r="K27" s="477" t="s">
        <v>162</v>
      </c>
      <c r="L27" s="720"/>
      <c r="M27" s="189"/>
      <c r="N27" s="276"/>
    </row>
    <row r="28" spans="1:14" ht="12" customHeight="1" x14ac:dyDescent="0.2">
      <c r="A28" s="275"/>
      <c r="B28" s="422"/>
      <c r="C28" s="424"/>
      <c r="D28" s="427"/>
      <c r="E28" s="424"/>
      <c r="F28" s="427" t="s">
        <v>572</v>
      </c>
      <c r="G28" s="424" t="s">
        <v>575</v>
      </c>
      <c r="H28" s="428"/>
      <c r="I28" s="431"/>
      <c r="J28" s="189"/>
      <c r="K28" s="145"/>
      <c r="L28" s="143"/>
      <c r="M28" s="189"/>
      <c r="N28" s="276"/>
    </row>
    <row r="29" spans="1:14" ht="12" customHeight="1" x14ac:dyDescent="0.2">
      <c r="A29" s="275"/>
      <c r="B29" s="422"/>
      <c r="C29" s="424"/>
      <c r="D29" s="427"/>
      <c r="E29" s="424"/>
      <c r="F29" s="427" t="s">
        <v>573</v>
      </c>
      <c r="G29" s="424" t="s">
        <v>576</v>
      </c>
      <c r="H29" s="428"/>
      <c r="I29" s="431"/>
      <c r="J29" s="189"/>
      <c r="K29" s="145"/>
      <c r="L29" s="143"/>
      <c r="M29" s="189"/>
      <c r="N29" s="276"/>
    </row>
    <row r="30" spans="1:14" ht="12" customHeight="1" x14ac:dyDescent="0.2">
      <c r="A30" s="275"/>
      <c r="B30" s="422"/>
      <c r="C30" s="424"/>
      <c r="D30" s="427"/>
      <c r="E30" s="424"/>
      <c r="F30" s="427" t="s">
        <v>573</v>
      </c>
      <c r="G30" s="424" t="s">
        <v>390</v>
      </c>
      <c r="H30" s="428"/>
      <c r="I30" s="431"/>
      <c r="J30" s="189"/>
      <c r="K30" s="145"/>
      <c r="L30" s="143"/>
      <c r="M30" s="189"/>
      <c r="N30" s="276"/>
    </row>
    <row r="31" spans="1:14" ht="12" customHeight="1" x14ac:dyDescent="0.2">
      <c r="A31" s="275"/>
      <c r="B31" s="422"/>
      <c r="C31" s="424"/>
      <c r="D31" s="427" t="s">
        <v>565</v>
      </c>
      <c r="E31" s="424" t="s">
        <v>577</v>
      </c>
      <c r="F31" s="427"/>
      <c r="G31" s="424"/>
      <c r="H31" s="428" t="s">
        <v>563</v>
      </c>
      <c r="I31" s="431" t="s">
        <v>4</v>
      </c>
      <c r="J31" s="189"/>
      <c r="K31" s="477" t="s">
        <v>107</v>
      </c>
      <c r="L31" s="143"/>
      <c r="M31" s="189"/>
      <c r="N31" s="276"/>
    </row>
    <row r="32" spans="1:14" ht="12" customHeight="1" x14ac:dyDescent="0.2">
      <c r="A32" s="275"/>
      <c r="B32" s="422"/>
      <c r="C32" s="424"/>
      <c r="D32" s="427"/>
      <c r="E32" s="424"/>
      <c r="F32" s="427" t="s">
        <v>572</v>
      </c>
      <c r="G32" s="432" t="s">
        <v>1935</v>
      </c>
      <c r="H32" s="428"/>
      <c r="I32" s="431"/>
      <c r="J32" s="189"/>
      <c r="K32" s="477"/>
      <c r="L32" s="143"/>
      <c r="M32" s="189"/>
      <c r="N32" s="276"/>
    </row>
    <row r="33" spans="1:14" ht="12" customHeight="1" x14ac:dyDescent="0.2">
      <c r="A33" s="275"/>
      <c r="B33" s="422"/>
      <c r="C33" s="424"/>
      <c r="D33" s="427"/>
      <c r="E33" s="424"/>
      <c r="F33" s="427" t="s">
        <v>573</v>
      </c>
      <c r="G33" s="424" t="s">
        <v>391</v>
      </c>
      <c r="H33" s="428"/>
      <c r="I33" s="431"/>
      <c r="J33" s="189"/>
      <c r="K33" s="477"/>
      <c r="L33" s="143"/>
      <c r="M33" s="189"/>
      <c r="N33" s="276"/>
    </row>
    <row r="34" spans="1:14" ht="12" customHeight="1" x14ac:dyDescent="0.2">
      <c r="A34" s="275"/>
      <c r="B34" s="422"/>
      <c r="C34" s="424"/>
      <c r="D34" s="427"/>
      <c r="E34" s="424"/>
      <c r="F34" s="427" t="s">
        <v>574</v>
      </c>
      <c r="G34" s="432" t="s">
        <v>859</v>
      </c>
      <c r="H34" s="428"/>
      <c r="I34" s="431"/>
      <c r="J34" s="189"/>
      <c r="K34" s="477"/>
      <c r="L34" s="143"/>
      <c r="M34" s="189"/>
      <c r="N34" s="276"/>
    </row>
    <row r="35" spans="1:14" ht="12" customHeight="1" x14ac:dyDescent="0.2">
      <c r="A35" s="275"/>
      <c r="B35" s="422"/>
      <c r="C35" s="424"/>
      <c r="D35" s="427" t="s">
        <v>566</v>
      </c>
      <c r="E35" s="424" t="s">
        <v>578</v>
      </c>
      <c r="F35" s="427"/>
      <c r="G35" s="424"/>
      <c r="H35" s="428" t="s">
        <v>563</v>
      </c>
      <c r="I35" s="431" t="s">
        <v>579</v>
      </c>
      <c r="J35" s="189"/>
      <c r="K35" s="477" t="s">
        <v>162</v>
      </c>
      <c r="L35" s="143"/>
      <c r="M35" s="189"/>
      <c r="N35" s="276"/>
    </row>
    <row r="36" spans="1:14" ht="12" customHeight="1" x14ac:dyDescent="0.2">
      <c r="A36" s="275"/>
      <c r="B36" s="422"/>
      <c r="C36" s="424"/>
      <c r="D36" s="427"/>
      <c r="E36" s="424"/>
      <c r="F36" s="427" t="s">
        <v>572</v>
      </c>
      <c r="G36" s="432" t="s">
        <v>659</v>
      </c>
      <c r="H36" s="428"/>
      <c r="I36" s="431"/>
      <c r="J36" s="189"/>
      <c r="K36" s="478" t="s">
        <v>162</v>
      </c>
      <c r="L36" s="143"/>
      <c r="M36" s="189"/>
      <c r="N36" s="276"/>
    </row>
    <row r="37" spans="1:14" ht="12" customHeight="1" x14ac:dyDescent="0.2">
      <c r="A37" s="275"/>
      <c r="B37" s="422"/>
      <c r="C37" s="424"/>
      <c r="D37" s="427"/>
      <c r="E37" s="424"/>
      <c r="F37" s="427" t="s">
        <v>573</v>
      </c>
      <c r="G37" s="424" t="s">
        <v>580</v>
      </c>
      <c r="H37" s="428"/>
      <c r="I37" s="431"/>
      <c r="J37" s="189"/>
      <c r="K37" s="145"/>
      <c r="L37" s="145"/>
      <c r="M37" s="189"/>
      <c r="N37" s="276"/>
    </row>
    <row r="38" spans="1:14" ht="12" customHeight="1" x14ac:dyDescent="0.2">
      <c r="A38" s="275"/>
      <c r="B38" s="422"/>
      <c r="C38" s="424"/>
      <c r="D38" s="427" t="s">
        <v>581</v>
      </c>
      <c r="E38" s="424" t="s">
        <v>582</v>
      </c>
      <c r="F38" s="427"/>
      <c r="G38" s="424"/>
      <c r="H38" s="428" t="s">
        <v>563</v>
      </c>
      <c r="I38" s="431" t="s">
        <v>583</v>
      </c>
      <c r="J38" s="189"/>
      <c r="K38" s="477" t="s">
        <v>107</v>
      </c>
      <c r="L38" s="143"/>
      <c r="M38" s="189"/>
      <c r="N38" s="276"/>
    </row>
    <row r="39" spans="1:14" ht="12" customHeight="1" x14ac:dyDescent="0.2">
      <c r="A39" s="275"/>
      <c r="B39" s="422"/>
      <c r="C39" s="424"/>
      <c r="D39" s="427" t="s">
        <v>584</v>
      </c>
      <c r="E39" s="424" t="s">
        <v>585</v>
      </c>
      <c r="F39" s="427"/>
      <c r="G39" s="424"/>
      <c r="H39" s="428" t="s">
        <v>563</v>
      </c>
      <c r="I39" s="431" t="s">
        <v>392</v>
      </c>
      <c r="J39" s="189"/>
      <c r="K39" s="477" t="s">
        <v>162</v>
      </c>
      <c r="L39" s="143"/>
      <c r="M39" s="189"/>
      <c r="N39" s="276"/>
    </row>
    <row r="40" spans="1:14" ht="12" customHeight="1" x14ac:dyDescent="0.2">
      <c r="A40" s="275"/>
      <c r="B40" s="422"/>
      <c r="C40" s="424"/>
      <c r="D40" s="427" t="s">
        <v>595</v>
      </c>
      <c r="E40" s="424" t="s">
        <v>394</v>
      </c>
      <c r="F40" s="427"/>
      <c r="G40" s="424"/>
      <c r="H40" s="428" t="s">
        <v>563</v>
      </c>
      <c r="I40" s="431" t="s">
        <v>393</v>
      </c>
      <c r="J40" s="189"/>
      <c r="K40" s="477" t="s">
        <v>107</v>
      </c>
      <c r="L40" s="143"/>
      <c r="M40" s="189"/>
      <c r="N40" s="276"/>
    </row>
    <row r="41" spans="1:14" ht="12" customHeight="1" x14ac:dyDescent="0.2">
      <c r="A41" s="275"/>
      <c r="B41" s="422"/>
      <c r="C41" s="424"/>
      <c r="D41" s="434" t="s">
        <v>597</v>
      </c>
      <c r="E41" s="432" t="s">
        <v>588</v>
      </c>
      <c r="F41" s="427"/>
      <c r="G41" s="424"/>
      <c r="H41" s="435" t="s">
        <v>563</v>
      </c>
      <c r="I41" s="433" t="s">
        <v>865</v>
      </c>
      <c r="J41" s="189"/>
      <c r="K41" s="477"/>
      <c r="L41" s="143"/>
      <c r="M41" s="189"/>
      <c r="N41" s="276"/>
    </row>
    <row r="42" spans="1:14" ht="12" customHeight="1" x14ac:dyDescent="0.2">
      <c r="A42" s="275"/>
      <c r="B42" s="422"/>
      <c r="C42" s="424"/>
      <c r="D42" s="434" t="s">
        <v>861</v>
      </c>
      <c r="E42" s="432" t="s">
        <v>755</v>
      </c>
      <c r="F42" s="427"/>
      <c r="G42" s="424"/>
      <c r="H42" s="435" t="s">
        <v>563</v>
      </c>
      <c r="I42" s="433" t="s">
        <v>862</v>
      </c>
      <c r="J42" s="189"/>
      <c r="K42" s="477" t="s">
        <v>162</v>
      </c>
      <c r="L42" s="143"/>
      <c r="M42" s="189"/>
      <c r="N42" s="276"/>
    </row>
    <row r="43" spans="1:14" ht="12" customHeight="1" x14ac:dyDescent="0.2">
      <c r="A43" s="275"/>
      <c r="B43" s="422"/>
      <c r="C43" s="422" t="s">
        <v>586</v>
      </c>
      <c r="D43" s="427"/>
      <c r="E43" s="424"/>
      <c r="F43" s="427"/>
      <c r="G43" s="424"/>
      <c r="H43" s="428"/>
      <c r="I43" s="431"/>
      <c r="J43" s="189"/>
      <c r="K43" s="145"/>
      <c r="L43" s="145"/>
      <c r="M43" s="189"/>
      <c r="N43" s="276"/>
    </row>
    <row r="44" spans="1:14" ht="12" customHeight="1" x14ac:dyDescent="0.2">
      <c r="A44" s="275"/>
      <c r="B44" s="422"/>
      <c r="C44" s="424"/>
      <c r="D44" s="427" t="s">
        <v>564</v>
      </c>
      <c r="E44" s="432" t="s">
        <v>589</v>
      </c>
      <c r="F44" s="427"/>
      <c r="G44" s="424"/>
      <c r="H44" s="428" t="s">
        <v>563</v>
      </c>
      <c r="I44" s="431" t="s">
        <v>587</v>
      </c>
      <c r="J44" s="189"/>
      <c r="K44" s="477" t="s">
        <v>162</v>
      </c>
      <c r="L44" s="143"/>
      <c r="M44" s="189"/>
      <c r="N44" s="276"/>
    </row>
    <row r="45" spans="1:14" ht="12" customHeight="1" x14ac:dyDescent="0.2">
      <c r="A45" s="275"/>
      <c r="B45" s="422"/>
      <c r="C45" s="424"/>
      <c r="D45" s="427" t="s">
        <v>566</v>
      </c>
      <c r="E45" s="432" t="s">
        <v>590</v>
      </c>
      <c r="F45" s="427"/>
      <c r="G45" s="424"/>
      <c r="H45" s="428" t="s">
        <v>563</v>
      </c>
      <c r="I45" s="433" t="s">
        <v>665</v>
      </c>
      <c r="J45" s="189"/>
      <c r="K45" s="477" t="s">
        <v>162</v>
      </c>
      <c r="L45" s="143"/>
      <c r="M45" s="189"/>
      <c r="N45" s="276"/>
    </row>
    <row r="46" spans="1:14" ht="12" customHeight="1" x14ac:dyDescent="0.2">
      <c r="A46" s="275"/>
      <c r="B46" s="422"/>
      <c r="C46" s="424"/>
      <c r="D46" s="427" t="s">
        <v>581</v>
      </c>
      <c r="E46" s="432" t="s">
        <v>591</v>
      </c>
      <c r="F46" s="427"/>
      <c r="G46" s="424"/>
      <c r="H46" s="428" t="s">
        <v>563</v>
      </c>
      <c r="I46" s="431" t="s">
        <v>599</v>
      </c>
      <c r="J46" s="189"/>
      <c r="K46" s="477" t="s">
        <v>107</v>
      </c>
      <c r="L46" s="143"/>
      <c r="M46" s="189"/>
      <c r="N46" s="276"/>
    </row>
    <row r="47" spans="1:14" ht="12" customHeight="1" x14ac:dyDescent="0.2">
      <c r="A47" s="275"/>
      <c r="B47" s="422"/>
      <c r="C47" s="424"/>
      <c r="D47" s="427" t="s">
        <v>584</v>
      </c>
      <c r="E47" s="432" t="s">
        <v>592</v>
      </c>
      <c r="F47" s="427"/>
      <c r="G47" s="424"/>
      <c r="H47" s="428" t="s">
        <v>563</v>
      </c>
      <c r="I47" s="431" t="s">
        <v>600</v>
      </c>
      <c r="J47" s="189"/>
      <c r="K47" s="477"/>
      <c r="L47" s="143"/>
      <c r="M47" s="189"/>
      <c r="N47" s="276"/>
    </row>
    <row r="48" spans="1:14" ht="12" customHeight="1" x14ac:dyDescent="0.2">
      <c r="A48" s="275"/>
      <c r="B48" s="422"/>
      <c r="C48" s="424"/>
      <c r="D48" s="427" t="s">
        <v>597</v>
      </c>
      <c r="E48" s="432" t="s">
        <v>593</v>
      </c>
      <c r="F48" s="427"/>
      <c r="G48" s="424"/>
      <c r="H48" s="428" t="s">
        <v>563</v>
      </c>
      <c r="I48" s="431" t="s">
        <v>404</v>
      </c>
      <c r="J48" s="189"/>
      <c r="K48" s="477" t="s">
        <v>162</v>
      </c>
      <c r="L48" s="143"/>
      <c r="M48" s="189"/>
      <c r="N48" s="276"/>
    </row>
    <row r="49" spans="1:14" ht="12" customHeight="1" x14ac:dyDescent="0.2">
      <c r="A49" s="275"/>
      <c r="B49" s="422"/>
      <c r="C49" s="424"/>
      <c r="D49" s="427" t="s">
        <v>601</v>
      </c>
      <c r="E49" s="432" t="s">
        <v>594</v>
      </c>
      <c r="F49" s="427"/>
      <c r="G49" s="424"/>
      <c r="H49" s="428" t="s">
        <v>563</v>
      </c>
      <c r="I49" s="431" t="s">
        <v>405</v>
      </c>
      <c r="J49" s="189"/>
      <c r="K49" s="478" t="s">
        <v>162</v>
      </c>
      <c r="L49" s="143"/>
      <c r="M49" s="189"/>
      <c r="N49" s="276"/>
    </row>
    <row r="50" spans="1:14" ht="12" customHeight="1" x14ac:dyDescent="0.2">
      <c r="A50" s="275"/>
      <c r="B50" s="422"/>
      <c r="C50" s="424"/>
      <c r="D50" s="427" t="s">
        <v>602</v>
      </c>
      <c r="E50" s="432" t="s">
        <v>596</v>
      </c>
      <c r="F50" s="427"/>
      <c r="G50" s="424"/>
      <c r="H50" s="428" t="s">
        <v>563</v>
      </c>
      <c r="I50" s="433" t="s">
        <v>660</v>
      </c>
      <c r="J50" s="189"/>
      <c r="K50" s="477"/>
      <c r="L50" s="143"/>
      <c r="M50" s="189"/>
      <c r="N50" s="276"/>
    </row>
    <row r="51" spans="1:14" ht="24" customHeight="1" x14ac:dyDescent="0.2">
      <c r="A51" s="275"/>
      <c r="B51" s="422"/>
      <c r="C51" s="424"/>
      <c r="D51" s="427" t="s">
        <v>603</v>
      </c>
      <c r="E51" s="432" t="s">
        <v>598</v>
      </c>
      <c r="F51" s="427"/>
      <c r="G51" s="424"/>
      <c r="H51" s="428" t="s">
        <v>563</v>
      </c>
      <c r="I51" s="433" t="s">
        <v>661</v>
      </c>
      <c r="J51" s="189"/>
      <c r="K51" s="477"/>
      <c r="L51" s="143"/>
      <c r="M51" s="189"/>
      <c r="N51" s="276"/>
    </row>
    <row r="52" spans="1:14" ht="12" customHeight="1" x14ac:dyDescent="0.2">
      <c r="A52" s="275"/>
      <c r="B52" s="240"/>
      <c r="C52" s="240"/>
      <c r="D52" s="434" t="s">
        <v>662</v>
      </c>
      <c r="E52" s="432" t="s">
        <v>863</v>
      </c>
      <c r="F52" s="240"/>
      <c r="G52" s="240"/>
      <c r="H52" s="435" t="s">
        <v>563</v>
      </c>
      <c r="I52" s="436" t="s">
        <v>1937</v>
      </c>
      <c r="J52" s="189"/>
      <c r="K52" s="479"/>
      <c r="L52" s="143"/>
      <c r="M52" s="189"/>
      <c r="N52" s="276"/>
    </row>
    <row r="53" spans="1:14" ht="12" customHeight="1" x14ac:dyDescent="0.2">
      <c r="A53" s="275"/>
      <c r="B53" s="240"/>
      <c r="C53" s="240"/>
      <c r="D53" s="434" t="s">
        <v>664</v>
      </c>
      <c r="E53" s="437" t="s">
        <v>864</v>
      </c>
      <c r="F53" s="438"/>
      <c r="G53" s="438"/>
      <c r="H53" s="439" t="s">
        <v>563</v>
      </c>
      <c r="I53" s="440" t="s">
        <v>1936</v>
      </c>
      <c r="J53" s="189"/>
      <c r="K53" s="480" t="s">
        <v>162</v>
      </c>
      <c r="L53" s="143"/>
      <c r="M53" s="189"/>
      <c r="N53" s="276"/>
    </row>
    <row r="54" spans="1:14" ht="12" customHeight="1" x14ac:dyDescent="0.2">
      <c r="A54" s="949"/>
      <c r="B54" s="1312"/>
      <c r="C54" s="1312"/>
      <c r="D54" s="1313"/>
      <c r="E54" s="437" t="s">
        <v>864</v>
      </c>
      <c r="F54" s="438"/>
      <c r="G54" s="438"/>
      <c r="H54" s="439" t="s">
        <v>563</v>
      </c>
      <c r="I54" s="440" t="s">
        <v>1938</v>
      </c>
      <c r="J54" s="189"/>
      <c r="K54" s="1314"/>
      <c r="L54" s="1315"/>
      <c r="M54" s="189"/>
      <c r="N54" s="950"/>
    </row>
    <row r="55" spans="1:14" ht="12" customHeight="1" x14ac:dyDescent="0.2">
      <c r="A55" s="441"/>
      <c r="B55" s="246"/>
      <c r="C55" s="246"/>
      <c r="D55" s="729"/>
      <c r="E55" s="730"/>
      <c r="F55" s="260"/>
      <c r="G55" s="260"/>
      <c r="H55" s="731"/>
      <c r="I55" s="260"/>
      <c r="J55" s="223"/>
      <c r="K55" s="223"/>
      <c r="L55" s="223"/>
      <c r="M55" s="223"/>
      <c r="N55" s="445"/>
    </row>
    <row r="56" spans="1:14" ht="28.5" customHeight="1" thickBot="1" x14ac:dyDescent="0.25">
      <c r="A56" s="442"/>
      <c r="B56" s="443"/>
      <c r="C56" s="443"/>
      <c r="D56" s="443"/>
      <c r="E56" s="443"/>
      <c r="F56" s="443"/>
      <c r="G56" s="443"/>
      <c r="H56" s="443"/>
      <c r="I56" s="444" t="s">
        <v>663</v>
      </c>
      <c r="J56" s="443"/>
      <c r="K56" s="443"/>
      <c r="L56" s="443"/>
      <c r="M56" s="443"/>
      <c r="N56" s="446"/>
    </row>
    <row r="57" spans="1:14" ht="12" customHeight="1" thickTop="1" x14ac:dyDescent="0.2"/>
    <row r="58" spans="1:14" ht="12" customHeight="1" x14ac:dyDescent="0.2"/>
    <row r="59" spans="1:14" ht="12" customHeight="1" x14ac:dyDescent="0.2"/>
    <row r="60" spans="1:14" ht="12" customHeight="1" x14ac:dyDescent="0.2"/>
    <row r="61" spans="1:14" ht="12" customHeight="1" x14ac:dyDescent="0.2"/>
    <row r="62" spans="1:14" ht="12" customHeight="1" x14ac:dyDescent="0.2"/>
    <row r="63" spans="1:14" ht="12" customHeight="1" x14ac:dyDescent="0.2"/>
    <row r="64" spans="1:1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sheetData>
  <sheetProtection password="CC14" sheet="1" objects="1" scenarios="1"/>
  <mergeCells count="1">
    <mergeCell ref="B3:N3"/>
  </mergeCells>
  <phoneticPr fontId="25" type="noConversion"/>
  <pageMargins left="0.75" right="0.75" top="1" bottom="1" header="0.5" footer="0.5"/>
  <pageSetup scale="67" orientation="portrait" r:id="rId1"/>
  <headerFooter alignWithMargins="0">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4"/>
  <sheetViews>
    <sheetView topLeftCell="A5" workbookViewId="0">
      <selection activeCell="B28" sqref="B28"/>
    </sheetView>
  </sheetViews>
  <sheetFormatPr defaultColWidth="8.85546875" defaultRowHeight="12.75" x14ac:dyDescent="0.2"/>
  <cols>
    <col min="1" max="1" width="14.28515625" customWidth="1"/>
    <col min="2" max="2" width="9.140625" bestFit="1" customWidth="1"/>
    <col min="3" max="3" width="14" customWidth="1"/>
    <col min="4" max="4" width="14.140625" customWidth="1"/>
    <col min="5" max="5" width="22.7109375" customWidth="1"/>
    <col min="6" max="7" width="14.7109375" customWidth="1"/>
    <col min="8" max="8" width="16.85546875" customWidth="1"/>
    <col min="10" max="10" width="9.140625" customWidth="1"/>
    <col min="11" max="26" width="9.140625" hidden="1" customWidth="1"/>
    <col min="27" max="27" width="27.140625" hidden="1" customWidth="1"/>
    <col min="28" max="28" width="15.28515625" hidden="1" customWidth="1"/>
    <col min="29" max="29" width="16.7109375" hidden="1" customWidth="1"/>
    <col min="30" max="31" width="9.140625" hidden="1" customWidth="1"/>
    <col min="32" max="32" width="17.7109375" hidden="1" customWidth="1"/>
    <col min="33" max="34" width="9.140625" hidden="1" customWidth="1"/>
    <col min="35" max="49" width="9.140625" customWidth="1"/>
  </cols>
  <sheetData>
    <row r="1" spans="1:32" ht="13.5" thickTop="1" x14ac:dyDescent="0.2">
      <c r="A1" s="452"/>
      <c r="B1" s="447"/>
      <c r="C1" s="447"/>
      <c r="D1" s="447"/>
      <c r="E1" s="447"/>
      <c r="F1" s="2160"/>
      <c r="G1" s="2161"/>
      <c r="H1" s="377"/>
      <c r="I1" s="377"/>
    </row>
    <row r="2" spans="1:32" x14ac:dyDescent="0.2">
      <c r="A2" s="453"/>
      <c r="B2" s="448"/>
      <c r="C2" s="448"/>
      <c r="D2" s="448"/>
      <c r="E2" s="448"/>
      <c r="F2" s="2162"/>
      <c r="G2" s="2057"/>
      <c r="H2" s="377"/>
      <c r="I2" s="377"/>
    </row>
    <row r="3" spans="1:32" ht="23.25" x14ac:dyDescent="0.35">
      <c r="A3" s="2163" t="s">
        <v>666</v>
      </c>
      <c r="B3" s="2164"/>
      <c r="C3" s="2164"/>
      <c r="D3" s="2164"/>
      <c r="E3" s="2164"/>
      <c r="F3" s="2164"/>
      <c r="G3" s="2165"/>
      <c r="H3" s="377"/>
      <c r="I3" s="377"/>
      <c r="AA3" s="106" t="s">
        <v>111</v>
      </c>
      <c r="AB3" s="106" t="s">
        <v>683</v>
      </c>
      <c r="AC3" s="106" t="s">
        <v>684</v>
      </c>
      <c r="AD3" s="106" t="s">
        <v>686</v>
      </c>
      <c r="AE3" s="106" t="s">
        <v>687</v>
      </c>
      <c r="AF3" s="106" t="s">
        <v>688</v>
      </c>
    </row>
    <row r="4" spans="1:32" ht="23.25" x14ac:dyDescent="0.35">
      <c r="A4" s="2163" t="s">
        <v>667</v>
      </c>
      <c r="B4" s="2164"/>
      <c r="C4" s="2164"/>
      <c r="D4" s="2164"/>
      <c r="E4" s="2164"/>
      <c r="F4" s="2164"/>
      <c r="G4" s="2165"/>
      <c r="H4" s="377"/>
      <c r="I4" s="377"/>
      <c r="AA4" s="100" t="s">
        <v>478</v>
      </c>
    </row>
    <row r="5" spans="1:32" ht="23.25" x14ac:dyDescent="0.35">
      <c r="A5" s="2163" t="s">
        <v>668</v>
      </c>
      <c r="B5" s="2164"/>
      <c r="C5" s="2164"/>
      <c r="D5" s="2164"/>
      <c r="E5" s="2164"/>
      <c r="F5" s="2164"/>
      <c r="G5" s="2165"/>
      <c r="H5" s="377"/>
      <c r="I5" s="377"/>
      <c r="AA5" s="100" t="s">
        <v>479</v>
      </c>
      <c r="AB5" s="100"/>
    </row>
    <row r="6" spans="1:32" ht="23.25" x14ac:dyDescent="0.35">
      <c r="A6" s="2163">
        <f>+'Primary Input'!E7</f>
        <v>0</v>
      </c>
      <c r="B6" s="2164"/>
      <c r="C6" s="2164"/>
      <c r="D6" s="2164"/>
      <c r="E6" s="2164"/>
      <c r="F6" s="2164"/>
      <c r="G6" s="2165"/>
      <c r="H6" s="377"/>
      <c r="I6" s="377"/>
      <c r="AA6" s="100" t="s">
        <v>480</v>
      </c>
      <c r="AB6" s="100">
        <v>117751</v>
      </c>
      <c r="AC6">
        <v>134986</v>
      </c>
      <c r="AD6">
        <v>164141</v>
      </c>
      <c r="AE6">
        <v>212345</v>
      </c>
      <c r="AF6">
        <v>233089</v>
      </c>
    </row>
    <row r="7" spans="1:32" x14ac:dyDescent="0.2">
      <c r="A7" s="450"/>
      <c r="B7" s="260"/>
      <c r="C7" s="260"/>
      <c r="D7" s="260"/>
      <c r="E7" s="260"/>
      <c r="F7" s="260"/>
      <c r="G7" s="449"/>
      <c r="H7" s="377"/>
      <c r="I7" s="377"/>
      <c r="AA7" s="100" t="s">
        <v>481</v>
      </c>
      <c r="AB7" s="100"/>
    </row>
    <row r="8" spans="1:32" x14ac:dyDescent="0.2">
      <c r="A8" s="450"/>
      <c r="B8" s="260"/>
      <c r="C8" s="260"/>
      <c r="D8" s="260"/>
      <c r="E8" s="260"/>
      <c r="F8" s="260"/>
      <c r="G8" s="449"/>
      <c r="H8" s="377"/>
      <c r="I8" s="377"/>
      <c r="AA8" s="100" t="s">
        <v>482</v>
      </c>
      <c r="AB8" s="100"/>
    </row>
    <row r="9" spans="1:32" x14ac:dyDescent="0.2">
      <c r="A9" s="450" t="s">
        <v>463</v>
      </c>
      <c r="B9" s="260"/>
      <c r="C9" s="260"/>
      <c r="D9" s="260"/>
      <c r="E9" s="721">
        <f>+'Primary Input'!E32:G32</f>
        <v>0</v>
      </c>
      <c r="F9" s="260"/>
      <c r="G9" s="449"/>
      <c r="H9" s="377"/>
      <c r="I9" s="377"/>
      <c r="AA9" s="100" t="s">
        <v>483</v>
      </c>
      <c r="AB9" s="100"/>
    </row>
    <row r="10" spans="1:32" x14ac:dyDescent="0.2">
      <c r="A10" s="450" t="s">
        <v>669</v>
      </c>
      <c r="B10" s="260"/>
      <c r="C10" s="260"/>
      <c r="D10" s="260"/>
      <c r="E10" s="488">
        <f>+'Sources and Uses'!F42</f>
        <v>0</v>
      </c>
      <c r="F10" s="260"/>
      <c r="G10" s="449"/>
      <c r="H10" s="377"/>
      <c r="I10" s="377"/>
      <c r="AA10" s="100" t="s">
        <v>484</v>
      </c>
      <c r="AB10" s="100"/>
    </row>
    <row r="11" spans="1:32" ht="29.25" customHeight="1" x14ac:dyDescent="0.2">
      <c r="A11" s="450" t="s">
        <v>1946</v>
      </c>
      <c r="B11" s="260"/>
      <c r="C11" s="260"/>
      <c r="D11" s="260"/>
      <c r="E11" s="488">
        <f>+'Primary Input'!E37:G37</f>
        <v>0</v>
      </c>
      <c r="F11" s="2172" t="e">
        <f>IF(E11&gt;F33, "Applicant is Requesting Too much HOME Assistance","")</f>
        <v>#DIV/0!</v>
      </c>
      <c r="G11" s="2173"/>
      <c r="H11" s="377"/>
      <c r="I11" s="377"/>
      <c r="AA11" s="100" t="s">
        <v>485</v>
      </c>
      <c r="AB11" s="100"/>
    </row>
    <row r="12" spans="1:32" x14ac:dyDescent="0.2">
      <c r="A12" s="450" t="s">
        <v>670</v>
      </c>
      <c r="B12" s="260"/>
      <c r="C12" s="260"/>
      <c r="D12" s="260"/>
      <c r="E12" s="722" t="e">
        <f>+E11/E10</f>
        <v>#DIV/0!</v>
      </c>
      <c r="F12" s="260"/>
      <c r="G12" s="449"/>
      <c r="H12" s="377"/>
      <c r="I12" s="377"/>
      <c r="AA12" s="100" t="s">
        <v>486</v>
      </c>
      <c r="AB12" s="100"/>
    </row>
    <row r="13" spans="1:32" x14ac:dyDescent="0.2">
      <c r="A13" s="450" t="s">
        <v>671</v>
      </c>
      <c r="B13" s="260"/>
      <c r="C13" s="260"/>
      <c r="D13" s="260"/>
      <c r="E13" s="723" t="e">
        <f>+E9*E12</f>
        <v>#DIV/0!</v>
      </c>
      <c r="F13" s="260"/>
      <c r="G13" s="449"/>
      <c r="H13" s="377"/>
      <c r="I13" s="377"/>
      <c r="AA13" s="100"/>
      <c r="AB13" s="100"/>
    </row>
    <row r="14" spans="1:32" x14ac:dyDescent="0.2">
      <c r="A14" s="451" t="s">
        <v>111</v>
      </c>
      <c r="B14" s="260"/>
      <c r="C14" s="260"/>
      <c r="D14" s="260"/>
      <c r="E14" s="724">
        <f>+'Primary Input'!E10:G10</f>
        <v>0</v>
      </c>
      <c r="F14" s="260"/>
      <c r="G14" s="449"/>
      <c r="H14" s="377"/>
      <c r="I14" s="377"/>
      <c r="AA14" s="100"/>
      <c r="AB14" s="100"/>
    </row>
    <row r="15" spans="1:32" x14ac:dyDescent="0.2">
      <c r="A15" s="451" t="s">
        <v>689</v>
      </c>
      <c r="B15" s="260"/>
      <c r="C15" s="260"/>
      <c r="D15" s="260"/>
      <c r="E15" s="725">
        <f>+Lists!Q76</f>
        <v>0</v>
      </c>
      <c r="F15" s="260"/>
      <c r="G15" s="449"/>
      <c r="H15" s="377"/>
      <c r="I15" s="377"/>
      <c r="AA15" s="100"/>
      <c r="AB15" s="100"/>
    </row>
    <row r="16" spans="1:32" x14ac:dyDescent="0.2">
      <c r="A16" s="450" t="s">
        <v>672</v>
      </c>
      <c r="B16" s="260"/>
      <c r="C16" s="260"/>
      <c r="D16" s="260"/>
      <c r="E16" s="725">
        <f>+Lists!R76</f>
        <v>0</v>
      </c>
      <c r="F16" s="260"/>
      <c r="G16" s="449"/>
      <c r="H16" s="377"/>
      <c r="I16" s="377"/>
      <c r="AA16" s="100"/>
      <c r="AB16" s="100"/>
    </row>
    <row r="17" spans="1:32" x14ac:dyDescent="0.2">
      <c r="A17" s="450" t="s">
        <v>673</v>
      </c>
      <c r="B17" s="260"/>
      <c r="C17" s="260"/>
      <c r="D17" s="260"/>
      <c r="E17" s="725">
        <f>+Lists!S76</f>
        <v>0</v>
      </c>
      <c r="F17" s="260"/>
      <c r="G17" s="449"/>
      <c r="H17" s="377"/>
      <c r="I17" s="377"/>
      <c r="AA17" s="100"/>
      <c r="AB17" s="100"/>
    </row>
    <row r="18" spans="1:32" x14ac:dyDescent="0.2">
      <c r="A18" s="450" t="s">
        <v>674</v>
      </c>
      <c r="B18" s="260"/>
      <c r="C18" s="260"/>
      <c r="D18" s="260"/>
      <c r="E18" s="725">
        <f>+Lists!T76</f>
        <v>0</v>
      </c>
      <c r="F18" s="260"/>
      <c r="G18" s="449"/>
      <c r="H18" s="377"/>
      <c r="I18" s="377"/>
      <c r="AA18" s="100" t="s">
        <v>487</v>
      </c>
      <c r="AB18" s="100"/>
    </row>
    <row r="19" spans="1:32" x14ac:dyDescent="0.2">
      <c r="A19" s="450" t="s">
        <v>675</v>
      </c>
      <c r="B19" s="260"/>
      <c r="C19" s="260"/>
      <c r="D19" s="260"/>
      <c r="E19" s="725">
        <f>+Lists!U76</f>
        <v>0</v>
      </c>
      <c r="F19" s="260"/>
      <c r="G19" s="449"/>
      <c r="H19" s="377"/>
      <c r="I19" s="377"/>
      <c r="AA19" s="100" t="s">
        <v>488</v>
      </c>
      <c r="AB19" s="100"/>
    </row>
    <row r="20" spans="1:32" x14ac:dyDescent="0.2">
      <c r="A20" s="451" t="s">
        <v>698</v>
      </c>
      <c r="B20" s="260"/>
      <c r="C20" s="260"/>
      <c r="D20" s="260"/>
      <c r="E20" s="488" t="e">
        <f>+F33</f>
        <v>#DIV/0!</v>
      </c>
      <c r="F20" s="260"/>
      <c r="G20" s="449"/>
      <c r="H20" s="377"/>
      <c r="I20" s="377"/>
      <c r="AA20" s="100" t="s">
        <v>489</v>
      </c>
      <c r="AB20" s="100"/>
    </row>
    <row r="21" spans="1:32" x14ac:dyDescent="0.2">
      <c r="A21" s="451" t="s">
        <v>695</v>
      </c>
      <c r="B21" s="260"/>
      <c r="C21" s="260"/>
      <c r="D21" s="260"/>
      <c r="E21" s="1320" t="e">
        <f>+IF(E11&lt;=E20, "Yes", "Project Fails Test")</f>
        <v>#DIV/0!</v>
      </c>
      <c r="F21" s="260"/>
      <c r="G21" s="449"/>
      <c r="H21" s="377"/>
      <c r="I21" s="377"/>
      <c r="AA21" s="100" t="s">
        <v>490</v>
      </c>
      <c r="AB21" s="100"/>
    </row>
    <row r="22" spans="1:32" ht="45" customHeight="1" x14ac:dyDescent="0.2">
      <c r="A22" s="2166" t="s">
        <v>860</v>
      </c>
      <c r="B22" s="2167"/>
      <c r="C22" s="2167"/>
      <c r="D22" s="2167"/>
      <c r="E22" s="2167"/>
      <c r="F22" s="2167"/>
      <c r="G22" s="2168"/>
      <c r="H22" s="377"/>
      <c r="I22" s="377"/>
      <c r="AA22" s="100" t="s">
        <v>491</v>
      </c>
      <c r="AB22" s="100"/>
    </row>
    <row r="23" spans="1:32" ht="12.75" customHeight="1" x14ac:dyDescent="0.2">
      <c r="A23" s="2169"/>
      <c r="B23" s="2170"/>
      <c r="C23" s="2170"/>
      <c r="D23" s="2170"/>
      <c r="E23" s="2170"/>
      <c r="F23" s="2170"/>
      <c r="G23" s="2171"/>
      <c r="H23" s="377"/>
      <c r="I23" s="377"/>
      <c r="AA23" s="100" t="s">
        <v>492</v>
      </c>
      <c r="AB23" s="100"/>
    </row>
    <row r="24" spans="1:32" x14ac:dyDescent="0.2">
      <c r="A24" s="450"/>
      <c r="B24" s="260"/>
      <c r="C24" s="260"/>
      <c r="D24" s="260"/>
      <c r="E24" s="260"/>
      <c r="F24" s="260"/>
      <c r="G24" s="449"/>
      <c r="H24" s="377"/>
      <c r="I24" s="377"/>
      <c r="AA24" s="100" t="s">
        <v>493</v>
      </c>
      <c r="AB24" s="100"/>
    </row>
    <row r="25" spans="1:32" x14ac:dyDescent="0.2">
      <c r="A25" s="454" t="s">
        <v>676</v>
      </c>
      <c r="B25" s="455"/>
      <c r="C25" s="455"/>
      <c r="D25" s="455"/>
      <c r="E25" s="455"/>
      <c r="F25" s="455"/>
      <c r="G25" s="456"/>
      <c r="H25" s="377"/>
      <c r="I25" s="377"/>
      <c r="AA25" s="100" t="s">
        <v>494</v>
      </c>
      <c r="AB25" s="100">
        <v>117751</v>
      </c>
      <c r="AC25">
        <v>134986</v>
      </c>
      <c r="AD25">
        <v>164141</v>
      </c>
      <c r="AE25">
        <v>212345</v>
      </c>
      <c r="AF25">
        <v>233089</v>
      </c>
    </row>
    <row r="26" spans="1:32" ht="38.25" x14ac:dyDescent="0.2">
      <c r="A26" s="457" t="s">
        <v>677</v>
      </c>
      <c r="B26" s="246" t="s">
        <v>678</v>
      </c>
      <c r="C26" s="458" t="s">
        <v>679</v>
      </c>
      <c r="D26" s="458" t="s">
        <v>680</v>
      </c>
      <c r="E26" s="458" t="s">
        <v>681</v>
      </c>
      <c r="F26" s="458" t="s">
        <v>682</v>
      </c>
      <c r="G26" s="459"/>
      <c r="H26" s="377"/>
      <c r="I26" s="377"/>
      <c r="AA26" s="100" t="s">
        <v>495</v>
      </c>
      <c r="AB26" s="100"/>
    </row>
    <row r="27" spans="1:32" x14ac:dyDescent="0.2">
      <c r="A27" s="450" t="s">
        <v>683</v>
      </c>
      <c r="B27" s="481">
        <f>+'Primary Input'!E62</f>
        <v>0</v>
      </c>
      <c r="C27" s="482" t="e">
        <f>+E12</f>
        <v>#DIV/0!</v>
      </c>
      <c r="D27" s="483" t="e">
        <f t="shared" ref="D27:D32" si="0">ROUNDUP(+C27*B27,0)</f>
        <v>#DIV/0!</v>
      </c>
      <c r="E27" s="484">
        <f>+E15</f>
        <v>0</v>
      </c>
      <c r="F27" s="485" t="e">
        <f>+D27*E27</f>
        <v>#DIV/0!</v>
      </c>
      <c r="G27" s="449"/>
      <c r="H27" s="377"/>
      <c r="I27" s="377"/>
      <c r="AA27" s="100" t="s">
        <v>496</v>
      </c>
      <c r="AB27" s="100">
        <v>117751</v>
      </c>
      <c r="AC27">
        <v>134986</v>
      </c>
      <c r="AD27">
        <v>164141</v>
      </c>
      <c r="AE27">
        <v>212345</v>
      </c>
      <c r="AF27">
        <v>233089</v>
      </c>
    </row>
    <row r="28" spans="1:32" x14ac:dyDescent="0.2">
      <c r="A28" s="450" t="s">
        <v>684</v>
      </c>
      <c r="B28" s="481">
        <f>+'Primary Input'!E63</f>
        <v>0</v>
      </c>
      <c r="C28" s="482" t="e">
        <f>+E12</f>
        <v>#DIV/0!</v>
      </c>
      <c r="D28" s="483" t="e">
        <f t="shared" si="0"/>
        <v>#DIV/0!</v>
      </c>
      <c r="E28" s="484">
        <f>+E16</f>
        <v>0</v>
      </c>
      <c r="F28" s="485" t="e">
        <f>+E28*D28</f>
        <v>#DIV/0!</v>
      </c>
      <c r="G28" s="449"/>
      <c r="H28" s="377"/>
      <c r="I28" s="377"/>
      <c r="AA28" s="100" t="s">
        <v>497</v>
      </c>
      <c r="AB28" s="100"/>
    </row>
    <row r="29" spans="1:32" x14ac:dyDescent="0.2">
      <c r="A29" s="450" t="s">
        <v>685</v>
      </c>
      <c r="B29" s="481">
        <f>+'Primary Input'!E64</f>
        <v>0</v>
      </c>
      <c r="C29" s="482" t="e">
        <f>+E12</f>
        <v>#DIV/0!</v>
      </c>
      <c r="D29" s="483" t="e">
        <f t="shared" si="0"/>
        <v>#DIV/0!</v>
      </c>
      <c r="E29" s="484">
        <f>+E17</f>
        <v>0</v>
      </c>
      <c r="F29" s="485" t="e">
        <f>+E29*D29</f>
        <v>#DIV/0!</v>
      </c>
      <c r="G29" s="449"/>
      <c r="H29" s="377"/>
      <c r="I29" s="377"/>
      <c r="AA29" s="100"/>
      <c r="AB29" s="100"/>
    </row>
    <row r="30" spans="1:32" x14ac:dyDescent="0.2">
      <c r="A30" s="450" t="s">
        <v>146</v>
      </c>
      <c r="B30" s="481">
        <f>+'Primary Input'!E65</f>
        <v>0</v>
      </c>
      <c r="C30" s="482" t="e">
        <f>+E12</f>
        <v>#DIV/0!</v>
      </c>
      <c r="D30" s="483" t="e">
        <f t="shared" si="0"/>
        <v>#DIV/0!</v>
      </c>
      <c r="E30" s="484">
        <f>+E18</f>
        <v>0</v>
      </c>
      <c r="F30" s="485" t="e">
        <f>+E30*D30</f>
        <v>#DIV/0!</v>
      </c>
      <c r="G30" s="449"/>
      <c r="H30" s="377"/>
      <c r="I30" s="377"/>
      <c r="AA30" s="100"/>
      <c r="AB30" s="100"/>
    </row>
    <row r="31" spans="1:32" x14ac:dyDescent="0.2">
      <c r="A31" s="450" t="s">
        <v>147</v>
      </c>
      <c r="B31" s="481">
        <f>+'Primary Input'!E66</f>
        <v>0</v>
      </c>
      <c r="C31" s="482" t="e">
        <f>+E12</f>
        <v>#DIV/0!</v>
      </c>
      <c r="D31" s="483" t="e">
        <f t="shared" si="0"/>
        <v>#DIV/0!</v>
      </c>
      <c r="E31" s="484">
        <f>+E19</f>
        <v>0</v>
      </c>
      <c r="F31" s="485" t="e">
        <f>+E31*D31</f>
        <v>#DIV/0!</v>
      </c>
      <c r="G31" s="449"/>
      <c r="H31" s="377"/>
      <c r="I31" s="377"/>
      <c r="AA31" s="100"/>
      <c r="AB31" s="100"/>
    </row>
    <row r="32" spans="1:32" x14ac:dyDescent="0.2">
      <c r="A32" s="450" t="s">
        <v>39</v>
      </c>
      <c r="B32" s="481">
        <f>+'Primary Input'!E67+'Primary Input'!E68</f>
        <v>0</v>
      </c>
      <c r="C32" s="482" t="e">
        <f>+E12</f>
        <v>#DIV/0!</v>
      </c>
      <c r="D32" s="483" t="e">
        <f t="shared" si="0"/>
        <v>#DIV/0!</v>
      </c>
      <c r="E32" s="484">
        <f>+E19</f>
        <v>0</v>
      </c>
      <c r="F32" s="485" t="e">
        <f>+E32*D32</f>
        <v>#DIV/0!</v>
      </c>
      <c r="G32" s="449"/>
      <c r="H32" s="377"/>
      <c r="I32" s="377"/>
      <c r="AA32" s="100" t="s">
        <v>498</v>
      </c>
      <c r="AB32" s="100"/>
    </row>
    <row r="33" spans="1:32" x14ac:dyDescent="0.2">
      <c r="A33" s="460" t="s">
        <v>157</v>
      </c>
      <c r="B33" s="486">
        <f>SUM(B27:B32)</f>
        <v>0</v>
      </c>
      <c r="C33" s="487"/>
      <c r="D33" s="486" t="e">
        <f>SUM(D27:D32)</f>
        <v>#DIV/0!</v>
      </c>
      <c r="E33" s="486"/>
      <c r="F33" s="488" t="e">
        <f>SUM(F27:F32)</f>
        <v>#DIV/0!</v>
      </c>
      <c r="G33" s="449"/>
      <c r="H33" s="377"/>
      <c r="I33" s="377"/>
      <c r="AA33" s="100" t="s">
        <v>499</v>
      </c>
      <c r="AB33" s="100"/>
    </row>
    <row r="34" spans="1:32" ht="39.75" customHeight="1" thickBot="1" x14ac:dyDescent="0.25">
      <c r="A34" s="461"/>
      <c r="B34" s="462"/>
      <c r="C34" s="2158" t="e">
        <f>IF('Primary Input'!E33&lt;SLR!D33, "Invalid Input on Primary Input Tab. Please Correct (HOME Assisted units must equal number shown here)", "OK")</f>
        <v>#DIV/0!</v>
      </c>
      <c r="D34" s="2158"/>
      <c r="E34" s="2158"/>
      <c r="F34" s="2158"/>
      <c r="G34" s="2159"/>
      <c r="H34" s="377"/>
      <c r="I34" s="377"/>
      <c r="AA34" s="100" t="s">
        <v>500</v>
      </c>
      <c r="AB34" s="100">
        <v>117751</v>
      </c>
      <c r="AC34">
        <v>134986</v>
      </c>
      <c r="AD34">
        <v>164141</v>
      </c>
      <c r="AE34">
        <v>212345</v>
      </c>
      <c r="AF34">
        <v>233089</v>
      </c>
    </row>
    <row r="35" spans="1:32" ht="13.5" thickTop="1" x14ac:dyDescent="0.2">
      <c r="A35" s="377"/>
      <c r="B35" s="377"/>
      <c r="C35" s="377"/>
      <c r="D35" s="377"/>
      <c r="E35" s="377"/>
      <c r="F35" s="377"/>
      <c r="G35" s="377"/>
      <c r="H35" s="377"/>
      <c r="I35" s="377"/>
      <c r="AA35" s="100" t="s">
        <v>501</v>
      </c>
      <c r="AB35" s="100"/>
    </row>
    <row r="36" spans="1:32" ht="48" customHeight="1" x14ac:dyDescent="0.2">
      <c r="A36" s="2157" t="s">
        <v>700</v>
      </c>
      <c r="B36" s="2157"/>
      <c r="C36" s="2157"/>
      <c r="D36" s="2157"/>
      <c r="E36" s="2157"/>
      <c r="F36" s="2157"/>
      <c r="G36" s="2157"/>
      <c r="H36" s="377"/>
      <c r="I36" s="377"/>
      <c r="AA36" s="100" t="s">
        <v>502</v>
      </c>
      <c r="AB36" s="100"/>
    </row>
    <row r="37" spans="1:32" ht="13.5" thickBot="1" x14ac:dyDescent="0.25">
      <c r="A37" s="377"/>
      <c r="B37" s="377"/>
      <c r="C37" s="377"/>
      <c r="D37" s="377"/>
      <c r="E37" s="377"/>
      <c r="F37" s="377"/>
      <c r="G37" s="377"/>
      <c r="H37" s="377"/>
      <c r="I37" s="377"/>
      <c r="AA37" s="100" t="s">
        <v>503</v>
      </c>
      <c r="AB37" s="100"/>
    </row>
    <row r="38" spans="1:32" ht="39.75" thickTop="1" thickBot="1" x14ac:dyDescent="0.25">
      <c r="A38" s="463" t="s">
        <v>690</v>
      </c>
      <c r="B38" s="464" t="s">
        <v>691</v>
      </c>
      <c r="C38" s="464" t="s">
        <v>720</v>
      </c>
      <c r="D38" s="464" t="s">
        <v>693</v>
      </c>
      <c r="E38" s="464" t="s">
        <v>718</v>
      </c>
      <c r="F38" s="464" t="s">
        <v>721</v>
      </c>
      <c r="G38" s="464" t="s">
        <v>692</v>
      </c>
      <c r="H38" s="465" t="s">
        <v>719</v>
      </c>
      <c r="I38" s="377"/>
      <c r="AA38" s="100" t="s">
        <v>504</v>
      </c>
      <c r="AB38" s="100"/>
    </row>
    <row r="39" spans="1:32" ht="13.5" thickTop="1" x14ac:dyDescent="0.2">
      <c r="A39" s="231">
        <v>0</v>
      </c>
      <c r="B39" s="489" t="e">
        <f>+'2018 Rents'!F76</f>
        <v>#N/A</v>
      </c>
      <c r="C39" s="490">
        <f>+'Rental Income'!Y3</f>
        <v>0</v>
      </c>
      <c r="D39" s="491" t="e">
        <f>+'2018 Rents'!F73</f>
        <v>#N/A</v>
      </c>
      <c r="E39" s="492" t="e">
        <f>+'Rental Income'!AC3</f>
        <v>#N/A</v>
      </c>
      <c r="F39" s="493">
        <f>+'Rental Income'!Z3</f>
        <v>0</v>
      </c>
      <c r="G39" s="491">
        <f>IF('Primary Input'!E10="",0,VLOOKUP('Primary Input'!E10,'Primary Input'!BE4:BT112,2))</f>
        <v>0</v>
      </c>
      <c r="H39" s="494" t="e">
        <f>+'Rental Income'!AB3</f>
        <v>#N/A</v>
      </c>
      <c r="I39" s="377"/>
      <c r="AA39" s="100" t="s">
        <v>505</v>
      </c>
      <c r="AB39" s="100"/>
    </row>
    <row r="40" spans="1:32" x14ac:dyDescent="0.2">
      <c r="A40" s="231">
        <v>1</v>
      </c>
      <c r="B40" s="495" t="e">
        <f>+'2018 Rents'!G76</f>
        <v>#N/A</v>
      </c>
      <c r="C40" s="484">
        <f>+'Rental Income'!Y4</f>
        <v>0</v>
      </c>
      <c r="D40" s="496" t="e">
        <f>+'2018 Rents'!G73</f>
        <v>#N/A</v>
      </c>
      <c r="E40" s="470" t="e">
        <f>+'Rental Income'!AC4</f>
        <v>#N/A</v>
      </c>
      <c r="F40" s="471">
        <f>+'Rental Income'!Z4</f>
        <v>0</v>
      </c>
      <c r="G40" s="496">
        <f>IF('Primary Input'!E10="",0,VLOOKUP('Primary Input'!E10,'Primary Input'!BE4:BT112,4))</f>
        <v>0</v>
      </c>
      <c r="H40" s="497" t="e">
        <f>+'Rental Income'!AB4</f>
        <v>#N/A</v>
      </c>
      <c r="I40" s="377"/>
      <c r="AA40" s="100" t="s">
        <v>506</v>
      </c>
      <c r="AB40" s="100"/>
    </row>
    <row r="41" spans="1:32" x14ac:dyDescent="0.2">
      <c r="A41" s="231">
        <v>2</v>
      </c>
      <c r="B41" s="495" t="e">
        <f>+'2018 Rents'!H76</f>
        <v>#N/A</v>
      </c>
      <c r="C41" s="484">
        <f>+'Rental Income'!Y5</f>
        <v>0</v>
      </c>
      <c r="D41" s="496" t="e">
        <f>+'2018 Rents'!H73</f>
        <v>#N/A</v>
      </c>
      <c r="E41" s="470" t="e">
        <f>+'Rental Income'!AC5</f>
        <v>#N/A</v>
      </c>
      <c r="F41" s="471">
        <f>+'Rental Income'!Z5</f>
        <v>0</v>
      </c>
      <c r="G41" s="496">
        <f>IF('Primary Input'!E10="",0,VLOOKUP('Primary Input'!E10,'Primary Input'!BE4:BT112,6))</f>
        <v>0</v>
      </c>
      <c r="H41" s="497" t="e">
        <f>+'Rental Income'!AB5</f>
        <v>#N/A</v>
      </c>
      <c r="I41" s="377"/>
      <c r="AA41" s="100" t="s">
        <v>507</v>
      </c>
      <c r="AB41" s="100"/>
    </row>
    <row r="42" spans="1:32" x14ac:dyDescent="0.2">
      <c r="A42" s="231">
        <v>3</v>
      </c>
      <c r="B42" s="495" t="e">
        <f>+'2018 Rents'!I76</f>
        <v>#N/A</v>
      </c>
      <c r="C42" s="484">
        <f>+'Rental Income'!Y6</f>
        <v>0</v>
      </c>
      <c r="D42" s="496" t="e">
        <f>+'2018 Rents'!I73</f>
        <v>#N/A</v>
      </c>
      <c r="E42" s="470" t="e">
        <f>+'Rental Income'!AC6</f>
        <v>#N/A</v>
      </c>
      <c r="F42" s="471">
        <f>+'Rental Income'!Z6</f>
        <v>0</v>
      </c>
      <c r="G42" s="496">
        <f>IF('Primary Input'!E10="",0,VLOOKUP('Primary Input'!E10,'Primary Input'!BE4:BT112,8))</f>
        <v>0</v>
      </c>
      <c r="H42" s="497" t="e">
        <f>+'Rental Income'!AB6</f>
        <v>#N/A</v>
      </c>
      <c r="I42" s="377"/>
      <c r="AA42" s="100" t="s">
        <v>508</v>
      </c>
      <c r="AB42" s="100">
        <v>117751</v>
      </c>
      <c r="AC42">
        <v>134986</v>
      </c>
      <c r="AD42">
        <v>164141</v>
      </c>
      <c r="AE42">
        <v>212345</v>
      </c>
      <c r="AF42">
        <v>233089</v>
      </c>
    </row>
    <row r="43" spans="1:32" ht="13.5" thickBot="1" x14ac:dyDescent="0.25">
      <c r="A43" s="231">
        <v>4</v>
      </c>
      <c r="B43" s="498" t="e">
        <f>+'2018 Rents'!J76</f>
        <v>#N/A</v>
      </c>
      <c r="C43" s="499">
        <f>+'Rental Income'!Y7</f>
        <v>0</v>
      </c>
      <c r="D43" s="500" t="e">
        <f>+'2018 Rents'!J73</f>
        <v>#N/A</v>
      </c>
      <c r="E43" s="501" t="e">
        <f>+'Rental Income'!AC7</f>
        <v>#N/A</v>
      </c>
      <c r="F43" s="502">
        <f>+'Rental Income'!Z7</f>
        <v>0</v>
      </c>
      <c r="G43" s="500">
        <f>IF('Primary Input'!E10="",0,VLOOKUP('Primary Input'!E10,'Primary Input'!BE4:BT112,10))</f>
        <v>0</v>
      </c>
      <c r="H43" s="503" t="e">
        <f>+'Rental Income'!AB7</f>
        <v>#N/A</v>
      </c>
      <c r="I43" s="377"/>
      <c r="AA43" s="100" t="s">
        <v>509</v>
      </c>
      <c r="AB43" s="100"/>
    </row>
    <row r="44" spans="1:32" ht="14.25" thickTop="1" thickBot="1" x14ac:dyDescent="0.25">
      <c r="A44" s="247"/>
      <c r="B44" s="248"/>
      <c r="C44" s="248"/>
      <c r="D44" s="248"/>
      <c r="E44" s="248"/>
      <c r="F44" s="248"/>
      <c r="G44" s="248"/>
      <c r="H44" s="263"/>
      <c r="I44" s="377"/>
      <c r="AA44" s="100" t="s">
        <v>510</v>
      </c>
      <c r="AB44" s="100"/>
    </row>
    <row r="45" spans="1:32" ht="13.5" thickTop="1" x14ac:dyDescent="0.2">
      <c r="A45" s="377"/>
      <c r="B45" s="377"/>
      <c r="C45" s="377"/>
      <c r="D45" s="377"/>
      <c r="E45" s="377"/>
      <c r="F45" s="377"/>
      <c r="G45" s="377"/>
      <c r="H45" s="377"/>
      <c r="I45" s="377"/>
      <c r="AA45" s="100" t="s">
        <v>511</v>
      </c>
      <c r="AB45" s="100"/>
    </row>
    <row r="46" spans="1:32" x14ac:dyDescent="0.2">
      <c r="A46" s="377"/>
      <c r="B46" s="377"/>
      <c r="C46" s="377"/>
      <c r="D46" s="377"/>
      <c r="E46" s="377"/>
      <c r="F46" s="377"/>
      <c r="G46" s="377"/>
      <c r="H46" s="377"/>
      <c r="I46" s="377"/>
      <c r="AA46" s="100" t="s">
        <v>512</v>
      </c>
      <c r="AB46" s="100"/>
    </row>
    <row r="47" spans="1:32" x14ac:dyDescent="0.2">
      <c r="AA47" s="100" t="s">
        <v>513</v>
      </c>
      <c r="AB47" s="100"/>
    </row>
    <row r="48" spans="1:32" x14ac:dyDescent="0.2">
      <c r="AA48" s="100" t="s">
        <v>514</v>
      </c>
      <c r="AB48" s="100"/>
    </row>
    <row r="49" spans="27:32" x14ac:dyDescent="0.2">
      <c r="AA49" s="100" t="s">
        <v>515</v>
      </c>
      <c r="AB49" s="100">
        <v>117751</v>
      </c>
      <c r="AC49">
        <v>134986</v>
      </c>
      <c r="AD49">
        <v>164141</v>
      </c>
      <c r="AE49">
        <v>212345</v>
      </c>
      <c r="AF49">
        <v>233089</v>
      </c>
    </row>
    <row r="50" spans="27:32" x14ac:dyDescent="0.2">
      <c r="AA50" s="100" t="s">
        <v>516</v>
      </c>
      <c r="AB50" s="100"/>
    </row>
    <row r="51" spans="27:32" x14ac:dyDescent="0.2">
      <c r="AA51" s="100" t="s">
        <v>517</v>
      </c>
      <c r="AB51" s="100"/>
    </row>
    <row r="52" spans="27:32" x14ac:dyDescent="0.2">
      <c r="AA52" s="100" t="s">
        <v>518</v>
      </c>
      <c r="AB52" s="100"/>
    </row>
    <row r="53" spans="27:32" x14ac:dyDescent="0.2">
      <c r="AA53" s="100" t="s">
        <v>519</v>
      </c>
      <c r="AB53" s="100"/>
    </row>
    <row r="54" spans="27:32" x14ac:dyDescent="0.2">
      <c r="AA54" s="100" t="s">
        <v>520</v>
      </c>
      <c r="AB54" s="100"/>
    </row>
    <row r="55" spans="27:32" x14ac:dyDescent="0.2">
      <c r="AA55" s="100" t="s">
        <v>521</v>
      </c>
      <c r="AB55" s="100"/>
    </row>
    <row r="56" spans="27:32" x14ac:dyDescent="0.2">
      <c r="AA56" s="100" t="s">
        <v>522</v>
      </c>
      <c r="AB56" s="100">
        <v>117751</v>
      </c>
      <c r="AC56">
        <v>134986</v>
      </c>
      <c r="AD56">
        <v>164141</v>
      </c>
      <c r="AE56">
        <v>212345</v>
      </c>
      <c r="AF56">
        <v>233089</v>
      </c>
    </row>
    <row r="57" spans="27:32" x14ac:dyDescent="0.2">
      <c r="AA57" s="100" t="s">
        <v>523</v>
      </c>
      <c r="AB57" s="100"/>
    </row>
    <row r="58" spans="27:32" x14ac:dyDescent="0.2">
      <c r="AA58" s="100" t="s">
        <v>524</v>
      </c>
      <c r="AB58" s="100"/>
    </row>
    <row r="59" spans="27:32" x14ac:dyDescent="0.2">
      <c r="AA59" s="100" t="s">
        <v>525</v>
      </c>
      <c r="AB59" s="100"/>
    </row>
    <row r="60" spans="27:32" x14ac:dyDescent="0.2">
      <c r="AA60" s="100" t="s">
        <v>526</v>
      </c>
      <c r="AB60" s="100"/>
    </row>
    <row r="61" spans="27:32" x14ac:dyDescent="0.2">
      <c r="AA61" s="100" t="s">
        <v>527</v>
      </c>
      <c r="AB61" s="100"/>
    </row>
    <row r="62" spans="27:32" x14ac:dyDescent="0.2">
      <c r="AA62" s="100" t="s">
        <v>528</v>
      </c>
      <c r="AB62" s="100"/>
    </row>
    <row r="63" spans="27:32" x14ac:dyDescent="0.2">
      <c r="AA63" s="100" t="s">
        <v>529</v>
      </c>
      <c r="AB63" s="100"/>
    </row>
    <row r="64" spans="27:32" x14ac:dyDescent="0.2">
      <c r="AA64" s="100" t="s">
        <v>530</v>
      </c>
      <c r="AB64" s="100"/>
    </row>
    <row r="65" spans="27:32" x14ac:dyDescent="0.2">
      <c r="AA65" s="100" t="s">
        <v>531</v>
      </c>
      <c r="AB65" s="100"/>
    </row>
    <row r="66" spans="27:32" x14ac:dyDescent="0.2">
      <c r="AA66" s="100" t="s">
        <v>532</v>
      </c>
      <c r="AB66" s="100"/>
    </row>
    <row r="67" spans="27:32" x14ac:dyDescent="0.2">
      <c r="AA67" s="100" t="s">
        <v>533</v>
      </c>
      <c r="AB67" s="100"/>
    </row>
    <row r="68" spans="27:32" x14ac:dyDescent="0.2">
      <c r="AA68" s="100" t="s">
        <v>534</v>
      </c>
      <c r="AB68" s="100"/>
    </row>
    <row r="69" spans="27:32" x14ac:dyDescent="0.2">
      <c r="AA69" s="100" t="s">
        <v>535</v>
      </c>
      <c r="AB69" s="100"/>
    </row>
    <row r="70" spans="27:32" x14ac:dyDescent="0.2">
      <c r="AA70" s="100" t="s">
        <v>536</v>
      </c>
      <c r="AB70" s="100"/>
    </row>
    <row r="71" spans="27:32" x14ac:dyDescent="0.2">
      <c r="AA71" s="100" t="s">
        <v>537</v>
      </c>
      <c r="AB71" s="100">
        <v>117751</v>
      </c>
      <c r="AC71">
        <v>134986</v>
      </c>
      <c r="AD71">
        <v>164141</v>
      </c>
      <c r="AE71">
        <v>212345</v>
      </c>
      <c r="AF71">
        <v>233089</v>
      </c>
    </row>
    <row r="72" spans="27:32" x14ac:dyDescent="0.2">
      <c r="AA72" s="100" t="s">
        <v>538</v>
      </c>
      <c r="AB72" s="100"/>
    </row>
    <row r="73" spans="27:32" x14ac:dyDescent="0.2">
      <c r="AA73" s="100" t="s">
        <v>539</v>
      </c>
      <c r="AB73" s="100">
        <v>117751</v>
      </c>
      <c r="AC73">
        <v>134986</v>
      </c>
      <c r="AD73">
        <v>164141</v>
      </c>
      <c r="AE73">
        <v>212345</v>
      </c>
      <c r="AF73">
        <v>233089</v>
      </c>
    </row>
    <row r="74" spans="27:32" x14ac:dyDescent="0.2">
      <c r="AA74" s="100" t="s">
        <v>540</v>
      </c>
      <c r="AB74" s="100"/>
    </row>
  </sheetData>
  <sheetProtection password="CC14" sheet="1" objects="1" scenarios="1"/>
  <mergeCells count="11">
    <mergeCell ref="A36:G36"/>
    <mergeCell ref="C34:G34"/>
    <mergeCell ref="F1:G1"/>
    <mergeCell ref="F2:G2"/>
    <mergeCell ref="A4:G4"/>
    <mergeCell ref="A5:G5"/>
    <mergeCell ref="A6:G6"/>
    <mergeCell ref="A22:G22"/>
    <mergeCell ref="A23:G23"/>
    <mergeCell ref="A3:G3"/>
    <mergeCell ref="F11:G11"/>
  </mergeCells>
  <pageMargins left="0.7" right="0.7" top="0.75" bottom="0.75" header="0.3" footer="0.3"/>
  <pageSetup scale="7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51"/>
  <sheetViews>
    <sheetView workbookViewId="0">
      <selection activeCell="F77" sqref="F77"/>
    </sheetView>
  </sheetViews>
  <sheetFormatPr defaultColWidth="9.140625" defaultRowHeight="12.75" x14ac:dyDescent="0.2"/>
  <cols>
    <col min="1" max="1" width="5.42578125" style="811" bestFit="1" customWidth="1"/>
    <col min="2" max="2" width="10.7109375" style="811" bestFit="1" customWidth="1"/>
    <col min="3" max="3" width="19.42578125" style="811" bestFit="1" customWidth="1"/>
    <col min="4" max="4" width="35.85546875" style="811" bestFit="1" customWidth="1"/>
    <col min="5" max="5" width="41.42578125" style="811" customWidth="1"/>
    <col min="6" max="6" width="18.42578125" style="811" customWidth="1"/>
    <col min="7" max="7" width="11" style="811" customWidth="1"/>
    <col min="8" max="18" width="10.42578125" style="811" customWidth="1"/>
    <col min="19" max="19" width="15.42578125" style="811" customWidth="1"/>
    <col min="20" max="27" width="10.42578125" style="811" customWidth="1"/>
    <col min="28" max="28" width="13.85546875" style="813" customWidth="1"/>
    <col min="29" max="41" width="13.85546875" style="811" customWidth="1"/>
    <col min="42" max="42" width="9.140625" style="811" customWidth="1"/>
    <col min="43" max="43" width="28" style="811" customWidth="1"/>
    <col min="44" max="44" width="11.5703125" style="811" customWidth="1"/>
    <col min="45" max="16384" width="9.140625" style="811"/>
  </cols>
  <sheetData>
    <row r="1" spans="1:42" x14ac:dyDescent="0.2">
      <c r="G1" s="829" t="s">
        <v>1187</v>
      </c>
      <c r="H1" s="811" t="str">
        <f>+G1</f>
        <v>2018 Rents</v>
      </c>
      <c r="I1" s="811" t="str">
        <f t="shared" ref="I1:AO1" si="0">+H1</f>
        <v>2018 Rents</v>
      </c>
      <c r="J1" s="811" t="str">
        <f t="shared" si="0"/>
        <v>2018 Rents</v>
      </c>
      <c r="K1" s="811" t="str">
        <f t="shared" si="0"/>
        <v>2018 Rents</v>
      </c>
      <c r="L1" s="811" t="str">
        <f t="shared" si="0"/>
        <v>2018 Rents</v>
      </c>
      <c r="M1" s="811" t="str">
        <f t="shared" si="0"/>
        <v>2018 Rents</v>
      </c>
      <c r="N1" s="811" t="str">
        <f t="shared" si="0"/>
        <v>2018 Rents</v>
      </c>
      <c r="O1" s="811" t="str">
        <f t="shared" si="0"/>
        <v>2018 Rents</v>
      </c>
      <c r="P1" s="811" t="str">
        <f t="shared" si="0"/>
        <v>2018 Rents</v>
      </c>
      <c r="Q1" s="811" t="str">
        <f t="shared" si="0"/>
        <v>2018 Rents</v>
      </c>
      <c r="R1" s="811" t="str">
        <f t="shared" si="0"/>
        <v>2018 Rents</v>
      </c>
      <c r="S1" s="811" t="str">
        <f t="shared" si="0"/>
        <v>2018 Rents</v>
      </c>
      <c r="T1" s="811" t="str">
        <f t="shared" si="0"/>
        <v>2018 Rents</v>
      </c>
      <c r="U1" s="811" t="str">
        <f t="shared" si="0"/>
        <v>2018 Rents</v>
      </c>
      <c r="V1" s="811" t="str">
        <f t="shared" si="0"/>
        <v>2018 Rents</v>
      </c>
      <c r="W1" s="811" t="str">
        <f t="shared" si="0"/>
        <v>2018 Rents</v>
      </c>
      <c r="X1" s="811" t="str">
        <f t="shared" si="0"/>
        <v>2018 Rents</v>
      </c>
      <c r="Y1" s="811" t="str">
        <f t="shared" si="0"/>
        <v>2018 Rents</v>
      </c>
      <c r="Z1" s="811" t="str">
        <f t="shared" si="0"/>
        <v>2018 Rents</v>
      </c>
      <c r="AA1" s="811" t="str">
        <f t="shared" si="0"/>
        <v>2018 Rents</v>
      </c>
      <c r="AB1" s="811" t="str">
        <f t="shared" si="0"/>
        <v>2018 Rents</v>
      </c>
      <c r="AC1" s="811" t="str">
        <f t="shared" si="0"/>
        <v>2018 Rents</v>
      </c>
      <c r="AD1" s="811" t="str">
        <f t="shared" si="0"/>
        <v>2018 Rents</v>
      </c>
      <c r="AE1" s="811" t="str">
        <f t="shared" si="0"/>
        <v>2018 Rents</v>
      </c>
      <c r="AF1" s="811" t="str">
        <f t="shared" si="0"/>
        <v>2018 Rents</v>
      </c>
      <c r="AG1" s="811" t="str">
        <f t="shared" si="0"/>
        <v>2018 Rents</v>
      </c>
      <c r="AH1" s="811" t="str">
        <f t="shared" si="0"/>
        <v>2018 Rents</v>
      </c>
      <c r="AI1" s="811" t="str">
        <f t="shared" si="0"/>
        <v>2018 Rents</v>
      </c>
      <c r="AJ1" s="811" t="str">
        <f t="shared" si="0"/>
        <v>2018 Rents</v>
      </c>
      <c r="AK1" s="811" t="str">
        <f t="shared" si="0"/>
        <v>2018 Rents</v>
      </c>
      <c r="AL1" s="811" t="str">
        <f t="shared" si="0"/>
        <v>2018 Rents</v>
      </c>
      <c r="AM1" s="811" t="str">
        <f t="shared" si="0"/>
        <v>2018 Rents</v>
      </c>
      <c r="AN1" s="811" t="str">
        <f t="shared" si="0"/>
        <v>2018 Rents</v>
      </c>
      <c r="AO1" s="811" t="str">
        <f t="shared" si="0"/>
        <v>2018 Rents</v>
      </c>
    </row>
    <row r="2" spans="1:42" x14ac:dyDescent="0.2">
      <c r="A2" s="811" t="s">
        <v>873</v>
      </c>
      <c r="B2" s="811" t="s">
        <v>874</v>
      </c>
      <c r="C2" s="811" t="s">
        <v>875</v>
      </c>
      <c r="D2" s="811" t="s">
        <v>876</v>
      </c>
      <c r="E2" s="811" t="s">
        <v>111</v>
      </c>
      <c r="F2" t="s">
        <v>877</v>
      </c>
      <c r="G2" t="s">
        <v>878</v>
      </c>
      <c r="H2" t="s">
        <v>879</v>
      </c>
      <c r="I2" t="s">
        <v>880</v>
      </c>
      <c r="J2" t="s">
        <v>881</v>
      </c>
      <c r="K2" t="s">
        <v>882</v>
      </c>
      <c r="L2" t="s">
        <v>883</v>
      </c>
      <c r="M2" t="s">
        <v>884</v>
      </c>
      <c r="N2" t="s">
        <v>906</v>
      </c>
      <c r="O2" t="s">
        <v>907</v>
      </c>
      <c r="P2" t="s">
        <v>908</v>
      </c>
      <c r="Q2" t="s">
        <v>909</v>
      </c>
      <c r="R2" t="s">
        <v>910</v>
      </c>
      <c r="S2" t="s">
        <v>911</v>
      </c>
      <c r="T2" t="s">
        <v>912</v>
      </c>
      <c r="U2" t="s">
        <v>885</v>
      </c>
      <c r="V2" t="s">
        <v>886</v>
      </c>
      <c r="W2" t="s">
        <v>887</v>
      </c>
      <c r="X2" t="s">
        <v>888</v>
      </c>
      <c r="Y2" t="s">
        <v>889</v>
      </c>
      <c r="Z2" t="s">
        <v>890</v>
      </c>
      <c r="AA2" t="s">
        <v>891</v>
      </c>
      <c r="AB2" t="s">
        <v>892</v>
      </c>
      <c r="AC2" t="s">
        <v>893</v>
      </c>
      <c r="AD2" t="s">
        <v>894</v>
      </c>
      <c r="AE2" t="s">
        <v>895</v>
      </c>
      <c r="AF2" t="s">
        <v>896</v>
      </c>
      <c r="AG2" t="s">
        <v>897</v>
      </c>
      <c r="AH2" t="s">
        <v>898</v>
      </c>
      <c r="AI2" t="s">
        <v>899</v>
      </c>
      <c r="AJ2" t="s">
        <v>900</v>
      </c>
      <c r="AK2" t="s">
        <v>901</v>
      </c>
      <c r="AL2" t="s">
        <v>902</v>
      </c>
      <c r="AM2" t="s">
        <v>903</v>
      </c>
      <c r="AN2" t="s">
        <v>904</v>
      </c>
      <c r="AO2" t="s">
        <v>905</v>
      </c>
    </row>
    <row r="3" spans="1:42" ht="15" x14ac:dyDescent="0.2">
      <c r="A3" s="811">
        <v>22</v>
      </c>
      <c r="B3" s="811" t="s">
        <v>913</v>
      </c>
      <c r="C3" s="811" t="s">
        <v>914</v>
      </c>
      <c r="D3" s="811" t="s">
        <v>915</v>
      </c>
      <c r="E3" s="811" t="s">
        <v>916</v>
      </c>
      <c r="F3" t="s">
        <v>917</v>
      </c>
      <c r="G3">
        <v>433</v>
      </c>
      <c r="H3">
        <v>464</v>
      </c>
      <c r="I3">
        <v>557</v>
      </c>
      <c r="J3">
        <v>643</v>
      </c>
      <c r="K3">
        <v>718</v>
      </c>
      <c r="L3">
        <v>792</v>
      </c>
      <c r="M3">
        <v>866</v>
      </c>
      <c r="N3">
        <v>480</v>
      </c>
      <c r="O3">
        <v>511</v>
      </c>
      <c r="P3">
        <v>680</v>
      </c>
      <c r="Q3">
        <v>931</v>
      </c>
      <c r="R3">
        <v>1023</v>
      </c>
      <c r="S3">
        <v>1176</v>
      </c>
      <c r="T3">
        <v>1330</v>
      </c>
      <c r="U3">
        <v>480</v>
      </c>
      <c r="V3">
        <v>511</v>
      </c>
      <c r="W3">
        <v>680</v>
      </c>
      <c r="X3">
        <v>847</v>
      </c>
      <c r="Y3">
        <v>925</v>
      </c>
      <c r="Z3">
        <v>1002</v>
      </c>
      <c r="AA3">
        <v>1079</v>
      </c>
      <c r="AB3">
        <v>433</v>
      </c>
      <c r="AC3">
        <v>464</v>
      </c>
      <c r="AD3">
        <v>557</v>
      </c>
      <c r="AE3">
        <v>643</v>
      </c>
      <c r="AF3">
        <v>718</v>
      </c>
      <c r="AG3">
        <v>792</v>
      </c>
      <c r="AH3">
        <v>866</v>
      </c>
      <c r="AI3">
        <v>573</v>
      </c>
      <c r="AJ3">
        <v>615</v>
      </c>
      <c r="AK3">
        <v>741</v>
      </c>
      <c r="AL3">
        <v>847</v>
      </c>
      <c r="AM3">
        <v>925</v>
      </c>
      <c r="AN3">
        <v>1002</v>
      </c>
      <c r="AO3">
        <v>1079</v>
      </c>
      <c r="AP3" s="812"/>
    </row>
    <row r="4" spans="1:42" x14ac:dyDescent="0.2">
      <c r="A4" s="811">
        <v>22</v>
      </c>
      <c r="B4" s="811" t="s">
        <v>913</v>
      </c>
      <c r="C4" s="811" t="s">
        <v>918</v>
      </c>
      <c r="D4" s="811" t="s">
        <v>919</v>
      </c>
      <c r="E4" s="811" t="s">
        <v>920</v>
      </c>
      <c r="F4" t="s">
        <v>921</v>
      </c>
      <c r="G4">
        <v>477</v>
      </c>
      <c r="H4">
        <v>511</v>
      </c>
      <c r="I4">
        <v>613</v>
      </c>
      <c r="J4">
        <v>708</v>
      </c>
      <c r="K4">
        <v>791</v>
      </c>
      <c r="L4">
        <v>872</v>
      </c>
      <c r="M4">
        <v>953</v>
      </c>
      <c r="N4">
        <v>576</v>
      </c>
      <c r="O4">
        <v>580</v>
      </c>
      <c r="P4">
        <v>680</v>
      </c>
      <c r="Q4">
        <v>923</v>
      </c>
      <c r="R4">
        <v>926</v>
      </c>
      <c r="S4">
        <v>1065</v>
      </c>
      <c r="T4">
        <v>1204</v>
      </c>
      <c r="U4">
        <v>576</v>
      </c>
      <c r="V4">
        <v>580</v>
      </c>
      <c r="W4">
        <v>680</v>
      </c>
      <c r="X4">
        <v>923</v>
      </c>
      <c r="Y4">
        <v>926</v>
      </c>
      <c r="Z4">
        <v>1065</v>
      </c>
      <c r="AA4">
        <v>1193</v>
      </c>
      <c r="AB4">
        <v>477</v>
      </c>
      <c r="AC4">
        <v>511</v>
      </c>
      <c r="AD4">
        <v>613</v>
      </c>
      <c r="AE4">
        <v>708</v>
      </c>
      <c r="AF4">
        <v>791</v>
      </c>
      <c r="AG4">
        <v>872</v>
      </c>
      <c r="AH4">
        <v>953</v>
      </c>
      <c r="AI4">
        <v>630</v>
      </c>
      <c r="AJ4">
        <v>676</v>
      </c>
      <c r="AK4">
        <v>813</v>
      </c>
      <c r="AL4">
        <v>931</v>
      </c>
      <c r="AM4">
        <v>1019</v>
      </c>
      <c r="AN4">
        <v>1106</v>
      </c>
      <c r="AO4">
        <v>1193</v>
      </c>
    </row>
    <row r="5" spans="1:42" x14ac:dyDescent="0.2">
      <c r="A5" s="811">
        <v>22</v>
      </c>
      <c r="B5" s="811" t="s">
        <v>913</v>
      </c>
      <c r="C5" s="811" t="s">
        <v>922</v>
      </c>
      <c r="D5" s="811" t="s">
        <v>923</v>
      </c>
      <c r="E5" s="811" t="s">
        <v>924</v>
      </c>
      <c r="F5" t="s">
        <v>925</v>
      </c>
      <c r="G5">
        <v>647</v>
      </c>
      <c r="H5">
        <v>701</v>
      </c>
      <c r="I5">
        <v>842</v>
      </c>
      <c r="J5">
        <v>972</v>
      </c>
      <c r="K5">
        <v>1085</v>
      </c>
      <c r="L5">
        <v>1197</v>
      </c>
      <c r="M5">
        <v>1309</v>
      </c>
      <c r="N5">
        <v>647</v>
      </c>
      <c r="O5">
        <v>789</v>
      </c>
      <c r="P5">
        <v>906</v>
      </c>
      <c r="Q5">
        <v>1155</v>
      </c>
      <c r="R5">
        <v>1459</v>
      </c>
      <c r="S5">
        <v>1678</v>
      </c>
      <c r="T5">
        <v>1897</v>
      </c>
      <c r="U5">
        <v>647</v>
      </c>
      <c r="V5">
        <v>789</v>
      </c>
      <c r="W5">
        <v>906</v>
      </c>
      <c r="X5">
        <v>1155</v>
      </c>
      <c r="Y5">
        <v>1353</v>
      </c>
      <c r="Z5">
        <v>1474</v>
      </c>
      <c r="AA5">
        <v>1595</v>
      </c>
      <c r="AB5">
        <v>655</v>
      </c>
      <c r="AC5">
        <v>701</v>
      </c>
      <c r="AD5">
        <v>842</v>
      </c>
      <c r="AE5">
        <v>972</v>
      </c>
      <c r="AF5">
        <v>1085</v>
      </c>
      <c r="AG5">
        <v>1197</v>
      </c>
      <c r="AH5">
        <v>1309</v>
      </c>
      <c r="AI5">
        <v>831</v>
      </c>
      <c r="AJ5">
        <v>892</v>
      </c>
      <c r="AK5">
        <v>1072</v>
      </c>
      <c r="AL5">
        <v>1230</v>
      </c>
      <c r="AM5">
        <v>1353</v>
      </c>
      <c r="AN5">
        <v>1474</v>
      </c>
      <c r="AO5">
        <v>1595</v>
      </c>
    </row>
    <row r="6" spans="1:42" x14ac:dyDescent="0.2">
      <c r="A6" s="811">
        <v>22</v>
      </c>
      <c r="B6" s="811" t="s">
        <v>913</v>
      </c>
      <c r="C6" s="811" t="s">
        <v>926</v>
      </c>
      <c r="D6" s="811" t="s">
        <v>927</v>
      </c>
      <c r="E6" s="811" t="s">
        <v>928</v>
      </c>
      <c r="F6" t="s">
        <v>929</v>
      </c>
      <c r="G6">
        <v>551</v>
      </c>
      <c r="H6">
        <v>590</v>
      </c>
      <c r="I6">
        <v>706</v>
      </c>
      <c r="J6">
        <v>818</v>
      </c>
      <c r="K6">
        <v>912</v>
      </c>
      <c r="L6">
        <v>1006</v>
      </c>
      <c r="M6">
        <v>1100</v>
      </c>
      <c r="N6">
        <v>598</v>
      </c>
      <c r="O6">
        <v>601</v>
      </c>
      <c r="P6">
        <v>706</v>
      </c>
      <c r="Q6">
        <v>991</v>
      </c>
      <c r="R6">
        <v>1062</v>
      </c>
      <c r="S6">
        <v>1221</v>
      </c>
      <c r="T6">
        <v>1381</v>
      </c>
      <c r="U6">
        <v>598</v>
      </c>
      <c r="V6">
        <v>601</v>
      </c>
      <c r="W6">
        <v>706</v>
      </c>
      <c r="X6">
        <v>991</v>
      </c>
      <c r="Y6">
        <v>1062</v>
      </c>
      <c r="Z6">
        <v>1221</v>
      </c>
      <c r="AA6">
        <v>1326</v>
      </c>
      <c r="AB6">
        <v>551</v>
      </c>
      <c r="AC6">
        <v>590</v>
      </c>
      <c r="AD6">
        <v>708</v>
      </c>
      <c r="AE6">
        <v>818</v>
      </c>
      <c r="AF6">
        <v>912</v>
      </c>
      <c r="AG6">
        <v>1006</v>
      </c>
      <c r="AH6">
        <v>1100</v>
      </c>
      <c r="AI6">
        <v>696</v>
      </c>
      <c r="AJ6">
        <v>748</v>
      </c>
      <c r="AK6">
        <v>899</v>
      </c>
      <c r="AL6">
        <v>1030</v>
      </c>
      <c r="AM6">
        <v>1129</v>
      </c>
      <c r="AN6">
        <v>1227</v>
      </c>
      <c r="AO6">
        <v>1326</v>
      </c>
    </row>
    <row r="7" spans="1:42" x14ac:dyDescent="0.2">
      <c r="A7" s="811">
        <v>22</v>
      </c>
      <c r="B7" s="811" t="s">
        <v>913</v>
      </c>
      <c r="C7" s="811" t="s">
        <v>930</v>
      </c>
      <c r="D7" s="811" t="s">
        <v>931</v>
      </c>
      <c r="E7" s="811" t="s">
        <v>932</v>
      </c>
      <c r="F7" t="s">
        <v>933</v>
      </c>
      <c r="G7">
        <v>433</v>
      </c>
      <c r="H7">
        <v>464</v>
      </c>
      <c r="I7">
        <v>557</v>
      </c>
      <c r="J7">
        <v>643</v>
      </c>
      <c r="K7">
        <v>718</v>
      </c>
      <c r="L7">
        <v>792</v>
      </c>
      <c r="M7">
        <v>866</v>
      </c>
      <c r="N7">
        <v>446</v>
      </c>
      <c r="O7">
        <v>535</v>
      </c>
      <c r="P7">
        <v>699</v>
      </c>
      <c r="Q7">
        <v>919</v>
      </c>
      <c r="R7">
        <v>1074</v>
      </c>
      <c r="S7">
        <v>1235</v>
      </c>
      <c r="T7">
        <v>1396</v>
      </c>
      <c r="U7">
        <v>446</v>
      </c>
      <c r="V7">
        <v>535</v>
      </c>
      <c r="W7">
        <v>699</v>
      </c>
      <c r="X7">
        <v>822</v>
      </c>
      <c r="Y7">
        <v>898</v>
      </c>
      <c r="Z7">
        <v>971</v>
      </c>
      <c r="AA7">
        <v>1046</v>
      </c>
      <c r="AB7">
        <v>433</v>
      </c>
      <c r="AC7">
        <v>464</v>
      </c>
      <c r="AD7">
        <v>557</v>
      </c>
      <c r="AE7">
        <v>643</v>
      </c>
      <c r="AF7">
        <v>718</v>
      </c>
      <c r="AG7">
        <v>792</v>
      </c>
      <c r="AH7">
        <v>866</v>
      </c>
      <c r="AI7">
        <v>556</v>
      </c>
      <c r="AJ7">
        <v>598</v>
      </c>
      <c r="AK7">
        <v>719</v>
      </c>
      <c r="AL7">
        <v>822</v>
      </c>
      <c r="AM7">
        <v>898</v>
      </c>
      <c r="AN7">
        <v>971</v>
      </c>
      <c r="AO7">
        <v>1046</v>
      </c>
    </row>
    <row r="8" spans="1:42" x14ac:dyDescent="0.2">
      <c r="A8" s="811">
        <v>22</v>
      </c>
      <c r="B8" s="811" t="s">
        <v>913</v>
      </c>
      <c r="C8" s="811" t="s">
        <v>934</v>
      </c>
      <c r="D8" s="811" t="s">
        <v>935</v>
      </c>
      <c r="E8" s="811" t="s">
        <v>936</v>
      </c>
      <c r="F8" t="s">
        <v>937</v>
      </c>
      <c r="G8">
        <v>547</v>
      </c>
      <c r="H8">
        <v>586</v>
      </c>
      <c r="I8">
        <v>680</v>
      </c>
      <c r="J8">
        <v>812</v>
      </c>
      <c r="K8">
        <v>906</v>
      </c>
      <c r="L8">
        <v>1000</v>
      </c>
      <c r="M8">
        <v>1093</v>
      </c>
      <c r="N8">
        <v>576</v>
      </c>
      <c r="O8">
        <v>589</v>
      </c>
      <c r="P8">
        <v>680</v>
      </c>
      <c r="Q8">
        <v>969</v>
      </c>
      <c r="R8">
        <v>1198</v>
      </c>
      <c r="S8">
        <v>1378</v>
      </c>
      <c r="T8">
        <v>1557</v>
      </c>
      <c r="U8">
        <v>576</v>
      </c>
      <c r="V8">
        <v>589</v>
      </c>
      <c r="W8">
        <v>680</v>
      </c>
      <c r="X8">
        <v>969</v>
      </c>
      <c r="Y8">
        <v>1175</v>
      </c>
      <c r="Z8">
        <v>1278</v>
      </c>
      <c r="AA8">
        <v>1382</v>
      </c>
      <c r="AB8">
        <v>547</v>
      </c>
      <c r="AC8">
        <v>586</v>
      </c>
      <c r="AD8">
        <v>703</v>
      </c>
      <c r="AE8">
        <v>812</v>
      </c>
      <c r="AF8">
        <v>906</v>
      </c>
      <c r="AG8">
        <v>1000</v>
      </c>
      <c r="AH8">
        <v>1093</v>
      </c>
      <c r="AI8">
        <v>724</v>
      </c>
      <c r="AJ8">
        <v>777</v>
      </c>
      <c r="AK8">
        <v>934</v>
      </c>
      <c r="AL8">
        <v>1071</v>
      </c>
      <c r="AM8">
        <v>1175</v>
      </c>
      <c r="AN8">
        <v>1278</v>
      </c>
      <c r="AO8">
        <v>1382</v>
      </c>
    </row>
    <row r="9" spans="1:42" x14ac:dyDescent="0.2">
      <c r="A9" s="811">
        <v>22</v>
      </c>
      <c r="B9" s="811" t="s">
        <v>913</v>
      </c>
      <c r="C9" s="811" t="s">
        <v>938</v>
      </c>
      <c r="D9" s="811" t="s">
        <v>939</v>
      </c>
      <c r="E9" s="811" t="s">
        <v>940</v>
      </c>
      <c r="F9" t="s">
        <v>941</v>
      </c>
      <c r="G9">
        <v>433</v>
      </c>
      <c r="H9">
        <v>464</v>
      </c>
      <c r="I9">
        <v>557</v>
      </c>
      <c r="J9">
        <v>643</v>
      </c>
      <c r="K9">
        <v>718</v>
      </c>
      <c r="L9">
        <v>792</v>
      </c>
      <c r="M9">
        <v>866</v>
      </c>
      <c r="N9">
        <v>576</v>
      </c>
      <c r="O9">
        <v>592</v>
      </c>
      <c r="P9">
        <v>680</v>
      </c>
      <c r="Q9">
        <v>923</v>
      </c>
      <c r="R9">
        <v>926</v>
      </c>
      <c r="S9">
        <v>1065</v>
      </c>
      <c r="T9">
        <v>1204</v>
      </c>
      <c r="U9">
        <v>556</v>
      </c>
      <c r="V9">
        <v>592</v>
      </c>
      <c r="W9">
        <v>680</v>
      </c>
      <c r="X9">
        <v>822</v>
      </c>
      <c r="Y9">
        <v>898</v>
      </c>
      <c r="Z9">
        <v>971</v>
      </c>
      <c r="AA9">
        <v>1046</v>
      </c>
      <c r="AB9">
        <v>433</v>
      </c>
      <c r="AC9">
        <v>464</v>
      </c>
      <c r="AD9">
        <v>557</v>
      </c>
      <c r="AE9">
        <v>643</v>
      </c>
      <c r="AF9">
        <v>718</v>
      </c>
      <c r="AG9">
        <v>792</v>
      </c>
      <c r="AH9">
        <v>866</v>
      </c>
      <c r="AI9">
        <v>556</v>
      </c>
      <c r="AJ9">
        <v>598</v>
      </c>
      <c r="AK9">
        <v>719</v>
      </c>
      <c r="AL9">
        <v>822</v>
      </c>
      <c r="AM9">
        <v>898</v>
      </c>
      <c r="AN9">
        <v>971</v>
      </c>
      <c r="AO9">
        <v>1046</v>
      </c>
    </row>
    <row r="10" spans="1:42" x14ac:dyDescent="0.2">
      <c r="A10" s="811">
        <v>22</v>
      </c>
      <c r="B10" s="811" t="s">
        <v>913</v>
      </c>
      <c r="C10" s="811" t="s">
        <v>942</v>
      </c>
      <c r="D10" s="811" t="s">
        <v>943</v>
      </c>
      <c r="E10" s="811" t="s">
        <v>944</v>
      </c>
      <c r="F10" t="s">
        <v>945</v>
      </c>
      <c r="G10">
        <v>548</v>
      </c>
      <c r="H10">
        <v>588</v>
      </c>
      <c r="I10">
        <v>706</v>
      </c>
      <c r="J10">
        <v>815</v>
      </c>
      <c r="K10">
        <v>910</v>
      </c>
      <c r="L10">
        <v>1003</v>
      </c>
      <c r="M10">
        <v>1097</v>
      </c>
      <c r="N10">
        <v>570</v>
      </c>
      <c r="O10">
        <v>710</v>
      </c>
      <c r="P10">
        <v>820</v>
      </c>
      <c r="Q10">
        <v>1040</v>
      </c>
      <c r="R10">
        <v>1175</v>
      </c>
      <c r="S10">
        <v>1351</v>
      </c>
      <c r="T10">
        <v>1528</v>
      </c>
      <c r="U10">
        <v>570</v>
      </c>
      <c r="V10">
        <v>710</v>
      </c>
      <c r="W10">
        <v>820</v>
      </c>
      <c r="X10">
        <v>1040</v>
      </c>
      <c r="Y10">
        <v>1164</v>
      </c>
      <c r="Z10">
        <v>1266</v>
      </c>
      <c r="AA10">
        <v>1368</v>
      </c>
      <c r="AB10">
        <v>548</v>
      </c>
      <c r="AC10">
        <v>588</v>
      </c>
      <c r="AD10">
        <v>706</v>
      </c>
      <c r="AE10">
        <v>815</v>
      </c>
      <c r="AF10">
        <v>910</v>
      </c>
      <c r="AG10">
        <v>1003</v>
      </c>
      <c r="AH10">
        <v>1097</v>
      </c>
      <c r="AI10">
        <v>718</v>
      </c>
      <c r="AJ10">
        <v>770</v>
      </c>
      <c r="AK10">
        <v>926</v>
      </c>
      <c r="AL10">
        <v>1061</v>
      </c>
      <c r="AM10">
        <v>1164</v>
      </c>
      <c r="AN10">
        <v>1266</v>
      </c>
      <c r="AO10">
        <v>1368</v>
      </c>
    </row>
    <row r="11" spans="1:42" x14ac:dyDescent="0.2">
      <c r="A11" s="811">
        <v>22</v>
      </c>
      <c r="B11" s="811" t="s">
        <v>913</v>
      </c>
      <c r="C11" s="811" t="s">
        <v>942</v>
      </c>
      <c r="D11" s="811" t="s">
        <v>943</v>
      </c>
      <c r="E11" s="811" t="s">
        <v>946</v>
      </c>
      <c r="F11" t="s">
        <v>947</v>
      </c>
      <c r="G11">
        <v>548</v>
      </c>
      <c r="H11">
        <v>588</v>
      </c>
      <c r="I11">
        <v>706</v>
      </c>
      <c r="J11">
        <v>815</v>
      </c>
      <c r="K11">
        <v>910</v>
      </c>
      <c r="L11">
        <v>1003</v>
      </c>
      <c r="M11">
        <v>1097</v>
      </c>
      <c r="N11">
        <v>570</v>
      </c>
      <c r="O11">
        <v>710</v>
      </c>
      <c r="P11">
        <v>820</v>
      </c>
      <c r="Q11">
        <v>1040</v>
      </c>
      <c r="R11">
        <v>1175</v>
      </c>
      <c r="S11">
        <v>1351</v>
      </c>
      <c r="T11">
        <v>1528</v>
      </c>
      <c r="U11">
        <v>570</v>
      </c>
      <c r="V11">
        <v>710</v>
      </c>
      <c r="W11">
        <v>820</v>
      </c>
      <c r="X11">
        <v>1040</v>
      </c>
      <c r="Y11">
        <v>1164</v>
      </c>
      <c r="Z11">
        <v>1266</v>
      </c>
      <c r="AA11">
        <v>1368</v>
      </c>
      <c r="AB11">
        <v>548</v>
      </c>
      <c r="AC11">
        <v>588</v>
      </c>
      <c r="AD11">
        <v>706</v>
      </c>
      <c r="AE11">
        <v>815</v>
      </c>
      <c r="AF11">
        <v>910</v>
      </c>
      <c r="AG11">
        <v>1003</v>
      </c>
      <c r="AH11">
        <v>1097</v>
      </c>
      <c r="AI11">
        <v>718</v>
      </c>
      <c r="AJ11">
        <v>770</v>
      </c>
      <c r="AK11">
        <v>926</v>
      </c>
      <c r="AL11">
        <v>1061</v>
      </c>
      <c r="AM11">
        <v>1164</v>
      </c>
      <c r="AN11">
        <v>1266</v>
      </c>
      <c r="AO11">
        <v>1368</v>
      </c>
    </row>
    <row r="12" spans="1:42" x14ac:dyDescent="0.2">
      <c r="A12" s="811">
        <v>22</v>
      </c>
      <c r="B12" s="811" t="s">
        <v>913</v>
      </c>
      <c r="C12" s="811" t="s">
        <v>948</v>
      </c>
      <c r="D12" s="811" t="s">
        <v>949</v>
      </c>
      <c r="E12" s="811" t="s">
        <v>950</v>
      </c>
      <c r="F12" t="s">
        <v>951</v>
      </c>
      <c r="G12">
        <v>514</v>
      </c>
      <c r="H12">
        <v>567</v>
      </c>
      <c r="I12">
        <v>681</v>
      </c>
      <c r="J12">
        <v>786</v>
      </c>
      <c r="K12">
        <v>877</v>
      </c>
      <c r="L12">
        <v>968</v>
      </c>
      <c r="M12">
        <v>1058</v>
      </c>
      <c r="N12">
        <v>514</v>
      </c>
      <c r="O12">
        <v>638</v>
      </c>
      <c r="P12">
        <v>791</v>
      </c>
      <c r="Q12">
        <v>1017</v>
      </c>
      <c r="R12">
        <v>1158</v>
      </c>
      <c r="S12">
        <v>1332</v>
      </c>
      <c r="T12">
        <v>1505</v>
      </c>
      <c r="U12">
        <v>514</v>
      </c>
      <c r="V12">
        <v>638</v>
      </c>
      <c r="W12">
        <v>791</v>
      </c>
      <c r="X12">
        <v>1017</v>
      </c>
      <c r="Y12">
        <v>1115</v>
      </c>
      <c r="Z12">
        <v>1211</v>
      </c>
      <c r="AA12">
        <v>1308</v>
      </c>
      <c r="AB12">
        <v>530</v>
      </c>
      <c r="AC12">
        <v>567</v>
      </c>
      <c r="AD12">
        <v>681</v>
      </c>
      <c r="AE12">
        <v>786</v>
      </c>
      <c r="AF12">
        <v>877</v>
      </c>
      <c r="AG12">
        <v>968</v>
      </c>
      <c r="AH12">
        <v>1058</v>
      </c>
      <c r="AI12">
        <v>688</v>
      </c>
      <c r="AJ12">
        <v>738</v>
      </c>
      <c r="AK12">
        <v>888</v>
      </c>
      <c r="AL12">
        <v>1017</v>
      </c>
      <c r="AM12">
        <v>1115</v>
      </c>
      <c r="AN12">
        <v>1211</v>
      </c>
      <c r="AO12">
        <v>1308</v>
      </c>
    </row>
    <row r="13" spans="1:42" x14ac:dyDescent="0.2">
      <c r="A13" s="811">
        <v>22</v>
      </c>
      <c r="B13" s="811" t="s">
        <v>913</v>
      </c>
      <c r="C13" s="811" t="s">
        <v>952</v>
      </c>
      <c r="D13" s="811" t="s">
        <v>953</v>
      </c>
      <c r="E13" s="811" t="s">
        <v>954</v>
      </c>
      <c r="F13" t="s">
        <v>955</v>
      </c>
      <c r="G13">
        <v>450</v>
      </c>
      <c r="H13">
        <v>482</v>
      </c>
      <c r="I13">
        <v>578</v>
      </c>
      <c r="J13">
        <v>668</v>
      </c>
      <c r="K13">
        <v>746</v>
      </c>
      <c r="L13">
        <v>823</v>
      </c>
      <c r="M13">
        <v>899</v>
      </c>
      <c r="N13">
        <v>576</v>
      </c>
      <c r="O13">
        <v>592</v>
      </c>
      <c r="P13">
        <v>680</v>
      </c>
      <c r="Q13">
        <v>989</v>
      </c>
      <c r="R13">
        <v>1157</v>
      </c>
      <c r="S13">
        <v>1331</v>
      </c>
      <c r="T13">
        <v>1504</v>
      </c>
      <c r="U13">
        <v>576</v>
      </c>
      <c r="V13">
        <v>592</v>
      </c>
      <c r="W13">
        <v>680</v>
      </c>
      <c r="X13">
        <v>885</v>
      </c>
      <c r="Y13">
        <v>969</v>
      </c>
      <c r="Z13">
        <v>1050</v>
      </c>
      <c r="AA13">
        <v>1131</v>
      </c>
      <c r="AB13">
        <v>450</v>
      </c>
      <c r="AC13">
        <v>482</v>
      </c>
      <c r="AD13">
        <v>578</v>
      </c>
      <c r="AE13">
        <v>668</v>
      </c>
      <c r="AF13">
        <v>746</v>
      </c>
      <c r="AG13">
        <v>823</v>
      </c>
      <c r="AH13">
        <v>899</v>
      </c>
      <c r="AI13">
        <v>599</v>
      </c>
      <c r="AJ13">
        <v>643</v>
      </c>
      <c r="AK13">
        <v>774</v>
      </c>
      <c r="AL13">
        <v>885</v>
      </c>
      <c r="AM13">
        <v>969</v>
      </c>
      <c r="AN13">
        <v>1050</v>
      </c>
      <c r="AO13">
        <v>1131</v>
      </c>
    </row>
    <row r="14" spans="1:42" x14ac:dyDescent="0.2">
      <c r="A14" s="811">
        <v>22</v>
      </c>
      <c r="B14" s="811" t="s">
        <v>913</v>
      </c>
      <c r="C14" s="811" t="s">
        <v>948</v>
      </c>
      <c r="D14" s="811" t="s">
        <v>949</v>
      </c>
      <c r="E14" s="811" t="s">
        <v>956</v>
      </c>
      <c r="F14" t="s">
        <v>957</v>
      </c>
      <c r="G14">
        <v>514</v>
      </c>
      <c r="H14">
        <v>567</v>
      </c>
      <c r="I14">
        <v>681</v>
      </c>
      <c r="J14">
        <v>786</v>
      </c>
      <c r="K14">
        <v>877</v>
      </c>
      <c r="L14">
        <v>968</v>
      </c>
      <c r="M14">
        <v>1058</v>
      </c>
      <c r="N14">
        <v>514</v>
      </c>
      <c r="O14">
        <v>638</v>
      </c>
      <c r="P14">
        <v>791</v>
      </c>
      <c r="Q14">
        <v>1017</v>
      </c>
      <c r="R14">
        <v>1158</v>
      </c>
      <c r="S14">
        <v>1332</v>
      </c>
      <c r="T14">
        <v>1505</v>
      </c>
      <c r="U14">
        <v>514</v>
      </c>
      <c r="V14">
        <v>638</v>
      </c>
      <c r="W14">
        <v>791</v>
      </c>
      <c r="X14">
        <v>1017</v>
      </c>
      <c r="Y14">
        <v>1115</v>
      </c>
      <c r="Z14">
        <v>1211</v>
      </c>
      <c r="AA14">
        <v>1308</v>
      </c>
      <c r="AB14">
        <v>530</v>
      </c>
      <c r="AC14">
        <v>567</v>
      </c>
      <c r="AD14">
        <v>681</v>
      </c>
      <c r="AE14">
        <v>786</v>
      </c>
      <c r="AF14">
        <v>877</v>
      </c>
      <c r="AG14">
        <v>968</v>
      </c>
      <c r="AH14">
        <v>1058</v>
      </c>
      <c r="AI14">
        <v>688</v>
      </c>
      <c r="AJ14">
        <v>738</v>
      </c>
      <c r="AK14">
        <v>888</v>
      </c>
      <c r="AL14">
        <v>1017</v>
      </c>
      <c r="AM14">
        <v>1115</v>
      </c>
      <c r="AN14">
        <v>1211</v>
      </c>
      <c r="AO14">
        <v>1308</v>
      </c>
    </row>
    <row r="15" spans="1:42" x14ac:dyDescent="0.2">
      <c r="A15" s="811">
        <v>22</v>
      </c>
      <c r="B15" s="811" t="s">
        <v>913</v>
      </c>
      <c r="C15" s="811" t="s">
        <v>958</v>
      </c>
      <c r="D15" s="811" t="s">
        <v>959</v>
      </c>
      <c r="E15" s="811" t="s">
        <v>960</v>
      </c>
      <c r="F15" t="s">
        <v>961</v>
      </c>
      <c r="G15">
        <v>467</v>
      </c>
      <c r="H15">
        <v>501</v>
      </c>
      <c r="I15">
        <v>601</v>
      </c>
      <c r="J15">
        <v>694</v>
      </c>
      <c r="K15">
        <v>775</v>
      </c>
      <c r="L15">
        <v>855</v>
      </c>
      <c r="M15">
        <v>934</v>
      </c>
      <c r="N15">
        <v>512</v>
      </c>
      <c r="O15">
        <v>516</v>
      </c>
      <c r="P15">
        <v>680</v>
      </c>
      <c r="Q15">
        <v>950</v>
      </c>
      <c r="R15">
        <v>1198</v>
      </c>
      <c r="S15">
        <v>1378</v>
      </c>
      <c r="T15">
        <v>1557</v>
      </c>
      <c r="U15">
        <v>512</v>
      </c>
      <c r="V15">
        <v>516</v>
      </c>
      <c r="W15">
        <v>680</v>
      </c>
      <c r="X15">
        <v>869</v>
      </c>
      <c r="Y15">
        <v>950</v>
      </c>
      <c r="Z15">
        <v>1029</v>
      </c>
      <c r="AA15">
        <v>1109</v>
      </c>
      <c r="AB15">
        <v>467</v>
      </c>
      <c r="AC15">
        <v>501</v>
      </c>
      <c r="AD15">
        <v>601</v>
      </c>
      <c r="AE15">
        <v>694</v>
      </c>
      <c r="AF15">
        <v>775</v>
      </c>
      <c r="AG15">
        <v>855</v>
      </c>
      <c r="AH15">
        <v>934</v>
      </c>
      <c r="AI15">
        <v>588</v>
      </c>
      <c r="AJ15">
        <v>631</v>
      </c>
      <c r="AK15">
        <v>759</v>
      </c>
      <c r="AL15">
        <v>869</v>
      </c>
      <c r="AM15">
        <v>950</v>
      </c>
      <c r="AN15">
        <v>1029</v>
      </c>
      <c r="AO15">
        <v>1109</v>
      </c>
    </row>
    <row r="16" spans="1:42" x14ac:dyDescent="0.2">
      <c r="A16" s="811">
        <v>22</v>
      </c>
      <c r="B16" s="811" t="s">
        <v>913</v>
      </c>
      <c r="C16" s="811" t="s">
        <v>962</v>
      </c>
      <c r="D16" s="811" t="s">
        <v>963</v>
      </c>
      <c r="E16" s="811" t="s">
        <v>964</v>
      </c>
      <c r="F16" t="s">
        <v>965</v>
      </c>
      <c r="G16">
        <v>433</v>
      </c>
      <c r="H16">
        <v>464</v>
      </c>
      <c r="I16">
        <v>557</v>
      </c>
      <c r="J16">
        <v>643</v>
      </c>
      <c r="K16">
        <v>718</v>
      </c>
      <c r="L16">
        <v>792</v>
      </c>
      <c r="M16">
        <v>866</v>
      </c>
      <c r="N16">
        <v>508</v>
      </c>
      <c r="O16">
        <v>511</v>
      </c>
      <c r="P16">
        <v>680</v>
      </c>
      <c r="Q16">
        <v>989</v>
      </c>
      <c r="R16">
        <v>1198</v>
      </c>
      <c r="S16">
        <v>1378</v>
      </c>
      <c r="T16">
        <v>1557</v>
      </c>
      <c r="U16">
        <v>508</v>
      </c>
      <c r="V16">
        <v>511</v>
      </c>
      <c r="W16">
        <v>680</v>
      </c>
      <c r="X16">
        <v>822</v>
      </c>
      <c r="Y16">
        <v>898</v>
      </c>
      <c r="Z16">
        <v>971</v>
      </c>
      <c r="AA16">
        <v>1046</v>
      </c>
      <c r="AB16">
        <v>433</v>
      </c>
      <c r="AC16">
        <v>464</v>
      </c>
      <c r="AD16">
        <v>557</v>
      </c>
      <c r="AE16">
        <v>643</v>
      </c>
      <c r="AF16">
        <v>718</v>
      </c>
      <c r="AG16">
        <v>792</v>
      </c>
      <c r="AH16">
        <v>866</v>
      </c>
      <c r="AI16">
        <v>556</v>
      </c>
      <c r="AJ16">
        <v>598</v>
      </c>
      <c r="AK16">
        <v>719</v>
      </c>
      <c r="AL16">
        <v>822</v>
      </c>
      <c r="AM16">
        <v>898</v>
      </c>
      <c r="AN16">
        <v>971</v>
      </c>
      <c r="AO16">
        <v>1046</v>
      </c>
    </row>
    <row r="17" spans="1:41" x14ac:dyDescent="0.2">
      <c r="A17" s="811">
        <v>22</v>
      </c>
      <c r="B17" s="811" t="s">
        <v>913</v>
      </c>
      <c r="C17" s="811" t="s">
        <v>966</v>
      </c>
      <c r="D17" s="811" t="s">
        <v>967</v>
      </c>
      <c r="E17" s="811" t="s">
        <v>968</v>
      </c>
      <c r="F17" t="s">
        <v>969</v>
      </c>
      <c r="G17">
        <v>433</v>
      </c>
      <c r="H17">
        <v>464</v>
      </c>
      <c r="I17">
        <v>557</v>
      </c>
      <c r="J17">
        <v>643</v>
      </c>
      <c r="K17">
        <v>718</v>
      </c>
      <c r="L17">
        <v>792</v>
      </c>
      <c r="M17">
        <v>866</v>
      </c>
      <c r="N17">
        <v>521</v>
      </c>
      <c r="O17">
        <v>525</v>
      </c>
      <c r="P17">
        <v>680</v>
      </c>
      <c r="Q17">
        <v>907</v>
      </c>
      <c r="R17">
        <v>1023</v>
      </c>
      <c r="S17">
        <v>1176</v>
      </c>
      <c r="T17">
        <v>1330</v>
      </c>
      <c r="U17">
        <v>521</v>
      </c>
      <c r="V17">
        <v>525</v>
      </c>
      <c r="W17">
        <v>680</v>
      </c>
      <c r="X17">
        <v>822</v>
      </c>
      <c r="Y17">
        <v>898</v>
      </c>
      <c r="Z17">
        <v>971</v>
      </c>
      <c r="AA17">
        <v>1046</v>
      </c>
      <c r="AB17">
        <v>433</v>
      </c>
      <c r="AC17">
        <v>464</v>
      </c>
      <c r="AD17">
        <v>557</v>
      </c>
      <c r="AE17">
        <v>643</v>
      </c>
      <c r="AF17">
        <v>718</v>
      </c>
      <c r="AG17">
        <v>792</v>
      </c>
      <c r="AH17">
        <v>866</v>
      </c>
      <c r="AI17">
        <v>556</v>
      </c>
      <c r="AJ17">
        <v>598</v>
      </c>
      <c r="AK17">
        <v>719</v>
      </c>
      <c r="AL17">
        <v>822</v>
      </c>
      <c r="AM17">
        <v>898</v>
      </c>
      <c r="AN17">
        <v>971</v>
      </c>
      <c r="AO17">
        <v>1046</v>
      </c>
    </row>
    <row r="18" spans="1:41" x14ac:dyDescent="0.2">
      <c r="A18" s="811">
        <v>22</v>
      </c>
      <c r="B18" s="811" t="s">
        <v>913</v>
      </c>
      <c r="C18" s="811" t="s">
        <v>942</v>
      </c>
      <c r="D18" s="811" t="s">
        <v>943</v>
      </c>
      <c r="E18" s="811" t="s">
        <v>970</v>
      </c>
      <c r="F18" t="s">
        <v>971</v>
      </c>
      <c r="G18">
        <v>548</v>
      </c>
      <c r="H18">
        <v>588</v>
      </c>
      <c r="I18">
        <v>706</v>
      </c>
      <c r="J18">
        <v>815</v>
      </c>
      <c r="K18">
        <v>910</v>
      </c>
      <c r="L18">
        <v>1003</v>
      </c>
      <c r="M18">
        <v>1097</v>
      </c>
      <c r="N18">
        <v>570</v>
      </c>
      <c r="O18">
        <v>710</v>
      </c>
      <c r="P18">
        <v>820</v>
      </c>
      <c r="Q18">
        <v>1040</v>
      </c>
      <c r="R18">
        <v>1175</v>
      </c>
      <c r="S18">
        <v>1351</v>
      </c>
      <c r="T18">
        <v>1528</v>
      </c>
      <c r="U18">
        <v>570</v>
      </c>
      <c r="V18">
        <v>710</v>
      </c>
      <c r="W18">
        <v>820</v>
      </c>
      <c r="X18">
        <v>1040</v>
      </c>
      <c r="Y18">
        <v>1164</v>
      </c>
      <c r="Z18">
        <v>1266</v>
      </c>
      <c r="AA18">
        <v>1368</v>
      </c>
      <c r="AB18">
        <v>548</v>
      </c>
      <c r="AC18">
        <v>588</v>
      </c>
      <c r="AD18">
        <v>706</v>
      </c>
      <c r="AE18">
        <v>815</v>
      </c>
      <c r="AF18">
        <v>910</v>
      </c>
      <c r="AG18">
        <v>1003</v>
      </c>
      <c r="AH18">
        <v>1097</v>
      </c>
      <c r="AI18">
        <v>718</v>
      </c>
      <c r="AJ18">
        <v>770</v>
      </c>
      <c r="AK18">
        <v>926</v>
      </c>
      <c r="AL18">
        <v>1061</v>
      </c>
      <c r="AM18">
        <v>1164</v>
      </c>
      <c r="AN18">
        <v>1266</v>
      </c>
      <c r="AO18">
        <v>1368</v>
      </c>
    </row>
    <row r="19" spans="1:41" x14ac:dyDescent="0.2">
      <c r="A19" s="811">
        <v>22</v>
      </c>
      <c r="B19" s="811" t="s">
        <v>913</v>
      </c>
      <c r="C19" s="811" t="s">
        <v>922</v>
      </c>
      <c r="D19" s="811" t="s">
        <v>923</v>
      </c>
      <c r="E19" s="811" t="s">
        <v>972</v>
      </c>
      <c r="F19" t="s">
        <v>973</v>
      </c>
      <c r="G19">
        <v>647</v>
      </c>
      <c r="H19">
        <v>701</v>
      </c>
      <c r="I19">
        <v>842</v>
      </c>
      <c r="J19">
        <v>972</v>
      </c>
      <c r="K19">
        <v>1085</v>
      </c>
      <c r="L19">
        <v>1197</v>
      </c>
      <c r="M19">
        <v>1309</v>
      </c>
      <c r="N19">
        <v>647</v>
      </c>
      <c r="O19">
        <v>789</v>
      </c>
      <c r="P19">
        <v>906</v>
      </c>
      <c r="Q19">
        <v>1155</v>
      </c>
      <c r="R19">
        <v>1459</v>
      </c>
      <c r="S19">
        <v>1678</v>
      </c>
      <c r="T19">
        <v>1897</v>
      </c>
      <c r="U19">
        <v>647</v>
      </c>
      <c r="V19">
        <v>789</v>
      </c>
      <c r="W19">
        <v>906</v>
      </c>
      <c r="X19">
        <v>1155</v>
      </c>
      <c r="Y19">
        <v>1353</v>
      </c>
      <c r="Z19">
        <v>1474</v>
      </c>
      <c r="AA19">
        <v>1595</v>
      </c>
      <c r="AB19">
        <v>655</v>
      </c>
      <c r="AC19">
        <v>701</v>
      </c>
      <c r="AD19">
        <v>842</v>
      </c>
      <c r="AE19">
        <v>972</v>
      </c>
      <c r="AF19">
        <v>1085</v>
      </c>
      <c r="AG19">
        <v>1197</v>
      </c>
      <c r="AH19">
        <v>1309</v>
      </c>
      <c r="AI19">
        <v>831</v>
      </c>
      <c r="AJ19">
        <v>892</v>
      </c>
      <c r="AK19">
        <v>1072</v>
      </c>
      <c r="AL19">
        <v>1230</v>
      </c>
      <c r="AM19">
        <v>1353</v>
      </c>
      <c r="AN19">
        <v>1474</v>
      </c>
      <c r="AO19">
        <v>1595</v>
      </c>
    </row>
    <row r="20" spans="1:41" x14ac:dyDescent="0.2">
      <c r="A20" s="811">
        <v>22</v>
      </c>
      <c r="B20" s="811" t="s">
        <v>913</v>
      </c>
      <c r="C20" s="811" t="s">
        <v>974</v>
      </c>
      <c r="D20" s="811" t="s">
        <v>975</v>
      </c>
      <c r="E20" s="811" t="s">
        <v>976</v>
      </c>
      <c r="F20" t="s">
        <v>977</v>
      </c>
      <c r="G20">
        <v>433</v>
      </c>
      <c r="H20">
        <v>464</v>
      </c>
      <c r="I20">
        <v>557</v>
      </c>
      <c r="J20">
        <v>643</v>
      </c>
      <c r="K20">
        <v>718</v>
      </c>
      <c r="L20">
        <v>792</v>
      </c>
      <c r="M20">
        <v>866</v>
      </c>
      <c r="N20">
        <v>508</v>
      </c>
      <c r="O20">
        <v>511</v>
      </c>
      <c r="P20">
        <v>680</v>
      </c>
      <c r="Q20">
        <v>853</v>
      </c>
      <c r="R20">
        <v>1023</v>
      </c>
      <c r="S20">
        <v>1176</v>
      </c>
      <c r="T20">
        <v>1330</v>
      </c>
      <c r="U20">
        <v>508</v>
      </c>
      <c r="V20">
        <v>511</v>
      </c>
      <c r="W20">
        <v>680</v>
      </c>
      <c r="X20">
        <v>822</v>
      </c>
      <c r="Y20">
        <v>898</v>
      </c>
      <c r="Z20">
        <v>971</v>
      </c>
      <c r="AA20">
        <v>1046</v>
      </c>
      <c r="AB20">
        <v>433</v>
      </c>
      <c r="AC20">
        <v>464</v>
      </c>
      <c r="AD20">
        <v>557</v>
      </c>
      <c r="AE20">
        <v>643</v>
      </c>
      <c r="AF20">
        <v>718</v>
      </c>
      <c r="AG20">
        <v>792</v>
      </c>
      <c r="AH20">
        <v>866</v>
      </c>
      <c r="AI20">
        <v>556</v>
      </c>
      <c r="AJ20">
        <v>598</v>
      </c>
      <c r="AK20">
        <v>719</v>
      </c>
      <c r="AL20">
        <v>822</v>
      </c>
      <c r="AM20">
        <v>898</v>
      </c>
      <c r="AN20">
        <v>971</v>
      </c>
      <c r="AO20">
        <v>1046</v>
      </c>
    </row>
    <row r="21" spans="1:41" x14ac:dyDescent="0.2">
      <c r="A21" s="811">
        <v>22</v>
      </c>
      <c r="B21" s="811" t="s">
        <v>913</v>
      </c>
      <c r="C21" s="811" t="s">
        <v>922</v>
      </c>
      <c r="D21" s="811" t="s">
        <v>923</v>
      </c>
      <c r="E21" s="811" t="s">
        <v>978</v>
      </c>
      <c r="F21" t="s">
        <v>979</v>
      </c>
      <c r="G21">
        <v>647</v>
      </c>
      <c r="H21">
        <v>701</v>
      </c>
      <c r="I21">
        <v>842</v>
      </c>
      <c r="J21">
        <v>972</v>
      </c>
      <c r="K21">
        <v>1085</v>
      </c>
      <c r="L21">
        <v>1197</v>
      </c>
      <c r="M21">
        <v>1309</v>
      </c>
      <c r="N21">
        <v>647</v>
      </c>
      <c r="O21">
        <v>789</v>
      </c>
      <c r="P21">
        <v>906</v>
      </c>
      <c r="Q21">
        <v>1155</v>
      </c>
      <c r="R21">
        <v>1459</v>
      </c>
      <c r="S21">
        <v>1678</v>
      </c>
      <c r="T21">
        <v>1897</v>
      </c>
      <c r="U21">
        <v>647</v>
      </c>
      <c r="V21">
        <v>789</v>
      </c>
      <c r="W21">
        <v>906</v>
      </c>
      <c r="X21">
        <v>1155</v>
      </c>
      <c r="Y21">
        <v>1353</v>
      </c>
      <c r="Z21">
        <v>1474</v>
      </c>
      <c r="AA21">
        <v>1595</v>
      </c>
      <c r="AB21">
        <v>655</v>
      </c>
      <c r="AC21">
        <v>701</v>
      </c>
      <c r="AD21">
        <v>842</v>
      </c>
      <c r="AE21">
        <v>972</v>
      </c>
      <c r="AF21">
        <v>1085</v>
      </c>
      <c r="AG21">
        <v>1197</v>
      </c>
      <c r="AH21">
        <v>1309</v>
      </c>
      <c r="AI21">
        <v>831</v>
      </c>
      <c r="AJ21">
        <v>892</v>
      </c>
      <c r="AK21">
        <v>1072</v>
      </c>
      <c r="AL21">
        <v>1230</v>
      </c>
      <c r="AM21">
        <v>1353</v>
      </c>
      <c r="AN21">
        <v>1474</v>
      </c>
      <c r="AO21">
        <v>1595</v>
      </c>
    </row>
    <row r="22" spans="1:41" x14ac:dyDescent="0.2">
      <c r="A22" s="811">
        <v>22</v>
      </c>
      <c r="B22" s="811" t="s">
        <v>913</v>
      </c>
      <c r="C22" s="811" t="s">
        <v>980</v>
      </c>
      <c r="D22" s="811" t="s">
        <v>981</v>
      </c>
      <c r="E22" s="811" t="s">
        <v>982</v>
      </c>
      <c r="F22" t="s">
        <v>983</v>
      </c>
      <c r="G22">
        <v>433</v>
      </c>
      <c r="H22">
        <v>464</v>
      </c>
      <c r="I22">
        <v>557</v>
      </c>
      <c r="J22">
        <v>643</v>
      </c>
      <c r="K22">
        <v>718</v>
      </c>
      <c r="L22">
        <v>792</v>
      </c>
      <c r="M22">
        <v>866</v>
      </c>
      <c r="N22">
        <v>508</v>
      </c>
      <c r="O22">
        <v>511</v>
      </c>
      <c r="P22">
        <v>680</v>
      </c>
      <c r="Q22">
        <v>885</v>
      </c>
      <c r="R22">
        <v>1151</v>
      </c>
      <c r="S22">
        <v>1324</v>
      </c>
      <c r="T22">
        <v>1496</v>
      </c>
      <c r="U22">
        <v>508</v>
      </c>
      <c r="V22">
        <v>511</v>
      </c>
      <c r="W22">
        <v>680</v>
      </c>
      <c r="X22">
        <v>822</v>
      </c>
      <c r="Y22">
        <v>898</v>
      </c>
      <c r="Z22">
        <v>971</v>
      </c>
      <c r="AA22">
        <v>1046</v>
      </c>
      <c r="AB22">
        <v>433</v>
      </c>
      <c r="AC22">
        <v>464</v>
      </c>
      <c r="AD22">
        <v>557</v>
      </c>
      <c r="AE22">
        <v>643</v>
      </c>
      <c r="AF22">
        <v>718</v>
      </c>
      <c r="AG22">
        <v>792</v>
      </c>
      <c r="AH22">
        <v>866</v>
      </c>
      <c r="AI22">
        <v>556</v>
      </c>
      <c r="AJ22">
        <v>598</v>
      </c>
      <c r="AK22">
        <v>719</v>
      </c>
      <c r="AL22">
        <v>822</v>
      </c>
      <c r="AM22">
        <v>898</v>
      </c>
      <c r="AN22">
        <v>971</v>
      </c>
      <c r="AO22">
        <v>1046</v>
      </c>
    </row>
    <row r="23" spans="1:41" x14ac:dyDescent="0.2">
      <c r="A23" s="811">
        <v>22</v>
      </c>
      <c r="B23" s="811" t="s">
        <v>913</v>
      </c>
      <c r="C23" s="811" t="s">
        <v>984</v>
      </c>
      <c r="D23" s="811" t="s">
        <v>985</v>
      </c>
      <c r="E23" s="811" t="s">
        <v>986</v>
      </c>
      <c r="F23" t="s">
        <v>987</v>
      </c>
      <c r="G23">
        <v>433</v>
      </c>
      <c r="H23">
        <v>464</v>
      </c>
      <c r="I23">
        <v>557</v>
      </c>
      <c r="J23">
        <v>643</v>
      </c>
      <c r="K23">
        <v>718</v>
      </c>
      <c r="L23">
        <v>792</v>
      </c>
      <c r="M23">
        <v>866</v>
      </c>
      <c r="N23">
        <v>508</v>
      </c>
      <c r="O23">
        <v>511</v>
      </c>
      <c r="P23">
        <v>680</v>
      </c>
      <c r="Q23">
        <v>853</v>
      </c>
      <c r="R23">
        <v>1023</v>
      </c>
      <c r="S23">
        <v>1176</v>
      </c>
      <c r="T23">
        <v>1330</v>
      </c>
      <c r="U23">
        <v>508</v>
      </c>
      <c r="V23">
        <v>511</v>
      </c>
      <c r="W23">
        <v>680</v>
      </c>
      <c r="X23">
        <v>822</v>
      </c>
      <c r="Y23">
        <v>898</v>
      </c>
      <c r="Z23">
        <v>971</v>
      </c>
      <c r="AA23">
        <v>1046</v>
      </c>
      <c r="AB23">
        <v>433</v>
      </c>
      <c r="AC23">
        <v>464</v>
      </c>
      <c r="AD23">
        <v>557</v>
      </c>
      <c r="AE23">
        <v>643</v>
      </c>
      <c r="AF23">
        <v>718</v>
      </c>
      <c r="AG23">
        <v>792</v>
      </c>
      <c r="AH23">
        <v>866</v>
      </c>
      <c r="AI23">
        <v>556</v>
      </c>
      <c r="AJ23">
        <v>598</v>
      </c>
      <c r="AK23">
        <v>719</v>
      </c>
      <c r="AL23">
        <v>822</v>
      </c>
      <c r="AM23">
        <v>898</v>
      </c>
      <c r="AN23">
        <v>971</v>
      </c>
      <c r="AO23">
        <v>1046</v>
      </c>
    </row>
    <row r="24" spans="1:41" x14ac:dyDescent="0.2">
      <c r="A24" s="811">
        <v>22</v>
      </c>
      <c r="B24" s="811" t="s">
        <v>913</v>
      </c>
      <c r="C24" s="811" t="s">
        <v>988</v>
      </c>
      <c r="D24" s="811" t="s">
        <v>989</v>
      </c>
      <c r="E24" s="811" t="s">
        <v>990</v>
      </c>
      <c r="F24" t="s">
        <v>991</v>
      </c>
      <c r="G24">
        <v>485</v>
      </c>
      <c r="H24">
        <v>520</v>
      </c>
      <c r="I24">
        <v>623</v>
      </c>
      <c r="J24">
        <v>720</v>
      </c>
      <c r="K24">
        <v>803</v>
      </c>
      <c r="L24">
        <v>886</v>
      </c>
      <c r="M24">
        <v>969</v>
      </c>
      <c r="N24">
        <v>536</v>
      </c>
      <c r="O24">
        <v>600</v>
      </c>
      <c r="P24">
        <v>750</v>
      </c>
      <c r="Q24">
        <v>991</v>
      </c>
      <c r="R24">
        <v>1161</v>
      </c>
      <c r="S24">
        <v>1335</v>
      </c>
      <c r="T24">
        <v>1509</v>
      </c>
      <c r="U24">
        <v>536</v>
      </c>
      <c r="V24">
        <v>600</v>
      </c>
      <c r="W24">
        <v>750</v>
      </c>
      <c r="X24">
        <v>969</v>
      </c>
      <c r="Y24">
        <v>1061</v>
      </c>
      <c r="Z24">
        <v>1152</v>
      </c>
      <c r="AA24">
        <v>1243</v>
      </c>
      <c r="AB24">
        <v>485</v>
      </c>
      <c r="AC24">
        <v>520</v>
      </c>
      <c r="AD24">
        <v>623</v>
      </c>
      <c r="AE24">
        <v>720</v>
      </c>
      <c r="AF24">
        <v>803</v>
      </c>
      <c r="AG24">
        <v>886</v>
      </c>
      <c r="AH24">
        <v>969</v>
      </c>
      <c r="AI24">
        <v>655</v>
      </c>
      <c r="AJ24">
        <v>703</v>
      </c>
      <c r="AK24">
        <v>846</v>
      </c>
      <c r="AL24">
        <v>969</v>
      </c>
      <c r="AM24">
        <v>1061</v>
      </c>
      <c r="AN24">
        <v>1152</v>
      </c>
      <c r="AO24">
        <v>1243</v>
      </c>
    </row>
    <row r="25" spans="1:41" x14ac:dyDescent="0.2">
      <c r="A25" s="811">
        <v>22</v>
      </c>
      <c r="B25" s="811" t="s">
        <v>913</v>
      </c>
      <c r="C25" s="811" t="s">
        <v>992</v>
      </c>
      <c r="D25" s="811" t="s">
        <v>993</v>
      </c>
      <c r="E25" s="811" t="s">
        <v>994</v>
      </c>
      <c r="F25" t="s">
        <v>995</v>
      </c>
      <c r="G25">
        <v>505</v>
      </c>
      <c r="H25">
        <v>540</v>
      </c>
      <c r="I25">
        <v>648</v>
      </c>
      <c r="J25">
        <v>749</v>
      </c>
      <c r="K25">
        <v>836</v>
      </c>
      <c r="L25">
        <v>922</v>
      </c>
      <c r="M25">
        <v>1008</v>
      </c>
      <c r="N25">
        <v>580</v>
      </c>
      <c r="O25">
        <v>584</v>
      </c>
      <c r="P25">
        <v>759</v>
      </c>
      <c r="Q25">
        <v>952</v>
      </c>
      <c r="R25">
        <v>1047</v>
      </c>
      <c r="S25">
        <v>1204</v>
      </c>
      <c r="T25">
        <v>1361</v>
      </c>
      <c r="U25">
        <v>580</v>
      </c>
      <c r="V25">
        <v>584</v>
      </c>
      <c r="W25">
        <v>759</v>
      </c>
      <c r="X25">
        <v>940</v>
      </c>
      <c r="Y25">
        <v>1029</v>
      </c>
      <c r="Z25">
        <v>1117</v>
      </c>
      <c r="AA25">
        <v>1205</v>
      </c>
      <c r="AB25">
        <v>505</v>
      </c>
      <c r="AC25">
        <v>540</v>
      </c>
      <c r="AD25">
        <v>648</v>
      </c>
      <c r="AE25">
        <v>749</v>
      </c>
      <c r="AF25">
        <v>836</v>
      </c>
      <c r="AG25">
        <v>922</v>
      </c>
      <c r="AH25">
        <v>1008</v>
      </c>
      <c r="AI25">
        <v>636</v>
      </c>
      <c r="AJ25">
        <v>683</v>
      </c>
      <c r="AK25">
        <v>822</v>
      </c>
      <c r="AL25">
        <v>940</v>
      </c>
      <c r="AM25">
        <v>1029</v>
      </c>
      <c r="AN25">
        <v>1117</v>
      </c>
      <c r="AO25">
        <v>1205</v>
      </c>
    </row>
    <row r="26" spans="1:41" x14ac:dyDescent="0.2">
      <c r="A26" s="811">
        <v>22</v>
      </c>
      <c r="B26" s="811" t="s">
        <v>913</v>
      </c>
      <c r="C26" s="811" t="s">
        <v>996</v>
      </c>
      <c r="D26" s="811" t="s">
        <v>997</v>
      </c>
      <c r="E26" s="811" t="s">
        <v>998</v>
      </c>
      <c r="F26" t="s">
        <v>999</v>
      </c>
      <c r="G26">
        <v>510</v>
      </c>
      <c r="H26">
        <v>562</v>
      </c>
      <c r="I26">
        <v>675</v>
      </c>
      <c r="J26">
        <v>778</v>
      </c>
      <c r="K26">
        <v>868</v>
      </c>
      <c r="L26">
        <v>958</v>
      </c>
      <c r="M26">
        <v>1048</v>
      </c>
      <c r="N26">
        <v>510</v>
      </c>
      <c r="O26">
        <v>580</v>
      </c>
      <c r="P26">
        <v>708</v>
      </c>
      <c r="Q26">
        <v>888</v>
      </c>
      <c r="R26">
        <v>964</v>
      </c>
      <c r="S26">
        <v>1109</v>
      </c>
      <c r="T26">
        <v>1253</v>
      </c>
      <c r="U26">
        <v>510</v>
      </c>
      <c r="V26">
        <v>580</v>
      </c>
      <c r="W26">
        <v>708</v>
      </c>
      <c r="X26">
        <v>888</v>
      </c>
      <c r="Y26">
        <v>964</v>
      </c>
      <c r="Z26">
        <v>1109</v>
      </c>
      <c r="AA26">
        <v>1253</v>
      </c>
      <c r="AB26">
        <v>525</v>
      </c>
      <c r="AC26">
        <v>562</v>
      </c>
      <c r="AD26">
        <v>675</v>
      </c>
      <c r="AE26">
        <v>778</v>
      </c>
      <c r="AF26">
        <v>868</v>
      </c>
      <c r="AG26">
        <v>958</v>
      </c>
      <c r="AH26">
        <v>1048</v>
      </c>
      <c r="AI26">
        <v>679</v>
      </c>
      <c r="AJ26">
        <v>729</v>
      </c>
      <c r="AK26">
        <v>877</v>
      </c>
      <c r="AL26">
        <v>1004</v>
      </c>
      <c r="AM26">
        <v>1100</v>
      </c>
      <c r="AN26">
        <v>1196</v>
      </c>
      <c r="AO26">
        <v>1291</v>
      </c>
    </row>
    <row r="27" spans="1:41" x14ac:dyDescent="0.2">
      <c r="A27" s="811">
        <v>22</v>
      </c>
      <c r="B27" s="811" t="s">
        <v>913</v>
      </c>
      <c r="C27" s="811" t="s">
        <v>1000</v>
      </c>
      <c r="D27" s="811" t="s">
        <v>1001</v>
      </c>
      <c r="E27" s="811" t="s">
        <v>1002</v>
      </c>
      <c r="F27" t="s">
        <v>1003</v>
      </c>
      <c r="G27">
        <v>466</v>
      </c>
      <c r="H27">
        <v>499</v>
      </c>
      <c r="I27">
        <v>598</v>
      </c>
      <c r="J27">
        <v>691</v>
      </c>
      <c r="K27">
        <v>772</v>
      </c>
      <c r="L27">
        <v>851</v>
      </c>
      <c r="M27">
        <v>931</v>
      </c>
      <c r="N27">
        <v>529</v>
      </c>
      <c r="O27">
        <v>532</v>
      </c>
      <c r="P27">
        <v>680</v>
      </c>
      <c r="Q27">
        <v>927</v>
      </c>
      <c r="R27">
        <v>1198</v>
      </c>
      <c r="S27">
        <v>1378</v>
      </c>
      <c r="T27">
        <v>1557</v>
      </c>
      <c r="U27">
        <v>529</v>
      </c>
      <c r="V27">
        <v>532</v>
      </c>
      <c r="W27">
        <v>680</v>
      </c>
      <c r="X27">
        <v>890</v>
      </c>
      <c r="Y27">
        <v>974</v>
      </c>
      <c r="Z27">
        <v>1056</v>
      </c>
      <c r="AA27">
        <v>1138</v>
      </c>
      <c r="AB27">
        <v>466</v>
      </c>
      <c r="AC27">
        <v>499</v>
      </c>
      <c r="AD27">
        <v>598</v>
      </c>
      <c r="AE27">
        <v>691</v>
      </c>
      <c r="AF27">
        <v>772</v>
      </c>
      <c r="AG27">
        <v>851</v>
      </c>
      <c r="AH27">
        <v>931</v>
      </c>
      <c r="AI27">
        <v>603</v>
      </c>
      <c r="AJ27">
        <v>647</v>
      </c>
      <c r="AK27">
        <v>778</v>
      </c>
      <c r="AL27">
        <v>890</v>
      </c>
      <c r="AM27">
        <v>974</v>
      </c>
      <c r="AN27">
        <v>1056</v>
      </c>
      <c r="AO27">
        <v>1138</v>
      </c>
    </row>
    <row r="28" spans="1:41" x14ac:dyDescent="0.2">
      <c r="A28" s="811">
        <v>22</v>
      </c>
      <c r="B28" s="811" t="s">
        <v>913</v>
      </c>
      <c r="C28" s="811" t="s">
        <v>1004</v>
      </c>
      <c r="D28" s="811" t="s">
        <v>1005</v>
      </c>
      <c r="E28" s="811" t="s">
        <v>1006</v>
      </c>
      <c r="F28" t="s">
        <v>1007</v>
      </c>
      <c r="G28">
        <v>575</v>
      </c>
      <c r="H28">
        <v>615</v>
      </c>
      <c r="I28">
        <v>738</v>
      </c>
      <c r="J28">
        <v>853</v>
      </c>
      <c r="K28">
        <v>951</v>
      </c>
      <c r="L28">
        <v>1050</v>
      </c>
      <c r="M28">
        <v>1148</v>
      </c>
      <c r="N28">
        <v>708</v>
      </c>
      <c r="O28">
        <v>827</v>
      </c>
      <c r="P28">
        <v>996</v>
      </c>
      <c r="Q28">
        <v>1277</v>
      </c>
      <c r="R28">
        <v>1477</v>
      </c>
      <c r="S28">
        <v>1699</v>
      </c>
      <c r="T28">
        <v>1920</v>
      </c>
      <c r="U28">
        <v>708</v>
      </c>
      <c r="V28">
        <v>827</v>
      </c>
      <c r="W28">
        <v>996</v>
      </c>
      <c r="X28">
        <v>1147</v>
      </c>
      <c r="Y28">
        <v>1260</v>
      </c>
      <c r="Z28">
        <v>1371</v>
      </c>
      <c r="AA28">
        <v>1483</v>
      </c>
      <c r="AB28">
        <v>575</v>
      </c>
      <c r="AC28">
        <v>615</v>
      </c>
      <c r="AD28">
        <v>738</v>
      </c>
      <c r="AE28">
        <v>853</v>
      </c>
      <c r="AF28">
        <v>951</v>
      </c>
      <c r="AG28">
        <v>1050</v>
      </c>
      <c r="AH28">
        <v>1148</v>
      </c>
      <c r="AI28">
        <v>775</v>
      </c>
      <c r="AJ28">
        <v>832</v>
      </c>
      <c r="AK28">
        <v>1001</v>
      </c>
      <c r="AL28">
        <v>1147</v>
      </c>
      <c r="AM28">
        <v>1260</v>
      </c>
      <c r="AN28">
        <v>1371</v>
      </c>
      <c r="AO28">
        <v>1483</v>
      </c>
    </row>
    <row r="29" spans="1:41" x14ac:dyDescent="0.2">
      <c r="A29" s="811">
        <v>22</v>
      </c>
      <c r="B29" s="811" t="s">
        <v>913</v>
      </c>
      <c r="C29" s="811" t="s">
        <v>1008</v>
      </c>
      <c r="D29" s="811" t="s">
        <v>1009</v>
      </c>
      <c r="E29" s="811" t="s">
        <v>1010</v>
      </c>
      <c r="F29" t="s">
        <v>1011</v>
      </c>
      <c r="G29">
        <v>492</v>
      </c>
      <c r="H29">
        <v>527</v>
      </c>
      <c r="I29">
        <v>632</v>
      </c>
      <c r="J29">
        <v>730</v>
      </c>
      <c r="K29">
        <v>815</v>
      </c>
      <c r="L29">
        <v>899</v>
      </c>
      <c r="M29">
        <v>983</v>
      </c>
      <c r="N29">
        <v>576</v>
      </c>
      <c r="O29">
        <v>592</v>
      </c>
      <c r="P29">
        <v>680</v>
      </c>
      <c r="Q29">
        <v>970</v>
      </c>
      <c r="R29">
        <v>973</v>
      </c>
      <c r="S29">
        <v>1119</v>
      </c>
      <c r="T29">
        <v>1265</v>
      </c>
      <c r="U29">
        <v>576</v>
      </c>
      <c r="V29">
        <v>592</v>
      </c>
      <c r="W29">
        <v>680</v>
      </c>
      <c r="X29">
        <v>952</v>
      </c>
      <c r="Y29">
        <v>973</v>
      </c>
      <c r="Z29">
        <v>1119</v>
      </c>
      <c r="AA29">
        <v>1221</v>
      </c>
      <c r="AB29">
        <v>492</v>
      </c>
      <c r="AC29">
        <v>527</v>
      </c>
      <c r="AD29">
        <v>632</v>
      </c>
      <c r="AE29">
        <v>730</v>
      </c>
      <c r="AF29">
        <v>815</v>
      </c>
      <c r="AG29">
        <v>899</v>
      </c>
      <c r="AH29">
        <v>983</v>
      </c>
      <c r="AI29">
        <v>644</v>
      </c>
      <c r="AJ29">
        <v>691</v>
      </c>
      <c r="AK29">
        <v>832</v>
      </c>
      <c r="AL29">
        <v>952</v>
      </c>
      <c r="AM29">
        <v>1043</v>
      </c>
      <c r="AN29">
        <v>1131</v>
      </c>
      <c r="AO29">
        <v>1221</v>
      </c>
    </row>
    <row r="30" spans="1:41" x14ac:dyDescent="0.2">
      <c r="A30" s="811">
        <v>22</v>
      </c>
      <c r="B30" s="811" t="s">
        <v>913</v>
      </c>
      <c r="C30" s="811" t="s">
        <v>1012</v>
      </c>
      <c r="D30" s="811" t="s">
        <v>1013</v>
      </c>
      <c r="E30" s="811" t="s">
        <v>1014</v>
      </c>
      <c r="F30" t="s">
        <v>1015</v>
      </c>
      <c r="G30">
        <v>616</v>
      </c>
      <c r="H30">
        <v>660</v>
      </c>
      <c r="I30">
        <v>792</v>
      </c>
      <c r="J30">
        <v>915</v>
      </c>
      <c r="K30">
        <v>1021</v>
      </c>
      <c r="L30">
        <v>1126</v>
      </c>
      <c r="M30">
        <v>1232</v>
      </c>
      <c r="N30">
        <v>618</v>
      </c>
      <c r="O30">
        <v>751</v>
      </c>
      <c r="P30">
        <v>865</v>
      </c>
      <c r="Q30">
        <v>1127</v>
      </c>
      <c r="R30">
        <v>1259</v>
      </c>
      <c r="S30">
        <v>1448</v>
      </c>
      <c r="T30">
        <v>1637</v>
      </c>
      <c r="U30">
        <v>618</v>
      </c>
      <c r="V30">
        <v>751</v>
      </c>
      <c r="W30">
        <v>865</v>
      </c>
      <c r="X30">
        <v>1127</v>
      </c>
      <c r="Y30">
        <v>1259</v>
      </c>
      <c r="Z30">
        <v>1403</v>
      </c>
      <c r="AA30">
        <v>1518</v>
      </c>
      <c r="AB30">
        <v>616</v>
      </c>
      <c r="AC30">
        <v>660</v>
      </c>
      <c r="AD30">
        <v>792</v>
      </c>
      <c r="AE30">
        <v>915</v>
      </c>
      <c r="AF30">
        <v>1021</v>
      </c>
      <c r="AG30">
        <v>1126</v>
      </c>
      <c r="AH30">
        <v>1232</v>
      </c>
      <c r="AI30">
        <v>793</v>
      </c>
      <c r="AJ30">
        <v>851</v>
      </c>
      <c r="AK30">
        <v>1023</v>
      </c>
      <c r="AL30">
        <v>1173</v>
      </c>
      <c r="AM30">
        <v>1289</v>
      </c>
      <c r="AN30">
        <v>1403</v>
      </c>
      <c r="AO30">
        <v>1518</v>
      </c>
    </row>
    <row r="31" spans="1:41" x14ac:dyDescent="0.2">
      <c r="A31" s="811">
        <v>22</v>
      </c>
      <c r="B31" s="811" t="s">
        <v>913</v>
      </c>
      <c r="C31" s="811" t="s">
        <v>1016</v>
      </c>
      <c r="D31" s="811" t="s">
        <v>1017</v>
      </c>
      <c r="E31" s="811" t="s">
        <v>1018</v>
      </c>
      <c r="F31" t="s">
        <v>1019</v>
      </c>
      <c r="G31">
        <v>540</v>
      </c>
      <c r="H31">
        <v>578</v>
      </c>
      <c r="I31">
        <v>693</v>
      </c>
      <c r="J31">
        <v>801</v>
      </c>
      <c r="K31">
        <v>893</v>
      </c>
      <c r="L31">
        <v>986</v>
      </c>
      <c r="M31">
        <v>1078</v>
      </c>
      <c r="N31">
        <v>646</v>
      </c>
      <c r="O31">
        <v>650</v>
      </c>
      <c r="P31">
        <v>824</v>
      </c>
      <c r="Q31">
        <v>1156</v>
      </c>
      <c r="R31">
        <v>1406</v>
      </c>
      <c r="S31">
        <v>1617</v>
      </c>
      <c r="T31">
        <v>1828</v>
      </c>
      <c r="U31">
        <v>646</v>
      </c>
      <c r="V31">
        <v>650</v>
      </c>
      <c r="W31">
        <v>824</v>
      </c>
      <c r="X31">
        <v>1062</v>
      </c>
      <c r="Y31">
        <v>1165</v>
      </c>
      <c r="Z31">
        <v>1267</v>
      </c>
      <c r="AA31">
        <v>1369</v>
      </c>
      <c r="AB31">
        <v>540</v>
      </c>
      <c r="AC31">
        <v>578</v>
      </c>
      <c r="AD31">
        <v>693</v>
      </c>
      <c r="AE31">
        <v>801</v>
      </c>
      <c r="AF31">
        <v>893</v>
      </c>
      <c r="AG31">
        <v>986</v>
      </c>
      <c r="AH31">
        <v>1078</v>
      </c>
      <c r="AI31">
        <v>719</v>
      </c>
      <c r="AJ31">
        <v>771</v>
      </c>
      <c r="AK31">
        <v>927</v>
      </c>
      <c r="AL31">
        <v>1062</v>
      </c>
      <c r="AM31">
        <v>1165</v>
      </c>
      <c r="AN31">
        <v>1267</v>
      </c>
      <c r="AO31">
        <v>1369</v>
      </c>
    </row>
    <row r="32" spans="1:41" x14ac:dyDescent="0.2">
      <c r="A32" s="811">
        <v>22</v>
      </c>
      <c r="B32" s="811" t="s">
        <v>913</v>
      </c>
      <c r="C32" s="811" t="s">
        <v>1020</v>
      </c>
      <c r="D32" s="811" t="s">
        <v>1021</v>
      </c>
      <c r="E32" s="811" t="s">
        <v>1022</v>
      </c>
      <c r="F32" t="s">
        <v>1023</v>
      </c>
      <c r="G32">
        <v>500</v>
      </c>
      <c r="H32">
        <v>525</v>
      </c>
      <c r="I32">
        <v>642</v>
      </c>
      <c r="J32">
        <v>742</v>
      </c>
      <c r="K32">
        <v>828</v>
      </c>
      <c r="L32">
        <v>914</v>
      </c>
      <c r="M32">
        <v>999</v>
      </c>
      <c r="N32">
        <v>522</v>
      </c>
      <c r="O32">
        <v>525</v>
      </c>
      <c r="P32">
        <v>680</v>
      </c>
      <c r="Q32">
        <v>886</v>
      </c>
      <c r="R32">
        <v>1023</v>
      </c>
      <c r="S32">
        <v>1176</v>
      </c>
      <c r="T32">
        <v>1330</v>
      </c>
      <c r="U32">
        <v>522</v>
      </c>
      <c r="V32">
        <v>525</v>
      </c>
      <c r="W32">
        <v>680</v>
      </c>
      <c r="X32">
        <v>886</v>
      </c>
      <c r="Y32">
        <v>1023</v>
      </c>
      <c r="Z32">
        <v>1176</v>
      </c>
      <c r="AA32">
        <v>1305</v>
      </c>
      <c r="AB32">
        <v>500</v>
      </c>
      <c r="AC32">
        <v>535</v>
      </c>
      <c r="AD32">
        <v>642</v>
      </c>
      <c r="AE32">
        <v>742</v>
      </c>
      <c r="AF32">
        <v>828</v>
      </c>
      <c r="AG32">
        <v>914</v>
      </c>
      <c r="AH32">
        <v>999</v>
      </c>
      <c r="AI32">
        <v>686</v>
      </c>
      <c r="AJ32">
        <v>736</v>
      </c>
      <c r="AK32">
        <v>886</v>
      </c>
      <c r="AL32">
        <v>1014</v>
      </c>
      <c r="AM32">
        <v>1111</v>
      </c>
      <c r="AN32">
        <v>1208</v>
      </c>
      <c r="AO32">
        <v>1305</v>
      </c>
    </row>
    <row r="33" spans="1:41" x14ac:dyDescent="0.2">
      <c r="A33" s="811">
        <v>22</v>
      </c>
      <c r="B33" s="811" t="s">
        <v>913</v>
      </c>
      <c r="C33" s="811" t="s">
        <v>1024</v>
      </c>
      <c r="D33" s="811" t="s">
        <v>1025</v>
      </c>
      <c r="E33" s="811" t="s">
        <v>1026</v>
      </c>
      <c r="F33" t="s">
        <v>1027</v>
      </c>
      <c r="G33">
        <v>490</v>
      </c>
      <c r="H33">
        <v>525</v>
      </c>
      <c r="I33">
        <v>630</v>
      </c>
      <c r="J33">
        <v>726</v>
      </c>
      <c r="K33">
        <v>811</v>
      </c>
      <c r="L33">
        <v>895</v>
      </c>
      <c r="M33">
        <v>978</v>
      </c>
      <c r="N33">
        <v>648</v>
      </c>
      <c r="O33">
        <v>652</v>
      </c>
      <c r="P33">
        <v>783</v>
      </c>
      <c r="Q33">
        <v>1025</v>
      </c>
      <c r="R33">
        <v>1066</v>
      </c>
      <c r="S33">
        <v>1226</v>
      </c>
      <c r="T33">
        <v>1386</v>
      </c>
      <c r="U33">
        <v>638</v>
      </c>
      <c r="V33">
        <v>652</v>
      </c>
      <c r="W33">
        <v>783</v>
      </c>
      <c r="X33">
        <v>943</v>
      </c>
      <c r="Y33">
        <v>1033</v>
      </c>
      <c r="Z33">
        <v>1121</v>
      </c>
      <c r="AA33">
        <v>1208</v>
      </c>
      <c r="AB33">
        <v>490</v>
      </c>
      <c r="AC33">
        <v>525</v>
      </c>
      <c r="AD33">
        <v>630</v>
      </c>
      <c r="AE33">
        <v>726</v>
      </c>
      <c r="AF33">
        <v>811</v>
      </c>
      <c r="AG33">
        <v>895</v>
      </c>
      <c r="AH33">
        <v>978</v>
      </c>
      <c r="AI33">
        <v>638</v>
      </c>
      <c r="AJ33">
        <v>684</v>
      </c>
      <c r="AK33">
        <v>823</v>
      </c>
      <c r="AL33">
        <v>943</v>
      </c>
      <c r="AM33">
        <v>1033</v>
      </c>
      <c r="AN33">
        <v>1121</v>
      </c>
      <c r="AO33">
        <v>1208</v>
      </c>
    </row>
    <row r="34" spans="1:41" x14ac:dyDescent="0.2">
      <c r="A34" s="811">
        <v>22</v>
      </c>
      <c r="B34" s="811" t="s">
        <v>913</v>
      </c>
      <c r="C34" s="811" t="s">
        <v>922</v>
      </c>
      <c r="D34" s="811" t="s">
        <v>923</v>
      </c>
      <c r="E34" s="811" t="s">
        <v>1028</v>
      </c>
      <c r="F34" t="s">
        <v>1029</v>
      </c>
      <c r="G34">
        <v>647</v>
      </c>
      <c r="H34">
        <v>701</v>
      </c>
      <c r="I34">
        <v>842</v>
      </c>
      <c r="J34">
        <v>972</v>
      </c>
      <c r="K34">
        <v>1085</v>
      </c>
      <c r="L34">
        <v>1197</v>
      </c>
      <c r="M34">
        <v>1309</v>
      </c>
      <c r="N34">
        <v>647</v>
      </c>
      <c r="O34">
        <v>789</v>
      </c>
      <c r="P34">
        <v>906</v>
      </c>
      <c r="Q34">
        <v>1155</v>
      </c>
      <c r="R34">
        <v>1459</v>
      </c>
      <c r="S34">
        <v>1678</v>
      </c>
      <c r="T34">
        <v>1897</v>
      </c>
      <c r="U34">
        <v>647</v>
      </c>
      <c r="V34">
        <v>789</v>
      </c>
      <c r="W34">
        <v>906</v>
      </c>
      <c r="X34">
        <v>1155</v>
      </c>
      <c r="Y34">
        <v>1353</v>
      </c>
      <c r="Z34">
        <v>1474</v>
      </c>
      <c r="AA34">
        <v>1595</v>
      </c>
      <c r="AB34">
        <v>655</v>
      </c>
      <c r="AC34">
        <v>701</v>
      </c>
      <c r="AD34">
        <v>842</v>
      </c>
      <c r="AE34">
        <v>972</v>
      </c>
      <c r="AF34">
        <v>1085</v>
      </c>
      <c r="AG34">
        <v>1197</v>
      </c>
      <c r="AH34">
        <v>1309</v>
      </c>
      <c r="AI34">
        <v>831</v>
      </c>
      <c r="AJ34">
        <v>892</v>
      </c>
      <c r="AK34">
        <v>1072</v>
      </c>
      <c r="AL34">
        <v>1230</v>
      </c>
      <c r="AM34">
        <v>1353</v>
      </c>
      <c r="AN34">
        <v>1474</v>
      </c>
      <c r="AO34">
        <v>1595</v>
      </c>
    </row>
    <row r="35" spans="1:41" x14ac:dyDescent="0.2">
      <c r="A35" s="811">
        <v>22</v>
      </c>
      <c r="B35" s="811" t="s">
        <v>913</v>
      </c>
      <c r="C35" s="811" t="s">
        <v>1030</v>
      </c>
      <c r="D35" s="811" t="s">
        <v>1031</v>
      </c>
      <c r="E35" s="811" t="s">
        <v>1032</v>
      </c>
      <c r="F35" t="s">
        <v>1033</v>
      </c>
      <c r="G35">
        <v>433</v>
      </c>
      <c r="H35">
        <v>464</v>
      </c>
      <c r="I35">
        <v>557</v>
      </c>
      <c r="J35">
        <v>643</v>
      </c>
      <c r="K35">
        <v>718</v>
      </c>
      <c r="L35">
        <v>792</v>
      </c>
      <c r="M35">
        <v>866</v>
      </c>
      <c r="N35">
        <v>508</v>
      </c>
      <c r="O35">
        <v>511</v>
      </c>
      <c r="P35">
        <v>680</v>
      </c>
      <c r="Q35">
        <v>853</v>
      </c>
      <c r="R35">
        <v>926</v>
      </c>
      <c r="S35">
        <v>1065</v>
      </c>
      <c r="T35">
        <v>1204</v>
      </c>
      <c r="U35">
        <v>508</v>
      </c>
      <c r="V35">
        <v>511</v>
      </c>
      <c r="W35">
        <v>680</v>
      </c>
      <c r="X35">
        <v>822</v>
      </c>
      <c r="Y35">
        <v>898</v>
      </c>
      <c r="Z35">
        <v>971</v>
      </c>
      <c r="AA35">
        <v>1046</v>
      </c>
      <c r="AB35">
        <v>433</v>
      </c>
      <c r="AC35">
        <v>464</v>
      </c>
      <c r="AD35">
        <v>557</v>
      </c>
      <c r="AE35">
        <v>643</v>
      </c>
      <c r="AF35">
        <v>718</v>
      </c>
      <c r="AG35">
        <v>792</v>
      </c>
      <c r="AH35">
        <v>866</v>
      </c>
      <c r="AI35">
        <v>556</v>
      </c>
      <c r="AJ35">
        <v>598</v>
      </c>
      <c r="AK35">
        <v>719</v>
      </c>
      <c r="AL35">
        <v>822</v>
      </c>
      <c r="AM35">
        <v>898</v>
      </c>
      <c r="AN35">
        <v>971</v>
      </c>
      <c r="AO35">
        <v>1046</v>
      </c>
    </row>
    <row r="36" spans="1:41" x14ac:dyDescent="0.2">
      <c r="A36" s="811">
        <v>22</v>
      </c>
      <c r="B36" s="811" t="s">
        <v>913</v>
      </c>
      <c r="C36" s="811" t="s">
        <v>1034</v>
      </c>
      <c r="D36" s="811" t="s">
        <v>1035</v>
      </c>
      <c r="E36" s="811" t="s">
        <v>1036</v>
      </c>
      <c r="F36" t="s">
        <v>1037</v>
      </c>
      <c r="G36">
        <v>433</v>
      </c>
      <c r="H36">
        <v>464</v>
      </c>
      <c r="I36">
        <v>557</v>
      </c>
      <c r="J36">
        <v>643</v>
      </c>
      <c r="K36">
        <v>718</v>
      </c>
      <c r="L36">
        <v>792</v>
      </c>
      <c r="M36">
        <v>866</v>
      </c>
      <c r="N36">
        <v>576</v>
      </c>
      <c r="O36">
        <v>592</v>
      </c>
      <c r="P36">
        <v>680</v>
      </c>
      <c r="Q36">
        <v>925</v>
      </c>
      <c r="R36">
        <v>1023</v>
      </c>
      <c r="S36">
        <v>1176</v>
      </c>
      <c r="T36">
        <v>1330</v>
      </c>
      <c r="U36">
        <v>556</v>
      </c>
      <c r="V36">
        <v>592</v>
      </c>
      <c r="W36">
        <v>680</v>
      </c>
      <c r="X36">
        <v>822</v>
      </c>
      <c r="Y36">
        <v>898</v>
      </c>
      <c r="Z36">
        <v>971</v>
      </c>
      <c r="AA36">
        <v>1046</v>
      </c>
      <c r="AB36">
        <v>433</v>
      </c>
      <c r="AC36">
        <v>464</v>
      </c>
      <c r="AD36">
        <v>557</v>
      </c>
      <c r="AE36">
        <v>643</v>
      </c>
      <c r="AF36">
        <v>718</v>
      </c>
      <c r="AG36">
        <v>792</v>
      </c>
      <c r="AH36">
        <v>866</v>
      </c>
      <c r="AI36">
        <v>556</v>
      </c>
      <c r="AJ36">
        <v>598</v>
      </c>
      <c r="AK36">
        <v>719</v>
      </c>
      <c r="AL36">
        <v>822</v>
      </c>
      <c r="AM36">
        <v>898</v>
      </c>
      <c r="AN36">
        <v>971</v>
      </c>
      <c r="AO36">
        <v>1046</v>
      </c>
    </row>
    <row r="37" spans="1:41" x14ac:dyDescent="0.2">
      <c r="A37" s="811">
        <v>22</v>
      </c>
      <c r="B37" s="811" t="s">
        <v>913</v>
      </c>
      <c r="C37" s="811" t="s">
        <v>1038</v>
      </c>
      <c r="D37" s="811" t="s">
        <v>1039</v>
      </c>
      <c r="E37" s="811" t="s">
        <v>1040</v>
      </c>
      <c r="F37" t="s">
        <v>1041</v>
      </c>
      <c r="G37">
        <v>433</v>
      </c>
      <c r="H37">
        <v>464</v>
      </c>
      <c r="I37">
        <v>557</v>
      </c>
      <c r="J37">
        <v>643</v>
      </c>
      <c r="K37">
        <v>718</v>
      </c>
      <c r="L37">
        <v>792</v>
      </c>
      <c r="M37">
        <v>866</v>
      </c>
      <c r="N37">
        <v>573</v>
      </c>
      <c r="O37">
        <v>577</v>
      </c>
      <c r="P37">
        <v>767</v>
      </c>
      <c r="Q37">
        <v>1001</v>
      </c>
      <c r="R37">
        <v>1045</v>
      </c>
      <c r="S37">
        <v>1202</v>
      </c>
      <c r="T37">
        <v>1359</v>
      </c>
      <c r="U37">
        <v>573</v>
      </c>
      <c r="V37">
        <v>577</v>
      </c>
      <c r="W37">
        <v>743</v>
      </c>
      <c r="X37">
        <v>849</v>
      </c>
      <c r="Y37">
        <v>928</v>
      </c>
      <c r="Z37">
        <v>1005</v>
      </c>
      <c r="AA37">
        <v>1082</v>
      </c>
      <c r="AB37">
        <v>433</v>
      </c>
      <c r="AC37">
        <v>464</v>
      </c>
      <c r="AD37">
        <v>557</v>
      </c>
      <c r="AE37">
        <v>643</v>
      </c>
      <c r="AF37">
        <v>718</v>
      </c>
      <c r="AG37">
        <v>792</v>
      </c>
      <c r="AH37">
        <v>866</v>
      </c>
      <c r="AI37">
        <v>575</v>
      </c>
      <c r="AJ37">
        <v>618</v>
      </c>
      <c r="AK37">
        <v>743</v>
      </c>
      <c r="AL37">
        <v>849</v>
      </c>
      <c r="AM37">
        <v>928</v>
      </c>
      <c r="AN37">
        <v>1005</v>
      </c>
      <c r="AO37">
        <v>1082</v>
      </c>
    </row>
    <row r="38" spans="1:41" x14ac:dyDescent="0.2">
      <c r="A38" s="811">
        <v>22</v>
      </c>
      <c r="B38" s="811" t="s">
        <v>913</v>
      </c>
      <c r="C38" s="811" t="s">
        <v>1004</v>
      </c>
      <c r="D38" s="811" t="s">
        <v>1005</v>
      </c>
      <c r="E38" s="811" t="s">
        <v>1042</v>
      </c>
      <c r="F38" t="s">
        <v>1043</v>
      </c>
      <c r="G38">
        <v>575</v>
      </c>
      <c r="H38">
        <v>615</v>
      </c>
      <c r="I38">
        <v>738</v>
      </c>
      <c r="J38">
        <v>853</v>
      </c>
      <c r="K38">
        <v>951</v>
      </c>
      <c r="L38">
        <v>1050</v>
      </c>
      <c r="M38">
        <v>1148</v>
      </c>
      <c r="N38">
        <v>708</v>
      </c>
      <c r="O38">
        <v>827</v>
      </c>
      <c r="P38">
        <v>996</v>
      </c>
      <c r="Q38">
        <v>1277</v>
      </c>
      <c r="R38">
        <v>1477</v>
      </c>
      <c r="S38">
        <v>1699</v>
      </c>
      <c r="T38">
        <v>1920</v>
      </c>
      <c r="U38">
        <v>708</v>
      </c>
      <c r="V38">
        <v>827</v>
      </c>
      <c r="W38">
        <v>996</v>
      </c>
      <c r="X38">
        <v>1147</v>
      </c>
      <c r="Y38">
        <v>1260</v>
      </c>
      <c r="Z38">
        <v>1371</v>
      </c>
      <c r="AA38">
        <v>1483</v>
      </c>
      <c r="AB38">
        <v>575</v>
      </c>
      <c r="AC38">
        <v>615</v>
      </c>
      <c r="AD38">
        <v>738</v>
      </c>
      <c r="AE38">
        <v>853</v>
      </c>
      <c r="AF38">
        <v>951</v>
      </c>
      <c r="AG38">
        <v>1050</v>
      </c>
      <c r="AH38">
        <v>1148</v>
      </c>
      <c r="AI38">
        <v>775</v>
      </c>
      <c r="AJ38">
        <v>832</v>
      </c>
      <c r="AK38">
        <v>1001</v>
      </c>
      <c r="AL38">
        <v>1147</v>
      </c>
      <c r="AM38">
        <v>1260</v>
      </c>
      <c r="AN38">
        <v>1371</v>
      </c>
      <c r="AO38">
        <v>1483</v>
      </c>
    </row>
    <row r="39" spans="1:41" x14ac:dyDescent="0.2">
      <c r="A39" s="811">
        <v>22</v>
      </c>
      <c r="B39" s="811" t="s">
        <v>913</v>
      </c>
      <c r="C39" s="811" t="s">
        <v>1044</v>
      </c>
      <c r="D39" s="811" t="s">
        <v>1045</v>
      </c>
      <c r="E39" s="811" t="s">
        <v>1046</v>
      </c>
      <c r="F39" t="s">
        <v>1047</v>
      </c>
      <c r="G39">
        <v>461</v>
      </c>
      <c r="H39">
        <v>493</v>
      </c>
      <c r="I39">
        <v>592</v>
      </c>
      <c r="J39">
        <v>684</v>
      </c>
      <c r="K39">
        <v>763</v>
      </c>
      <c r="L39">
        <v>842</v>
      </c>
      <c r="M39">
        <v>920</v>
      </c>
      <c r="N39">
        <v>563</v>
      </c>
      <c r="O39">
        <v>566</v>
      </c>
      <c r="P39">
        <v>728</v>
      </c>
      <c r="Q39">
        <v>926</v>
      </c>
      <c r="R39">
        <v>1004</v>
      </c>
      <c r="S39">
        <v>1155</v>
      </c>
      <c r="T39">
        <v>1305</v>
      </c>
      <c r="U39">
        <v>563</v>
      </c>
      <c r="V39">
        <v>566</v>
      </c>
      <c r="W39">
        <v>728</v>
      </c>
      <c r="X39">
        <v>926</v>
      </c>
      <c r="Y39">
        <v>1004</v>
      </c>
      <c r="Z39">
        <v>1127</v>
      </c>
      <c r="AA39">
        <v>1215</v>
      </c>
      <c r="AB39">
        <v>461</v>
      </c>
      <c r="AC39">
        <v>493</v>
      </c>
      <c r="AD39">
        <v>592</v>
      </c>
      <c r="AE39">
        <v>684</v>
      </c>
      <c r="AF39">
        <v>763</v>
      </c>
      <c r="AG39">
        <v>842</v>
      </c>
      <c r="AH39">
        <v>920</v>
      </c>
      <c r="AI39">
        <v>641</v>
      </c>
      <c r="AJ39">
        <v>688</v>
      </c>
      <c r="AK39">
        <v>828</v>
      </c>
      <c r="AL39">
        <v>948</v>
      </c>
      <c r="AM39">
        <v>1038</v>
      </c>
      <c r="AN39">
        <v>1127</v>
      </c>
      <c r="AO39">
        <v>1215</v>
      </c>
    </row>
    <row r="40" spans="1:41" x14ac:dyDescent="0.2">
      <c r="A40" s="811">
        <v>22</v>
      </c>
      <c r="B40" s="811" t="s">
        <v>913</v>
      </c>
      <c r="C40" s="811" t="s">
        <v>1004</v>
      </c>
      <c r="D40" s="811" t="s">
        <v>1005</v>
      </c>
      <c r="E40" s="811" t="s">
        <v>1048</v>
      </c>
      <c r="F40" t="s">
        <v>1049</v>
      </c>
      <c r="G40">
        <v>575</v>
      </c>
      <c r="H40">
        <v>615</v>
      </c>
      <c r="I40">
        <v>738</v>
      </c>
      <c r="J40">
        <v>853</v>
      </c>
      <c r="K40">
        <v>951</v>
      </c>
      <c r="L40">
        <v>1050</v>
      </c>
      <c r="M40">
        <v>1148</v>
      </c>
      <c r="N40">
        <v>708</v>
      </c>
      <c r="O40">
        <v>827</v>
      </c>
      <c r="P40">
        <v>996</v>
      </c>
      <c r="Q40">
        <v>1277</v>
      </c>
      <c r="R40">
        <v>1477</v>
      </c>
      <c r="S40">
        <v>1699</v>
      </c>
      <c r="T40">
        <v>1920</v>
      </c>
      <c r="U40">
        <v>708</v>
      </c>
      <c r="V40">
        <v>827</v>
      </c>
      <c r="W40">
        <v>996</v>
      </c>
      <c r="X40">
        <v>1147</v>
      </c>
      <c r="Y40">
        <v>1260</v>
      </c>
      <c r="Z40">
        <v>1371</v>
      </c>
      <c r="AA40">
        <v>1483</v>
      </c>
      <c r="AB40">
        <v>575</v>
      </c>
      <c r="AC40">
        <v>615</v>
      </c>
      <c r="AD40">
        <v>738</v>
      </c>
      <c r="AE40">
        <v>853</v>
      </c>
      <c r="AF40">
        <v>951</v>
      </c>
      <c r="AG40">
        <v>1050</v>
      </c>
      <c r="AH40">
        <v>1148</v>
      </c>
      <c r="AI40">
        <v>775</v>
      </c>
      <c r="AJ40">
        <v>832</v>
      </c>
      <c r="AK40">
        <v>1001</v>
      </c>
      <c r="AL40">
        <v>1147</v>
      </c>
      <c r="AM40">
        <v>1260</v>
      </c>
      <c r="AN40">
        <v>1371</v>
      </c>
      <c r="AO40">
        <v>1483</v>
      </c>
    </row>
    <row r="41" spans="1:41" x14ac:dyDescent="0.2">
      <c r="A41" s="811">
        <v>22</v>
      </c>
      <c r="B41" s="811" t="s">
        <v>913</v>
      </c>
      <c r="C41" s="811" t="s">
        <v>922</v>
      </c>
      <c r="D41" s="811" t="s">
        <v>923</v>
      </c>
      <c r="E41" s="811" t="s">
        <v>1050</v>
      </c>
      <c r="F41" t="s">
        <v>1051</v>
      </c>
      <c r="G41">
        <v>647</v>
      </c>
      <c r="H41">
        <v>701</v>
      </c>
      <c r="I41">
        <v>842</v>
      </c>
      <c r="J41">
        <v>972</v>
      </c>
      <c r="K41">
        <v>1085</v>
      </c>
      <c r="L41">
        <v>1197</v>
      </c>
      <c r="M41">
        <v>1309</v>
      </c>
      <c r="N41">
        <v>647</v>
      </c>
      <c r="O41">
        <v>789</v>
      </c>
      <c r="P41">
        <v>906</v>
      </c>
      <c r="Q41">
        <v>1155</v>
      </c>
      <c r="R41">
        <v>1459</v>
      </c>
      <c r="S41">
        <v>1678</v>
      </c>
      <c r="T41">
        <v>1897</v>
      </c>
      <c r="U41">
        <v>647</v>
      </c>
      <c r="V41">
        <v>789</v>
      </c>
      <c r="W41">
        <v>906</v>
      </c>
      <c r="X41">
        <v>1155</v>
      </c>
      <c r="Y41">
        <v>1353</v>
      </c>
      <c r="Z41">
        <v>1474</v>
      </c>
      <c r="AA41">
        <v>1595</v>
      </c>
      <c r="AB41">
        <v>655</v>
      </c>
      <c r="AC41">
        <v>701</v>
      </c>
      <c r="AD41">
        <v>842</v>
      </c>
      <c r="AE41">
        <v>972</v>
      </c>
      <c r="AF41">
        <v>1085</v>
      </c>
      <c r="AG41">
        <v>1197</v>
      </c>
      <c r="AH41">
        <v>1309</v>
      </c>
      <c r="AI41">
        <v>831</v>
      </c>
      <c r="AJ41">
        <v>892</v>
      </c>
      <c r="AK41">
        <v>1072</v>
      </c>
      <c r="AL41">
        <v>1230</v>
      </c>
      <c r="AM41">
        <v>1353</v>
      </c>
      <c r="AN41">
        <v>1474</v>
      </c>
      <c r="AO41">
        <v>1595</v>
      </c>
    </row>
    <row r="42" spans="1:41" x14ac:dyDescent="0.2">
      <c r="A42" s="811">
        <v>22</v>
      </c>
      <c r="B42" s="811" t="s">
        <v>913</v>
      </c>
      <c r="C42" s="811" t="s">
        <v>988</v>
      </c>
      <c r="D42" s="811" t="s">
        <v>989</v>
      </c>
      <c r="E42" s="811" t="s">
        <v>1052</v>
      </c>
      <c r="F42" t="s">
        <v>1053</v>
      </c>
      <c r="G42">
        <v>485</v>
      </c>
      <c r="H42">
        <v>520</v>
      </c>
      <c r="I42">
        <v>623</v>
      </c>
      <c r="J42">
        <v>720</v>
      </c>
      <c r="K42">
        <v>803</v>
      </c>
      <c r="L42">
        <v>886</v>
      </c>
      <c r="M42">
        <v>969</v>
      </c>
      <c r="N42">
        <v>536</v>
      </c>
      <c r="O42">
        <v>600</v>
      </c>
      <c r="P42">
        <v>750</v>
      </c>
      <c r="Q42">
        <v>991</v>
      </c>
      <c r="R42">
        <v>1161</v>
      </c>
      <c r="S42">
        <v>1335</v>
      </c>
      <c r="T42">
        <v>1509</v>
      </c>
      <c r="U42">
        <v>536</v>
      </c>
      <c r="V42">
        <v>600</v>
      </c>
      <c r="W42">
        <v>750</v>
      </c>
      <c r="X42">
        <v>969</v>
      </c>
      <c r="Y42">
        <v>1061</v>
      </c>
      <c r="Z42">
        <v>1152</v>
      </c>
      <c r="AA42">
        <v>1243</v>
      </c>
      <c r="AB42">
        <v>485</v>
      </c>
      <c r="AC42">
        <v>520</v>
      </c>
      <c r="AD42">
        <v>623</v>
      </c>
      <c r="AE42">
        <v>720</v>
      </c>
      <c r="AF42">
        <v>803</v>
      </c>
      <c r="AG42">
        <v>886</v>
      </c>
      <c r="AH42">
        <v>969</v>
      </c>
      <c r="AI42">
        <v>655</v>
      </c>
      <c r="AJ42">
        <v>703</v>
      </c>
      <c r="AK42">
        <v>846</v>
      </c>
      <c r="AL42">
        <v>969</v>
      </c>
      <c r="AM42">
        <v>1061</v>
      </c>
      <c r="AN42">
        <v>1152</v>
      </c>
      <c r="AO42">
        <v>1243</v>
      </c>
    </row>
    <row r="43" spans="1:41" x14ac:dyDescent="0.2">
      <c r="A43" s="811">
        <v>22</v>
      </c>
      <c r="B43" s="811" t="s">
        <v>913</v>
      </c>
      <c r="C43" s="811" t="s">
        <v>1054</v>
      </c>
      <c r="D43" s="811" t="s">
        <v>1055</v>
      </c>
      <c r="E43" s="811" t="s">
        <v>1056</v>
      </c>
      <c r="F43" t="s">
        <v>1057</v>
      </c>
      <c r="G43">
        <v>437</v>
      </c>
      <c r="H43">
        <v>468</v>
      </c>
      <c r="I43">
        <v>562</v>
      </c>
      <c r="J43">
        <v>648</v>
      </c>
      <c r="K43">
        <v>723</v>
      </c>
      <c r="L43">
        <v>798</v>
      </c>
      <c r="M43">
        <v>873</v>
      </c>
      <c r="N43">
        <v>568</v>
      </c>
      <c r="O43">
        <v>571</v>
      </c>
      <c r="P43">
        <v>760</v>
      </c>
      <c r="Q43">
        <v>953</v>
      </c>
      <c r="R43">
        <v>1035</v>
      </c>
      <c r="S43">
        <v>1190</v>
      </c>
      <c r="T43">
        <v>1346</v>
      </c>
      <c r="U43">
        <v>558</v>
      </c>
      <c r="V43">
        <v>571</v>
      </c>
      <c r="W43">
        <v>721</v>
      </c>
      <c r="X43">
        <v>823</v>
      </c>
      <c r="Y43">
        <v>899</v>
      </c>
      <c r="Z43">
        <v>973</v>
      </c>
      <c r="AA43">
        <v>1047</v>
      </c>
      <c r="AB43">
        <v>437</v>
      </c>
      <c r="AC43">
        <v>468</v>
      </c>
      <c r="AD43">
        <v>562</v>
      </c>
      <c r="AE43">
        <v>648</v>
      </c>
      <c r="AF43">
        <v>723</v>
      </c>
      <c r="AG43">
        <v>798</v>
      </c>
      <c r="AH43">
        <v>873</v>
      </c>
      <c r="AI43">
        <v>558</v>
      </c>
      <c r="AJ43">
        <v>599</v>
      </c>
      <c r="AK43">
        <v>721</v>
      </c>
      <c r="AL43">
        <v>823</v>
      </c>
      <c r="AM43">
        <v>899</v>
      </c>
      <c r="AN43">
        <v>973</v>
      </c>
      <c r="AO43">
        <v>1047</v>
      </c>
    </row>
    <row r="44" spans="1:41" x14ac:dyDescent="0.2">
      <c r="A44" s="811">
        <v>22</v>
      </c>
      <c r="B44" s="811" t="s">
        <v>913</v>
      </c>
      <c r="C44" s="811" t="s">
        <v>1058</v>
      </c>
      <c r="D44" s="811" t="s">
        <v>1059</v>
      </c>
      <c r="E44" s="811" t="s">
        <v>1060</v>
      </c>
      <c r="F44" t="s">
        <v>1061</v>
      </c>
      <c r="G44">
        <v>433</v>
      </c>
      <c r="H44">
        <v>464</v>
      </c>
      <c r="I44">
        <v>557</v>
      </c>
      <c r="J44">
        <v>643</v>
      </c>
      <c r="K44">
        <v>718</v>
      </c>
      <c r="L44">
        <v>792</v>
      </c>
      <c r="M44">
        <v>866</v>
      </c>
      <c r="N44">
        <v>508</v>
      </c>
      <c r="O44">
        <v>511</v>
      </c>
      <c r="P44">
        <v>680</v>
      </c>
      <c r="Q44">
        <v>853</v>
      </c>
      <c r="R44">
        <v>1198</v>
      </c>
      <c r="S44">
        <v>1378</v>
      </c>
      <c r="T44">
        <v>1557</v>
      </c>
      <c r="U44">
        <v>508</v>
      </c>
      <c r="V44">
        <v>511</v>
      </c>
      <c r="W44">
        <v>680</v>
      </c>
      <c r="X44">
        <v>822</v>
      </c>
      <c r="Y44">
        <v>898</v>
      </c>
      <c r="Z44">
        <v>971</v>
      </c>
      <c r="AA44">
        <v>1046</v>
      </c>
      <c r="AB44">
        <v>433</v>
      </c>
      <c r="AC44">
        <v>464</v>
      </c>
      <c r="AD44">
        <v>557</v>
      </c>
      <c r="AE44">
        <v>643</v>
      </c>
      <c r="AF44">
        <v>718</v>
      </c>
      <c r="AG44">
        <v>792</v>
      </c>
      <c r="AH44">
        <v>866</v>
      </c>
      <c r="AI44">
        <v>556</v>
      </c>
      <c r="AJ44">
        <v>598</v>
      </c>
      <c r="AK44">
        <v>719</v>
      </c>
      <c r="AL44">
        <v>822</v>
      </c>
      <c r="AM44">
        <v>898</v>
      </c>
      <c r="AN44">
        <v>971</v>
      </c>
      <c r="AO44">
        <v>1046</v>
      </c>
    </row>
    <row r="45" spans="1:41" x14ac:dyDescent="0.2">
      <c r="A45" s="811">
        <v>22</v>
      </c>
      <c r="B45" s="811" t="s">
        <v>913</v>
      </c>
      <c r="C45" s="811" t="s">
        <v>1062</v>
      </c>
      <c r="D45" s="811" t="s">
        <v>1063</v>
      </c>
      <c r="E45" s="811" t="s">
        <v>1064</v>
      </c>
      <c r="F45" t="s">
        <v>1065</v>
      </c>
      <c r="G45">
        <v>470</v>
      </c>
      <c r="H45">
        <v>503</v>
      </c>
      <c r="I45">
        <v>603</v>
      </c>
      <c r="J45">
        <v>696</v>
      </c>
      <c r="K45">
        <v>777</v>
      </c>
      <c r="L45">
        <v>858</v>
      </c>
      <c r="M45">
        <v>938</v>
      </c>
      <c r="N45">
        <v>553</v>
      </c>
      <c r="O45">
        <v>592</v>
      </c>
      <c r="P45">
        <v>680</v>
      </c>
      <c r="Q45">
        <v>889</v>
      </c>
      <c r="R45">
        <v>1198</v>
      </c>
      <c r="S45">
        <v>1378</v>
      </c>
      <c r="T45">
        <v>1557</v>
      </c>
      <c r="U45">
        <v>553</v>
      </c>
      <c r="V45">
        <v>592</v>
      </c>
      <c r="W45">
        <v>680</v>
      </c>
      <c r="X45">
        <v>872</v>
      </c>
      <c r="Y45">
        <v>954</v>
      </c>
      <c r="Z45">
        <v>1034</v>
      </c>
      <c r="AA45">
        <v>1114</v>
      </c>
      <c r="AB45">
        <v>470</v>
      </c>
      <c r="AC45">
        <v>503</v>
      </c>
      <c r="AD45">
        <v>603</v>
      </c>
      <c r="AE45">
        <v>696</v>
      </c>
      <c r="AF45">
        <v>777</v>
      </c>
      <c r="AG45">
        <v>858</v>
      </c>
      <c r="AH45">
        <v>938</v>
      </c>
      <c r="AI45">
        <v>590</v>
      </c>
      <c r="AJ45">
        <v>634</v>
      </c>
      <c r="AK45">
        <v>763</v>
      </c>
      <c r="AL45">
        <v>872</v>
      </c>
      <c r="AM45">
        <v>954</v>
      </c>
      <c r="AN45">
        <v>1034</v>
      </c>
      <c r="AO45">
        <v>1114</v>
      </c>
    </row>
    <row r="46" spans="1:41" x14ac:dyDescent="0.2">
      <c r="A46" s="811">
        <v>22</v>
      </c>
      <c r="B46" s="811" t="s">
        <v>913</v>
      </c>
      <c r="C46" s="811" t="s">
        <v>1004</v>
      </c>
      <c r="D46" s="811" t="s">
        <v>1005</v>
      </c>
      <c r="E46" s="811" t="s">
        <v>1066</v>
      </c>
      <c r="F46" t="s">
        <v>1067</v>
      </c>
      <c r="G46">
        <v>575</v>
      </c>
      <c r="H46">
        <v>615</v>
      </c>
      <c r="I46">
        <v>738</v>
      </c>
      <c r="J46">
        <v>853</v>
      </c>
      <c r="K46">
        <v>951</v>
      </c>
      <c r="L46">
        <v>1050</v>
      </c>
      <c r="M46">
        <v>1148</v>
      </c>
      <c r="N46">
        <v>708</v>
      </c>
      <c r="O46">
        <v>827</v>
      </c>
      <c r="P46">
        <v>996</v>
      </c>
      <c r="Q46">
        <v>1277</v>
      </c>
      <c r="R46">
        <v>1477</v>
      </c>
      <c r="S46">
        <v>1699</v>
      </c>
      <c r="T46">
        <v>1920</v>
      </c>
      <c r="U46">
        <v>708</v>
      </c>
      <c r="V46">
        <v>827</v>
      </c>
      <c r="W46">
        <v>996</v>
      </c>
      <c r="X46">
        <v>1147</v>
      </c>
      <c r="Y46">
        <v>1260</v>
      </c>
      <c r="Z46">
        <v>1371</v>
      </c>
      <c r="AA46">
        <v>1483</v>
      </c>
      <c r="AB46">
        <v>575</v>
      </c>
      <c r="AC46">
        <v>615</v>
      </c>
      <c r="AD46">
        <v>738</v>
      </c>
      <c r="AE46">
        <v>853</v>
      </c>
      <c r="AF46">
        <v>951</v>
      </c>
      <c r="AG46">
        <v>1050</v>
      </c>
      <c r="AH46">
        <v>1148</v>
      </c>
      <c r="AI46">
        <v>775</v>
      </c>
      <c r="AJ46">
        <v>832</v>
      </c>
      <c r="AK46">
        <v>1001</v>
      </c>
      <c r="AL46">
        <v>1147</v>
      </c>
      <c r="AM46">
        <v>1260</v>
      </c>
      <c r="AN46">
        <v>1371</v>
      </c>
      <c r="AO46">
        <v>1483</v>
      </c>
    </row>
    <row r="47" spans="1:41" x14ac:dyDescent="0.2">
      <c r="A47" s="811">
        <v>22</v>
      </c>
      <c r="B47" s="811" t="s">
        <v>913</v>
      </c>
      <c r="C47" s="811" t="s">
        <v>1004</v>
      </c>
      <c r="D47" s="811" t="s">
        <v>1005</v>
      </c>
      <c r="E47" s="811" t="s">
        <v>1068</v>
      </c>
      <c r="F47" t="s">
        <v>1069</v>
      </c>
      <c r="G47">
        <v>575</v>
      </c>
      <c r="H47">
        <v>615</v>
      </c>
      <c r="I47">
        <v>738</v>
      </c>
      <c r="J47">
        <v>853</v>
      </c>
      <c r="K47">
        <v>951</v>
      </c>
      <c r="L47">
        <v>1050</v>
      </c>
      <c r="M47">
        <v>1148</v>
      </c>
      <c r="N47">
        <v>708</v>
      </c>
      <c r="O47">
        <v>827</v>
      </c>
      <c r="P47">
        <v>996</v>
      </c>
      <c r="Q47">
        <v>1277</v>
      </c>
      <c r="R47">
        <v>1477</v>
      </c>
      <c r="S47">
        <v>1699</v>
      </c>
      <c r="T47">
        <v>1920</v>
      </c>
      <c r="U47">
        <v>708</v>
      </c>
      <c r="V47">
        <v>827</v>
      </c>
      <c r="W47">
        <v>996</v>
      </c>
      <c r="X47">
        <v>1147</v>
      </c>
      <c r="Y47">
        <v>1260</v>
      </c>
      <c r="Z47">
        <v>1371</v>
      </c>
      <c r="AA47">
        <v>1483</v>
      </c>
      <c r="AB47">
        <v>575</v>
      </c>
      <c r="AC47">
        <v>615</v>
      </c>
      <c r="AD47">
        <v>738</v>
      </c>
      <c r="AE47">
        <v>853</v>
      </c>
      <c r="AF47">
        <v>951</v>
      </c>
      <c r="AG47">
        <v>1050</v>
      </c>
      <c r="AH47">
        <v>1148</v>
      </c>
      <c r="AI47">
        <v>775</v>
      </c>
      <c r="AJ47">
        <v>832</v>
      </c>
      <c r="AK47">
        <v>1001</v>
      </c>
      <c r="AL47">
        <v>1147</v>
      </c>
      <c r="AM47">
        <v>1260</v>
      </c>
      <c r="AN47">
        <v>1371</v>
      </c>
      <c r="AO47">
        <v>1483</v>
      </c>
    </row>
    <row r="48" spans="1:41" x14ac:dyDescent="0.2">
      <c r="A48" s="811">
        <v>22</v>
      </c>
      <c r="B48" s="811" t="s">
        <v>913</v>
      </c>
      <c r="C48" s="811" t="s">
        <v>922</v>
      </c>
      <c r="D48" s="811" t="s">
        <v>923</v>
      </c>
      <c r="E48" s="811" t="s">
        <v>1070</v>
      </c>
      <c r="F48" t="s">
        <v>1071</v>
      </c>
      <c r="G48">
        <v>647</v>
      </c>
      <c r="H48">
        <v>701</v>
      </c>
      <c r="I48">
        <v>842</v>
      </c>
      <c r="J48">
        <v>972</v>
      </c>
      <c r="K48">
        <v>1085</v>
      </c>
      <c r="L48">
        <v>1197</v>
      </c>
      <c r="M48">
        <v>1309</v>
      </c>
      <c r="N48">
        <v>647</v>
      </c>
      <c r="O48">
        <v>789</v>
      </c>
      <c r="P48">
        <v>906</v>
      </c>
      <c r="Q48">
        <v>1155</v>
      </c>
      <c r="R48">
        <v>1459</v>
      </c>
      <c r="S48">
        <v>1678</v>
      </c>
      <c r="T48">
        <v>1897</v>
      </c>
      <c r="U48">
        <v>647</v>
      </c>
      <c r="V48">
        <v>789</v>
      </c>
      <c r="W48">
        <v>906</v>
      </c>
      <c r="X48">
        <v>1155</v>
      </c>
      <c r="Y48">
        <v>1353</v>
      </c>
      <c r="Z48">
        <v>1474</v>
      </c>
      <c r="AA48">
        <v>1595</v>
      </c>
      <c r="AB48">
        <v>655</v>
      </c>
      <c r="AC48">
        <v>701</v>
      </c>
      <c r="AD48">
        <v>842</v>
      </c>
      <c r="AE48">
        <v>972</v>
      </c>
      <c r="AF48">
        <v>1085</v>
      </c>
      <c r="AG48">
        <v>1197</v>
      </c>
      <c r="AH48">
        <v>1309</v>
      </c>
      <c r="AI48">
        <v>831</v>
      </c>
      <c r="AJ48">
        <v>892</v>
      </c>
      <c r="AK48">
        <v>1072</v>
      </c>
      <c r="AL48">
        <v>1230</v>
      </c>
      <c r="AM48">
        <v>1353</v>
      </c>
      <c r="AN48">
        <v>1474</v>
      </c>
      <c r="AO48">
        <v>1595</v>
      </c>
    </row>
    <row r="49" spans="1:41" x14ac:dyDescent="0.2">
      <c r="A49" s="811">
        <v>22</v>
      </c>
      <c r="B49" s="811" t="s">
        <v>913</v>
      </c>
      <c r="C49" s="811" t="s">
        <v>1072</v>
      </c>
      <c r="D49" s="811" t="s">
        <v>1073</v>
      </c>
      <c r="E49" s="811" t="s">
        <v>1074</v>
      </c>
      <c r="F49" t="s">
        <v>1075</v>
      </c>
      <c r="G49">
        <v>484</v>
      </c>
      <c r="H49">
        <v>592</v>
      </c>
      <c r="I49">
        <v>680</v>
      </c>
      <c r="J49">
        <v>870</v>
      </c>
      <c r="K49">
        <v>971</v>
      </c>
      <c r="L49">
        <v>1071</v>
      </c>
      <c r="M49">
        <v>1170</v>
      </c>
      <c r="N49">
        <v>484</v>
      </c>
      <c r="O49">
        <v>592</v>
      </c>
      <c r="P49">
        <v>680</v>
      </c>
      <c r="Q49">
        <v>982</v>
      </c>
      <c r="R49">
        <v>1198</v>
      </c>
      <c r="S49">
        <v>1378</v>
      </c>
      <c r="T49">
        <v>1557</v>
      </c>
      <c r="U49">
        <v>484</v>
      </c>
      <c r="V49">
        <v>592</v>
      </c>
      <c r="W49">
        <v>680</v>
      </c>
      <c r="X49">
        <v>982</v>
      </c>
      <c r="Y49">
        <v>1198</v>
      </c>
      <c r="Z49">
        <v>1378</v>
      </c>
      <c r="AA49">
        <v>1508</v>
      </c>
      <c r="AB49">
        <v>586</v>
      </c>
      <c r="AC49">
        <v>628</v>
      </c>
      <c r="AD49">
        <v>753</v>
      </c>
      <c r="AE49">
        <v>870</v>
      </c>
      <c r="AF49">
        <v>971</v>
      </c>
      <c r="AG49">
        <v>1071</v>
      </c>
      <c r="AH49">
        <v>1170</v>
      </c>
      <c r="AI49">
        <v>788</v>
      </c>
      <c r="AJ49">
        <v>845</v>
      </c>
      <c r="AK49">
        <v>1016</v>
      </c>
      <c r="AL49">
        <v>1165</v>
      </c>
      <c r="AM49">
        <v>1280</v>
      </c>
      <c r="AN49">
        <v>1394</v>
      </c>
      <c r="AO49">
        <v>1508</v>
      </c>
    </row>
    <row r="50" spans="1:41" x14ac:dyDescent="0.2">
      <c r="A50" s="811">
        <v>22</v>
      </c>
      <c r="B50" s="811" t="s">
        <v>913</v>
      </c>
      <c r="C50" s="811" t="s">
        <v>1004</v>
      </c>
      <c r="D50" s="811" t="s">
        <v>1005</v>
      </c>
      <c r="E50" s="811" t="s">
        <v>1076</v>
      </c>
      <c r="F50" t="s">
        <v>1077</v>
      </c>
      <c r="G50">
        <v>575</v>
      </c>
      <c r="H50">
        <v>615</v>
      </c>
      <c r="I50">
        <v>738</v>
      </c>
      <c r="J50">
        <v>853</v>
      </c>
      <c r="K50">
        <v>951</v>
      </c>
      <c r="L50">
        <v>1050</v>
      </c>
      <c r="M50">
        <v>1148</v>
      </c>
      <c r="N50">
        <v>708</v>
      </c>
      <c r="O50">
        <v>827</v>
      </c>
      <c r="P50">
        <v>996</v>
      </c>
      <c r="Q50">
        <v>1277</v>
      </c>
      <c r="R50">
        <v>1477</v>
      </c>
      <c r="S50">
        <v>1699</v>
      </c>
      <c r="T50">
        <v>1920</v>
      </c>
      <c r="U50">
        <v>708</v>
      </c>
      <c r="V50">
        <v>827</v>
      </c>
      <c r="W50">
        <v>996</v>
      </c>
      <c r="X50">
        <v>1147</v>
      </c>
      <c r="Y50">
        <v>1260</v>
      </c>
      <c r="Z50">
        <v>1371</v>
      </c>
      <c r="AA50">
        <v>1483</v>
      </c>
      <c r="AB50">
        <v>575</v>
      </c>
      <c r="AC50">
        <v>615</v>
      </c>
      <c r="AD50">
        <v>738</v>
      </c>
      <c r="AE50">
        <v>853</v>
      </c>
      <c r="AF50">
        <v>951</v>
      </c>
      <c r="AG50">
        <v>1050</v>
      </c>
      <c r="AH50">
        <v>1148</v>
      </c>
      <c r="AI50">
        <v>775</v>
      </c>
      <c r="AJ50">
        <v>832</v>
      </c>
      <c r="AK50">
        <v>1001</v>
      </c>
      <c r="AL50">
        <v>1147</v>
      </c>
      <c r="AM50">
        <v>1260</v>
      </c>
      <c r="AN50">
        <v>1371</v>
      </c>
      <c r="AO50">
        <v>1483</v>
      </c>
    </row>
    <row r="51" spans="1:41" x14ac:dyDescent="0.2">
      <c r="A51" s="811">
        <v>22</v>
      </c>
      <c r="B51" s="811" t="s">
        <v>913</v>
      </c>
      <c r="C51" s="811" t="s">
        <v>1078</v>
      </c>
      <c r="D51" s="811" t="s">
        <v>1079</v>
      </c>
      <c r="E51" s="811" t="s">
        <v>1080</v>
      </c>
      <c r="F51" t="s">
        <v>1081</v>
      </c>
      <c r="G51">
        <v>433</v>
      </c>
      <c r="H51">
        <v>464</v>
      </c>
      <c r="I51">
        <v>557</v>
      </c>
      <c r="J51">
        <v>643</v>
      </c>
      <c r="K51">
        <v>718</v>
      </c>
      <c r="L51">
        <v>792</v>
      </c>
      <c r="M51">
        <v>866</v>
      </c>
      <c r="N51">
        <v>496</v>
      </c>
      <c r="O51">
        <v>529</v>
      </c>
      <c r="P51">
        <v>704</v>
      </c>
      <c r="Q51">
        <v>891</v>
      </c>
      <c r="R51">
        <v>959</v>
      </c>
      <c r="S51">
        <v>1103</v>
      </c>
      <c r="T51">
        <v>1247</v>
      </c>
      <c r="U51">
        <v>496</v>
      </c>
      <c r="V51">
        <v>529</v>
      </c>
      <c r="W51">
        <v>704</v>
      </c>
      <c r="X51">
        <v>822</v>
      </c>
      <c r="Y51">
        <v>898</v>
      </c>
      <c r="Z51">
        <v>971</v>
      </c>
      <c r="AA51">
        <v>1046</v>
      </c>
      <c r="AB51">
        <v>433</v>
      </c>
      <c r="AC51">
        <v>464</v>
      </c>
      <c r="AD51">
        <v>557</v>
      </c>
      <c r="AE51">
        <v>643</v>
      </c>
      <c r="AF51">
        <v>718</v>
      </c>
      <c r="AG51">
        <v>792</v>
      </c>
      <c r="AH51">
        <v>866</v>
      </c>
      <c r="AI51">
        <v>556</v>
      </c>
      <c r="AJ51">
        <v>598</v>
      </c>
      <c r="AK51">
        <v>719</v>
      </c>
      <c r="AL51">
        <v>822</v>
      </c>
      <c r="AM51">
        <v>898</v>
      </c>
      <c r="AN51">
        <v>971</v>
      </c>
      <c r="AO51">
        <v>1046</v>
      </c>
    </row>
    <row r="52" spans="1:41" x14ac:dyDescent="0.2">
      <c r="A52" s="811">
        <v>22</v>
      </c>
      <c r="B52" s="811" t="s">
        <v>913</v>
      </c>
      <c r="C52" s="811" t="s">
        <v>1012</v>
      </c>
      <c r="D52" s="811" t="s">
        <v>1013</v>
      </c>
      <c r="E52" s="811" t="s">
        <v>1082</v>
      </c>
      <c r="F52" t="s">
        <v>1083</v>
      </c>
      <c r="G52">
        <v>616</v>
      </c>
      <c r="H52">
        <v>660</v>
      </c>
      <c r="I52">
        <v>792</v>
      </c>
      <c r="J52">
        <v>915</v>
      </c>
      <c r="K52">
        <v>1021</v>
      </c>
      <c r="L52">
        <v>1126</v>
      </c>
      <c r="M52">
        <v>1232</v>
      </c>
      <c r="N52">
        <v>618</v>
      </c>
      <c r="O52">
        <v>751</v>
      </c>
      <c r="P52">
        <v>865</v>
      </c>
      <c r="Q52">
        <v>1127</v>
      </c>
      <c r="R52">
        <v>1259</v>
      </c>
      <c r="S52">
        <v>1448</v>
      </c>
      <c r="T52">
        <v>1637</v>
      </c>
      <c r="U52">
        <v>618</v>
      </c>
      <c r="V52">
        <v>751</v>
      </c>
      <c r="W52">
        <v>865</v>
      </c>
      <c r="X52">
        <v>1127</v>
      </c>
      <c r="Y52">
        <v>1259</v>
      </c>
      <c r="Z52">
        <v>1403</v>
      </c>
      <c r="AA52">
        <v>1518</v>
      </c>
      <c r="AB52">
        <v>616</v>
      </c>
      <c r="AC52">
        <v>660</v>
      </c>
      <c r="AD52">
        <v>792</v>
      </c>
      <c r="AE52">
        <v>915</v>
      </c>
      <c r="AF52">
        <v>1021</v>
      </c>
      <c r="AG52">
        <v>1126</v>
      </c>
      <c r="AH52">
        <v>1232</v>
      </c>
      <c r="AI52">
        <v>793</v>
      </c>
      <c r="AJ52">
        <v>851</v>
      </c>
      <c r="AK52">
        <v>1023</v>
      </c>
      <c r="AL52">
        <v>1173</v>
      </c>
      <c r="AM52">
        <v>1289</v>
      </c>
      <c r="AN52">
        <v>1403</v>
      </c>
      <c r="AO52">
        <v>1518</v>
      </c>
    </row>
    <row r="53" spans="1:41" x14ac:dyDescent="0.2">
      <c r="A53" s="811">
        <v>22</v>
      </c>
      <c r="B53" s="811" t="s">
        <v>913</v>
      </c>
      <c r="C53" s="811" t="s">
        <v>1084</v>
      </c>
      <c r="D53" s="811" t="s">
        <v>1085</v>
      </c>
      <c r="E53" s="811" t="s">
        <v>1086</v>
      </c>
      <c r="F53" t="s">
        <v>1087</v>
      </c>
      <c r="G53">
        <v>452</v>
      </c>
      <c r="H53">
        <v>484</v>
      </c>
      <c r="I53">
        <v>581</v>
      </c>
      <c r="J53">
        <v>671</v>
      </c>
      <c r="K53">
        <v>748</v>
      </c>
      <c r="L53">
        <v>826</v>
      </c>
      <c r="M53">
        <v>903</v>
      </c>
      <c r="N53">
        <v>595</v>
      </c>
      <c r="O53">
        <v>598</v>
      </c>
      <c r="P53">
        <v>786</v>
      </c>
      <c r="Q53">
        <v>1040</v>
      </c>
      <c r="R53">
        <v>1213</v>
      </c>
      <c r="S53">
        <v>1395</v>
      </c>
      <c r="T53">
        <v>1577</v>
      </c>
      <c r="U53">
        <v>595</v>
      </c>
      <c r="V53">
        <v>598</v>
      </c>
      <c r="W53">
        <v>782</v>
      </c>
      <c r="X53">
        <v>895</v>
      </c>
      <c r="Y53">
        <v>979</v>
      </c>
      <c r="Z53">
        <v>1061</v>
      </c>
      <c r="AA53">
        <v>1144</v>
      </c>
      <c r="AB53">
        <v>452</v>
      </c>
      <c r="AC53">
        <v>484</v>
      </c>
      <c r="AD53">
        <v>581</v>
      </c>
      <c r="AE53">
        <v>671</v>
      </c>
      <c r="AF53">
        <v>748</v>
      </c>
      <c r="AG53">
        <v>826</v>
      </c>
      <c r="AH53">
        <v>903</v>
      </c>
      <c r="AI53">
        <v>605</v>
      </c>
      <c r="AJ53">
        <v>650</v>
      </c>
      <c r="AK53">
        <v>782</v>
      </c>
      <c r="AL53">
        <v>895</v>
      </c>
      <c r="AM53">
        <v>979</v>
      </c>
      <c r="AN53">
        <v>1061</v>
      </c>
      <c r="AO53">
        <v>1144</v>
      </c>
    </row>
    <row r="54" spans="1:41" x14ac:dyDescent="0.2">
      <c r="A54" s="811">
        <v>22</v>
      </c>
      <c r="B54" s="811" t="s">
        <v>913</v>
      </c>
      <c r="C54" s="811" t="s">
        <v>1004</v>
      </c>
      <c r="D54" s="811" t="s">
        <v>1005</v>
      </c>
      <c r="E54" s="811" t="s">
        <v>1088</v>
      </c>
      <c r="F54" t="s">
        <v>1089</v>
      </c>
      <c r="G54">
        <v>575</v>
      </c>
      <c r="H54">
        <v>615</v>
      </c>
      <c r="I54">
        <v>738</v>
      </c>
      <c r="J54">
        <v>853</v>
      </c>
      <c r="K54">
        <v>951</v>
      </c>
      <c r="L54">
        <v>1050</v>
      </c>
      <c r="M54">
        <v>1148</v>
      </c>
      <c r="N54">
        <v>708</v>
      </c>
      <c r="O54">
        <v>827</v>
      </c>
      <c r="P54">
        <v>996</v>
      </c>
      <c r="Q54">
        <v>1277</v>
      </c>
      <c r="R54">
        <v>1477</v>
      </c>
      <c r="S54">
        <v>1699</v>
      </c>
      <c r="T54">
        <v>1920</v>
      </c>
      <c r="U54">
        <v>708</v>
      </c>
      <c r="V54">
        <v>827</v>
      </c>
      <c r="W54">
        <v>996</v>
      </c>
      <c r="X54">
        <v>1147</v>
      </c>
      <c r="Y54">
        <v>1260</v>
      </c>
      <c r="Z54">
        <v>1371</v>
      </c>
      <c r="AA54">
        <v>1483</v>
      </c>
      <c r="AB54">
        <v>575</v>
      </c>
      <c r="AC54">
        <v>615</v>
      </c>
      <c r="AD54">
        <v>738</v>
      </c>
      <c r="AE54">
        <v>853</v>
      </c>
      <c r="AF54">
        <v>951</v>
      </c>
      <c r="AG54">
        <v>1050</v>
      </c>
      <c r="AH54">
        <v>1148</v>
      </c>
      <c r="AI54">
        <v>775</v>
      </c>
      <c r="AJ54">
        <v>832</v>
      </c>
      <c r="AK54">
        <v>1001</v>
      </c>
      <c r="AL54">
        <v>1147</v>
      </c>
      <c r="AM54">
        <v>1260</v>
      </c>
      <c r="AN54">
        <v>1371</v>
      </c>
      <c r="AO54">
        <v>1483</v>
      </c>
    </row>
    <row r="55" spans="1:41" x14ac:dyDescent="0.2">
      <c r="A55" s="811">
        <v>22</v>
      </c>
      <c r="B55" s="811" t="s">
        <v>913</v>
      </c>
      <c r="C55" s="811" t="s">
        <v>1090</v>
      </c>
      <c r="D55" s="811" t="s">
        <v>1091</v>
      </c>
      <c r="E55" s="811" t="s">
        <v>1092</v>
      </c>
      <c r="F55" t="s">
        <v>1093</v>
      </c>
      <c r="G55">
        <v>537</v>
      </c>
      <c r="H55">
        <v>575</v>
      </c>
      <c r="I55">
        <v>690</v>
      </c>
      <c r="J55">
        <v>797</v>
      </c>
      <c r="K55">
        <v>890</v>
      </c>
      <c r="L55">
        <v>981</v>
      </c>
      <c r="M55">
        <v>1072</v>
      </c>
      <c r="N55">
        <v>631</v>
      </c>
      <c r="O55">
        <v>635</v>
      </c>
      <c r="P55">
        <v>831</v>
      </c>
      <c r="Q55">
        <v>1042</v>
      </c>
      <c r="R55">
        <v>1132</v>
      </c>
      <c r="S55">
        <v>1302</v>
      </c>
      <c r="T55">
        <v>1472</v>
      </c>
      <c r="U55">
        <v>631</v>
      </c>
      <c r="V55">
        <v>635</v>
      </c>
      <c r="W55">
        <v>831</v>
      </c>
      <c r="X55">
        <v>1002</v>
      </c>
      <c r="Y55">
        <v>1099</v>
      </c>
      <c r="Z55">
        <v>1194</v>
      </c>
      <c r="AA55">
        <v>1289</v>
      </c>
      <c r="AB55">
        <v>537</v>
      </c>
      <c r="AC55">
        <v>575</v>
      </c>
      <c r="AD55">
        <v>690</v>
      </c>
      <c r="AE55">
        <v>797</v>
      </c>
      <c r="AF55">
        <v>890</v>
      </c>
      <c r="AG55">
        <v>981</v>
      </c>
      <c r="AH55">
        <v>1072</v>
      </c>
      <c r="AI55">
        <v>678</v>
      </c>
      <c r="AJ55">
        <v>728</v>
      </c>
      <c r="AK55">
        <v>876</v>
      </c>
      <c r="AL55">
        <v>1002</v>
      </c>
      <c r="AM55">
        <v>1099</v>
      </c>
      <c r="AN55">
        <v>1194</v>
      </c>
      <c r="AO55">
        <v>1289</v>
      </c>
    </row>
    <row r="56" spans="1:41" x14ac:dyDescent="0.2">
      <c r="A56" s="811">
        <v>22</v>
      </c>
      <c r="B56" s="811" t="s">
        <v>913</v>
      </c>
      <c r="C56" s="811" t="s">
        <v>1094</v>
      </c>
      <c r="D56" s="811" t="s">
        <v>1095</v>
      </c>
      <c r="E56" s="811" t="s">
        <v>1096</v>
      </c>
      <c r="F56" t="s">
        <v>1097</v>
      </c>
      <c r="G56">
        <v>433</v>
      </c>
      <c r="H56">
        <v>464</v>
      </c>
      <c r="I56">
        <v>557</v>
      </c>
      <c r="J56">
        <v>643</v>
      </c>
      <c r="K56">
        <v>718</v>
      </c>
      <c r="L56">
        <v>792</v>
      </c>
      <c r="M56">
        <v>866</v>
      </c>
      <c r="N56">
        <v>521</v>
      </c>
      <c r="O56">
        <v>525</v>
      </c>
      <c r="P56">
        <v>680</v>
      </c>
      <c r="Q56">
        <v>989</v>
      </c>
      <c r="R56">
        <v>1023</v>
      </c>
      <c r="S56">
        <v>1176</v>
      </c>
      <c r="T56">
        <v>1330</v>
      </c>
      <c r="U56">
        <v>521</v>
      </c>
      <c r="V56">
        <v>525</v>
      </c>
      <c r="W56">
        <v>680</v>
      </c>
      <c r="X56">
        <v>822</v>
      </c>
      <c r="Y56">
        <v>898</v>
      </c>
      <c r="Z56">
        <v>971</v>
      </c>
      <c r="AA56">
        <v>1046</v>
      </c>
      <c r="AB56">
        <v>433</v>
      </c>
      <c r="AC56">
        <v>464</v>
      </c>
      <c r="AD56">
        <v>557</v>
      </c>
      <c r="AE56">
        <v>643</v>
      </c>
      <c r="AF56">
        <v>718</v>
      </c>
      <c r="AG56">
        <v>792</v>
      </c>
      <c r="AH56">
        <v>866</v>
      </c>
      <c r="AI56">
        <v>556</v>
      </c>
      <c r="AJ56">
        <v>598</v>
      </c>
      <c r="AK56">
        <v>719</v>
      </c>
      <c r="AL56">
        <v>822</v>
      </c>
      <c r="AM56">
        <v>898</v>
      </c>
      <c r="AN56">
        <v>971</v>
      </c>
      <c r="AO56">
        <v>1046</v>
      </c>
    </row>
    <row r="57" spans="1:41" x14ac:dyDescent="0.2">
      <c r="A57" s="811">
        <v>22</v>
      </c>
      <c r="B57" s="811" t="s">
        <v>913</v>
      </c>
      <c r="C57" s="811" t="s">
        <v>1016</v>
      </c>
      <c r="D57" s="811" t="s">
        <v>1017</v>
      </c>
      <c r="E57" s="811" t="s">
        <v>1098</v>
      </c>
      <c r="F57" t="s">
        <v>1099</v>
      </c>
      <c r="G57">
        <v>540</v>
      </c>
      <c r="H57">
        <v>578</v>
      </c>
      <c r="I57">
        <v>693</v>
      </c>
      <c r="J57">
        <v>801</v>
      </c>
      <c r="K57">
        <v>893</v>
      </c>
      <c r="L57">
        <v>986</v>
      </c>
      <c r="M57">
        <v>1078</v>
      </c>
      <c r="N57">
        <v>646</v>
      </c>
      <c r="O57">
        <v>650</v>
      </c>
      <c r="P57">
        <v>824</v>
      </c>
      <c r="Q57">
        <v>1156</v>
      </c>
      <c r="R57">
        <v>1406</v>
      </c>
      <c r="S57">
        <v>1617</v>
      </c>
      <c r="T57">
        <v>1828</v>
      </c>
      <c r="U57">
        <v>646</v>
      </c>
      <c r="V57">
        <v>650</v>
      </c>
      <c r="W57">
        <v>824</v>
      </c>
      <c r="X57">
        <v>1062</v>
      </c>
      <c r="Y57">
        <v>1165</v>
      </c>
      <c r="Z57">
        <v>1267</v>
      </c>
      <c r="AA57">
        <v>1369</v>
      </c>
      <c r="AB57">
        <v>540</v>
      </c>
      <c r="AC57">
        <v>578</v>
      </c>
      <c r="AD57">
        <v>693</v>
      </c>
      <c r="AE57">
        <v>801</v>
      </c>
      <c r="AF57">
        <v>893</v>
      </c>
      <c r="AG57">
        <v>986</v>
      </c>
      <c r="AH57">
        <v>1078</v>
      </c>
      <c r="AI57">
        <v>719</v>
      </c>
      <c r="AJ57">
        <v>771</v>
      </c>
      <c r="AK57">
        <v>927</v>
      </c>
      <c r="AL57">
        <v>1062</v>
      </c>
      <c r="AM57">
        <v>1165</v>
      </c>
      <c r="AN57">
        <v>1267</v>
      </c>
      <c r="AO57">
        <v>1369</v>
      </c>
    </row>
    <row r="58" spans="1:41" x14ac:dyDescent="0.2">
      <c r="A58" s="811">
        <v>22</v>
      </c>
      <c r="B58" s="811" t="s">
        <v>913</v>
      </c>
      <c r="C58" s="811" t="s">
        <v>1044</v>
      </c>
      <c r="D58" s="811" t="s">
        <v>1045</v>
      </c>
      <c r="E58" s="811" t="s">
        <v>1100</v>
      </c>
      <c r="F58" t="s">
        <v>1101</v>
      </c>
      <c r="G58">
        <v>461</v>
      </c>
      <c r="H58">
        <v>493</v>
      </c>
      <c r="I58">
        <v>592</v>
      </c>
      <c r="J58">
        <v>684</v>
      </c>
      <c r="K58">
        <v>763</v>
      </c>
      <c r="L58">
        <v>842</v>
      </c>
      <c r="M58">
        <v>920</v>
      </c>
      <c r="N58">
        <v>563</v>
      </c>
      <c r="O58">
        <v>566</v>
      </c>
      <c r="P58">
        <v>728</v>
      </c>
      <c r="Q58">
        <v>926</v>
      </c>
      <c r="R58">
        <v>1004</v>
      </c>
      <c r="S58">
        <v>1155</v>
      </c>
      <c r="T58">
        <v>1305</v>
      </c>
      <c r="U58">
        <v>563</v>
      </c>
      <c r="V58">
        <v>566</v>
      </c>
      <c r="W58">
        <v>728</v>
      </c>
      <c r="X58">
        <v>926</v>
      </c>
      <c r="Y58">
        <v>1004</v>
      </c>
      <c r="Z58">
        <v>1127</v>
      </c>
      <c r="AA58">
        <v>1215</v>
      </c>
      <c r="AB58">
        <v>461</v>
      </c>
      <c r="AC58">
        <v>493</v>
      </c>
      <c r="AD58">
        <v>592</v>
      </c>
      <c r="AE58">
        <v>684</v>
      </c>
      <c r="AF58">
        <v>763</v>
      </c>
      <c r="AG58">
        <v>842</v>
      </c>
      <c r="AH58">
        <v>920</v>
      </c>
      <c r="AI58">
        <v>641</v>
      </c>
      <c r="AJ58">
        <v>688</v>
      </c>
      <c r="AK58">
        <v>828</v>
      </c>
      <c r="AL58">
        <v>948</v>
      </c>
      <c r="AM58">
        <v>1038</v>
      </c>
      <c r="AN58">
        <v>1127</v>
      </c>
      <c r="AO58">
        <v>1215</v>
      </c>
    </row>
    <row r="59" spans="1:41" x14ac:dyDescent="0.2">
      <c r="A59" s="811">
        <v>22</v>
      </c>
      <c r="B59" s="811" t="s">
        <v>913</v>
      </c>
      <c r="C59" s="811" t="s">
        <v>1102</v>
      </c>
      <c r="D59" s="811" t="s">
        <v>1103</v>
      </c>
      <c r="E59" s="811" t="s">
        <v>1104</v>
      </c>
      <c r="F59" t="s">
        <v>1105</v>
      </c>
      <c r="G59">
        <v>484</v>
      </c>
      <c r="H59">
        <v>566</v>
      </c>
      <c r="I59">
        <v>678</v>
      </c>
      <c r="J59">
        <v>784</v>
      </c>
      <c r="K59">
        <v>875</v>
      </c>
      <c r="L59">
        <v>965</v>
      </c>
      <c r="M59">
        <v>1055</v>
      </c>
      <c r="N59">
        <v>484</v>
      </c>
      <c r="O59">
        <v>592</v>
      </c>
      <c r="P59">
        <v>680</v>
      </c>
      <c r="Q59">
        <v>984</v>
      </c>
      <c r="R59">
        <v>987</v>
      </c>
      <c r="S59">
        <v>1135</v>
      </c>
      <c r="T59">
        <v>1283</v>
      </c>
      <c r="U59">
        <v>484</v>
      </c>
      <c r="V59">
        <v>592</v>
      </c>
      <c r="W59">
        <v>680</v>
      </c>
      <c r="X59">
        <v>984</v>
      </c>
      <c r="Y59">
        <v>987</v>
      </c>
      <c r="Z59">
        <v>1135</v>
      </c>
      <c r="AA59">
        <v>1283</v>
      </c>
      <c r="AB59">
        <v>528</v>
      </c>
      <c r="AC59">
        <v>566</v>
      </c>
      <c r="AD59">
        <v>678</v>
      </c>
      <c r="AE59">
        <v>784</v>
      </c>
      <c r="AF59">
        <v>875</v>
      </c>
      <c r="AG59">
        <v>965</v>
      </c>
      <c r="AH59">
        <v>1055</v>
      </c>
      <c r="AI59">
        <v>678</v>
      </c>
      <c r="AJ59">
        <v>728</v>
      </c>
      <c r="AK59">
        <v>876</v>
      </c>
      <c r="AL59">
        <v>1002</v>
      </c>
      <c r="AM59">
        <v>1099</v>
      </c>
      <c r="AN59">
        <v>1194</v>
      </c>
      <c r="AO59">
        <v>1289</v>
      </c>
    </row>
    <row r="60" spans="1:41" x14ac:dyDescent="0.2">
      <c r="A60" s="811">
        <v>22</v>
      </c>
      <c r="B60" s="811" t="s">
        <v>913</v>
      </c>
      <c r="C60" s="811" t="s">
        <v>1106</v>
      </c>
      <c r="D60" s="811" t="s">
        <v>1107</v>
      </c>
      <c r="E60" s="811" t="s">
        <v>1108</v>
      </c>
      <c r="F60" t="s">
        <v>1109</v>
      </c>
      <c r="G60">
        <v>522</v>
      </c>
      <c r="H60">
        <v>560</v>
      </c>
      <c r="I60">
        <v>672</v>
      </c>
      <c r="J60">
        <v>776</v>
      </c>
      <c r="K60">
        <v>866</v>
      </c>
      <c r="L60">
        <v>956</v>
      </c>
      <c r="M60">
        <v>1044</v>
      </c>
      <c r="N60">
        <v>653</v>
      </c>
      <c r="O60">
        <v>770</v>
      </c>
      <c r="P60">
        <v>1024</v>
      </c>
      <c r="Q60">
        <v>1284</v>
      </c>
      <c r="R60">
        <v>1472</v>
      </c>
      <c r="S60">
        <v>1693</v>
      </c>
      <c r="T60">
        <v>1914</v>
      </c>
      <c r="U60">
        <v>653</v>
      </c>
      <c r="V60">
        <v>708</v>
      </c>
      <c r="W60">
        <v>852</v>
      </c>
      <c r="X60">
        <v>975</v>
      </c>
      <c r="Y60">
        <v>1069</v>
      </c>
      <c r="Z60">
        <v>1161</v>
      </c>
      <c r="AA60">
        <v>1252</v>
      </c>
      <c r="AB60">
        <v>522</v>
      </c>
      <c r="AC60">
        <v>560</v>
      </c>
      <c r="AD60">
        <v>672</v>
      </c>
      <c r="AE60">
        <v>776</v>
      </c>
      <c r="AF60">
        <v>866</v>
      </c>
      <c r="AG60">
        <v>956</v>
      </c>
      <c r="AH60">
        <v>1044</v>
      </c>
      <c r="AI60">
        <v>660</v>
      </c>
      <c r="AJ60">
        <v>708</v>
      </c>
      <c r="AK60">
        <v>852</v>
      </c>
      <c r="AL60">
        <v>975</v>
      </c>
      <c r="AM60">
        <v>1069</v>
      </c>
      <c r="AN60">
        <v>1161</v>
      </c>
      <c r="AO60">
        <v>1252</v>
      </c>
    </row>
    <row r="61" spans="1:41" x14ac:dyDescent="0.2">
      <c r="A61" s="811">
        <v>22</v>
      </c>
      <c r="B61" s="811" t="s">
        <v>913</v>
      </c>
      <c r="C61" s="811" t="s">
        <v>1110</v>
      </c>
      <c r="D61" s="811" t="s">
        <v>1111</v>
      </c>
      <c r="E61" s="811" t="s">
        <v>1112</v>
      </c>
      <c r="F61" t="s">
        <v>1113</v>
      </c>
      <c r="G61">
        <v>433</v>
      </c>
      <c r="H61">
        <v>464</v>
      </c>
      <c r="I61">
        <v>557</v>
      </c>
      <c r="J61">
        <v>643</v>
      </c>
      <c r="K61">
        <v>718</v>
      </c>
      <c r="L61">
        <v>792</v>
      </c>
      <c r="M61">
        <v>866</v>
      </c>
      <c r="N61">
        <v>508</v>
      </c>
      <c r="O61">
        <v>511</v>
      </c>
      <c r="P61">
        <v>680</v>
      </c>
      <c r="Q61">
        <v>893</v>
      </c>
      <c r="R61">
        <v>1093</v>
      </c>
      <c r="S61">
        <v>1257</v>
      </c>
      <c r="T61">
        <v>1421</v>
      </c>
      <c r="U61">
        <v>508</v>
      </c>
      <c r="V61">
        <v>511</v>
      </c>
      <c r="W61">
        <v>680</v>
      </c>
      <c r="X61">
        <v>822</v>
      </c>
      <c r="Y61">
        <v>898</v>
      </c>
      <c r="Z61">
        <v>971</v>
      </c>
      <c r="AA61">
        <v>1046</v>
      </c>
      <c r="AB61">
        <v>433</v>
      </c>
      <c r="AC61">
        <v>464</v>
      </c>
      <c r="AD61">
        <v>557</v>
      </c>
      <c r="AE61">
        <v>643</v>
      </c>
      <c r="AF61">
        <v>718</v>
      </c>
      <c r="AG61">
        <v>792</v>
      </c>
      <c r="AH61">
        <v>866</v>
      </c>
      <c r="AI61">
        <v>556</v>
      </c>
      <c r="AJ61">
        <v>598</v>
      </c>
      <c r="AK61">
        <v>719</v>
      </c>
      <c r="AL61">
        <v>822</v>
      </c>
      <c r="AM61">
        <v>898</v>
      </c>
      <c r="AN61">
        <v>971</v>
      </c>
      <c r="AO61">
        <v>1046</v>
      </c>
    </row>
    <row r="62" spans="1:41" x14ac:dyDescent="0.2">
      <c r="A62" s="811">
        <v>22</v>
      </c>
      <c r="B62" s="811" t="s">
        <v>913</v>
      </c>
      <c r="C62" s="811" t="s">
        <v>1114</v>
      </c>
      <c r="D62" s="811" t="s">
        <v>1115</v>
      </c>
      <c r="E62" s="811" t="s">
        <v>1116</v>
      </c>
      <c r="F62" t="s">
        <v>1117</v>
      </c>
      <c r="G62">
        <v>433</v>
      </c>
      <c r="H62">
        <v>464</v>
      </c>
      <c r="I62">
        <v>557</v>
      </c>
      <c r="J62">
        <v>643</v>
      </c>
      <c r="K62">
        <v>718</v>
      </c>
      <c r="L62">
        <v>792</v>
      </c>
      <c r="M62">
        <v>866</v>
      </c>
      <c r="N62">
        <v>477</v>
      </c>
      <c r="O62">
        <v>592</v>
      </c>
      <c r="P62">
        <v>680</v>
      </c>
      <c r="Q62">
        <v>931</v>
      </c>
      <c r="R62">
        <v>973</v>
      </c>
      <c r="S62">
        <v>1119</v>
      </c>
      <c r="T62">
        <v>1265</v>
      </c>
      <c r="U62">
        <v>477</v>
      </c>
      <c r="V62">
        <v>592</v>
      </c>
      <c r="W62">
        <v>680</v>
      </c>
      <c r="X62">
        <v>822</v>
      </c>
      <c r="Y62">
        <v>898</v>
      </c>
      <c r="Z62">
        <v>971</v>
      </c>
      <c r="AA62">
        <v>1046</v>
      </c>
      <c r="AB62">
        <v>433</v>
      </c>
      <c r="AC62">
        <v>464</v>
      </c>
      <c r="AD62">
        <v>557</v>
      </c>
      <c r="AE62">
        <v>643</v>
      </c>
      <c r="AF62">
        <v>718</v>
      </c>
      <c r="AG62">
        <v>792</v>
      </c>
      <c r="AH62">
        <v>866</v>
      </c>
      <c r="AI62">
        <v>556</v>
      </c>
      <c r="AJ62">
        <v>598</v>
      </c>
      <c r="AK62">
        <v>719</v>
      </c>
      <c r="AL62">
        <v>822</v>
      </c>
      <c r="AM62">
        <v>898</v>
      </c>
      <c r="AN62">
        <v>971</v>
      </c>
      <c r="AO62">
        <v>1046</v>
      </c>
    </row>
    <row r="63" spans="1:41" x14ac:dyDescent="0.2">
      <c r="A63" s="811">
        <v>22</v>
      </c>
      <c r="B63" s="811" t="s">
        <v>913</v>
      </c>
      <c r="C63" s="811" t="s">
        <v>922</v>
      </c>
      <c r="D63" s="811" t="s">
        <v>923</v>
      </c>
      <c r="E63" s="811" t="s">
        <v>1118</v>
      </c>
      <c r="F63" t="s">
        <v>1119</v>
      </c>
      <c r="G63">
        <v>647</v>
      </c>
      <c r="H63">
        <v>701</v>
      </c>
      <c r="I63">
        <v>842</v>
      </c>
      <c r="J63">
        <v>972</v>
      </c>
      <c r="K63">
        <v>1085</v>
      </c>
      <c r="L63">
        <v>1197</v>
      </c>
      <c r="M63">
        <v>1309</v>
      </c>
      <c r="N63">
        <v>647</v>
      </c>
      <c r="O63">
        <v>789</v>
      </c>
      <c r="P63">
        <v>906</v>
      </c>
      <c r="Q63">
        <v>1155</v>
      </c>
      <c r="R63">
        <v>1459</v>
      </c>
      <c r="S63">
        <v>1678</v>
      </c>
      <c r="T63">
        <v>1897</v>
      </c>
      <c r="U63">
        <v>647</v>
      </c>
      <c r="V63">
        <v>789</v>
      </c>
      <c r="W63">
        <v>906</v>
      </c>
      <c r="X63">
        <v>1155</v>
      </c>
      <c r="Y63">
        <v>1353</v>
      </c>
      <c r="Z63">
        <v>1474</v>
      </c>
      <c r="AA63">
        <v>1595</v>
      </c>
      <c r="AB63">
        <v>655</v>
      </c>
      <c r="AC63">
        <v>701</v>
      </c>
      <c r="AD63">
        <v>842</v>
      </c>
      <c r="AE63">
        <v>972</v>
      </c>
      <c r="AF63">
        <v>1085</v>
      </c>
      <c r="AG63">
        <v>1197</v>
      </c>
      <c r="AH63">
        <v>1309</v>
      </c>
      <c r="AI63">
        <v>831</v>
      </c>
      <c r="AJ63">
        <v>892</v>
      </c>
      <c r="AK63">
        <v>1072</v>
      </c>
      <c r="AL63">
        <v>1230</v>
      </c>
      <c r="AM63">
        <v>1353</v>
      </c>
      <c r="AN63">
        <v>1474</v>
      </c>
      <c r="AO63">
        <v>1595</v>
      </c>
    </row>
    <row r="64" spans="1:41" x14ac:dyDescent="0.2">
      <c r="A64" s="811">
        <v>22</v>
      </c>
      <c r="B64" s="811" t="s">
        <v>913</v>
      </c>
      <c r="C64" s="811" t="s">
        <v>1120</v>
      </c>
      <c r="D64" s="811" t="s">
        <v>1121</v>
      </c>
      <c r="E64" s="811" t="s">
        <v>1122</v>
      </c>
      <c r="F64" t="s">
        <v>1123</v>
      </c>
      <c r="G64">
        <v>433</v>
      </c>
      <c r="H64">
        <v>464</v>
      </c>
      <c r="I64">
        <v>557</v>
      </c>
      <c r="J64">
        <v>643</v>
      </c>
      <c r="K64">
        <v>718</v>
      </c>
      <c r="L64">
        <v>792</v>
      </c>
      <c r="M64">
        <v>866</v>
      </c>
      <c r="N64">
        <v>508</v>
      </c>
      <c r="O64">
        <v>511</v>
      </c>
      <c r="P64">
        <v>680</v>
      </c>
      <c r="Q64">
        <v>863</v>
      </c>
      <c r="R64">
        <v>926</v>
      </c>
      <c r="S64">
        <v>1065</v>
      </c>
      <c r="T64">
        <v>1204</v>
      </c>
      <c r="U64">
        <v>508</v>
      </c>
      <c r="V64">
        <v>511</v>
      </c>
      <c r="W64">
        <v>680</v>
      </c>
      <c r="X64">
        <v>822</v>
      </c>
      <c r="Y64">
        <v>898</v>
      </c>
      <c r="Z64">
        <v>971</v>
      </c>
      <c r="AA64">
        <v>1046</v>
      </c>
      <c r="AB64">
        <v>433</v>
      </c>
      <c r="AC64">
        <v>464</v>
      </c>
      <c r="AD64">
        <v>557</v>
      </c>
      <c r="AE64">
        <v>643</v>
      </c>
      <c r="AF64">
        <v>718</v>
      </c>
      <c r="AG64">
        <v>792</v>
      </c>
      <c r="AH64">
        <v>866</v>
      </c>
      <c r="AI64">
        <v>556</v>
      </c>
      <c r="AJ64">
        <v>598</v>
      </c>
      <c r="AK64">
        <v>719</v>
      </c>
      <c r="AL64">
        <v>822</v>
      </c>
      <c r="AM64">
        <v>898</v>
      </c>
      <c r="AN64">
        <v>971</v>
      </c>
      <c r="AO64">
        <v>1046</v>
      </c>
    </row>
    <row r="65" spans="1:44" x14ac:dyDescent="0.2">
      <c r="A65" s="811">
        <v>22</v>
      </c>
      <c r="B65" s="811" t="s">
        <v>913</v>
      </c>
      <c r="C65" s="811" t="s">
        <v>922</v>
      </c>
      <c r="D65" s="811" t="s">
        <v>923</v>
      </c>
      <c r="E65" s="811" t="s">
        <v>1124</v>
      </c>
      <c r="F65" t="s">
        <v>1125</v>
      </c>
      <c r="G65">
        <v>647</v>
      </c>
      <c r="H65">
        <v>701</v>
      </c>
      <c r="I65">
        <v>842</v>
      </c>
      <c r="J65">
        <v>972</v>
      </c>
      <c r="K65">
        <v>1085</v>
      </c>
      <c r="L65">
        <v>1197</v>
      </c>
      <c r="M65">
        <v>1309</v>
      </c>
      <c r="N65">
        <v>647</v>
      </c>
      <c r="O65">
        <v>789</v>
      </c>
      <c r="P65">
        <v>906</v>
      </c>
      <c r="Q65">
        <v>1155</v>
      </c>
      <c r="R65">
        <v>1459</v>
      </c>
      <c r="S65">
        <v>1678</v>
      </c>
      <c r="T65">
        <v>1897</v>
      </c>
      <c r="U65">
        <v>647</v>
      </c>
      <c r="V65">
        <v>789</v>
      </c>
      <c r="W65">
        <v>906</v>
      </c>
      <c r="X65">
        <v>1155</v>
      </c>
      <c r="Y65">
        <v>1353</v>
      </c>
      <c r="Z65">
        <v>1474</v>
      </c>
      <c r="AA65">
        <v>1595</v>
      </c>
      <c r="AB65">
        <v>655</v>
      </c>
      <c r="AC65">
        <v>701</v>
      </c>
      <c r="AD65">
        <v>842</v>
      </c>
      <c r="AE65">
        <v>972</v>
      </c>
      <c r="AF65">
        <v>1085</v>
      </c>
      <c r="AG65">
        <v>1197</v>
      </c>
      <c r="AH65">
        <v>1309</v>
      </c>
      <c r="AI65">
        <v>831</v>
      </c>
      <c r="AJ65">
        <v>892</v>
      </c>
      <c r="AK65">
        <v>1072</v>
      </c>
      <c r="AL65">
        <v>1230</v>
      </c>
      <c r="AM65">
        <v>1353</v>
      </c>
      <c r="AN65">
        <v>1474</v>
      </c>
      <c r="AO65">
        <v>1595</v>
      </c>
    </row>
    <row r="66" spans="1:44" x14ac:dyDescent="0.2">
      <c r="A66" s="811">
        <v>22</v>
      </c>
      <c r="B66" s="811" t="s">
        <v>913</v>
      </c>
      <c r="C66" s="811" t="s">
        <v>1126</v>
      </c>
      <c r="D66" s="811" t="s">
        <v>1127</v>
      </c>
      <c r="E66" s="811" t="s">
        <v>1128</v>
      </c>
      <c r="F66" t="s">
        <v>1129</v>
      </c>
      <c r="G66">
        <v>433</v>
      </c>
      <c r="H66">
        <v>464</v>
      </c>
      <c r="I66">
        <v>557</v>
      </c>
      <c r="J66">
        <v>643</v>
      </c>
      <c r="K66">
        <v>718</v>
      </c>
      <c r="L66">
        <v>792</v>
      </c>
      <c r="M66">
        <v>866</v>
      </c>
      <c r="N66">
        <v>576</v>
      </c>
      <c r="O66">
        <v>580</v>
      </c>
      <c r="P66">
        <v>680</v>
      </c>
      <c r="Q66">
        <v>989</v>
      </c>
      <c r="R66">
        <v>1069</v>
      </c>
      <c r="S66">
        <v>1229</v>
      </c>
      <c r="T66">
        <v>1390</v>
      </c>
      <c r="U66">
        <v>556</v>
      </c>
      <c r="V66">
        <v>580</v>
      </c>
      <c r="W66">
        <v>680</v>
      </c>
      <c r="X66">
        <v>822</v>
      </c>
      <c r="Y66">
        <v>898</v>
      </c>
      <c r="Z66">
        <v>971</v>
      </c>
      <c r="AA66">
        <v>1046</v>
      </c>
      <c r="AB66">
        <v>433</v>
      </c>
      <c r="AC66">
        <v>464</v>
      </c>
      <c r="AD66">
        <v>557</v>
      </c>
      <c r="AE66">
        <v>643</v>
      </c>
      <c r="AF66">
        <v>718</v>
      </c>
      <c r="AG66">
        <v>792</v>
      </c>
      <c r="AH66">
        <v>866</v>
      </c>
      <c r="AI66">
        <v>556</v>
      </c>
      <c r="AJ66">
        <v>598</v>
      </c>
      <c r="AK66">
        <v>719</v>
      </c>
      <c r="AL66">
        <v>822</v>
      </c>
      <c r="AM66">
        <v>898</v>
      </c>
      <c r="AN66">
        <v>971</v>
      </c>
      <c r="AO66">
        <v>1046</v>
      </c>
    </row>
    <row r="70" spans="1:44" x14ac:dyDescent="0.2">
      <c r="F70" s="811" t="s">
        <v>1130</v>
      </c>
    </row>
    <row r="71" spans="1:44" x14ac:dyDescent="0.2">
      <c r="E71" s="813" t="e">
        <f>IF(Cover!$E$11="",0, VLOOKUP('Primary Input'!E10:G10,$E$2:$AL$66,1))</f>
        <v>#N/A</v>
      </c>
      <c r="F71" s="814" t="s">
        <v>143</v>
      </c>
      <c r="G71" s="814" t="s">
        <v>144</v>
      </c>
      <c r="H71" s="814" t="s">
        <v>145</v>
      </c>
      <c r="I71" s="814" t="s">
        <v>146</v>
      </c>
      <c r="J71" s="814" t="s">
        <v>147</v>
      </c>
      <c r="K71" s="814" t="s">
        <v>148</v>
      </c>
      <c r="L71" s="814" t="s">
        <v>1131</v>
      </c>
      <c r="AI71" s="814"/>
      <c r="AJ71" s="814"/>
      <c r="AK71" s="814"/>
      <c r="AL71" s="814"/>
      <c r="AM71" s="814"/>
      <c r="AN71" s="814"/>
      <c r="AO71" s="814"/>
      <c r="AP71" s="814"/>
      <c r="AQ71" s="814"/>
      <c r="AR71" s="814"/>
    </row>
    <row r="72" spans="1:44" x14ac:dyDescent="0.2">
      <c r="E72" s="811" t="s">
        <v>692</v>
      </c>
      <c r="F72" s="813" t="e">
        <f>IF(Cover!$E$11="",0, VLOOKUP(Cover!$E$11,$E$2:$AO$66,3))</f>
        <v>#N/A</v>
      </c>
      <c r="G72" s="813" t="e">
        <f>IF(Cover!$E$11="",0, VLOOKUP(Cover!$E$11,$E$2:$AO$66,4))</f>
        <v>#N/A</v>
      </c>
      <c r="H72" s="813" t="e">
        <f>IF(Cover!$E$11="",0, VLOOKUP(Cover!$E$11,$E$2:$AO$66,5))</f>
        <v>#N/A</v>
      </c>
      <c r="I72" s="813" t="e">
        <f>IF(Cover!$E$11="",0, VLOOKUP(Cover!$E$11,$E$2:$AO$66,6))</f>
        <v>#N/A</v>
      </c>
      <c r="J72" s="813" t="e">
        <f>IF(Cover!$E$11="",0, VLOOKUP(Cover!$E$11,$E$2:$AO$66,7))</f>
        <v>#N/A</v>
      </c>
      <c r="K72" s="813" t="e">
        <f>IF(Cover!$E$11="",0, VLOOKUP(Cover!$E$11,$E$2:$AO$66,8))</f>
        <v>#N/A</v>
      </c>
      <c r="L72" s="813" t="e">
        <f>IF(Cover!$E$11="",0, VLOOKUP(Cover!$E$11,$E$2:$AO$66,9))</f>
        <v>#N/A</v>
      </c>
      <c r="AI72" s="813"/>
      <c r="AJ72" s="813"/>
      <c r="AK72" s="813"/>
      <c r="AL72" s="813"/>
      <c r="AM72" s="813"/>
      <c r="AN72" s="813"/>
      <c r="AO72" s="813"/>
      <c r="AP72" s="813"/>
      <c r="AQ72" s="813"/>
      <c r="AR72" s="813"/>
    </row>
    <row r="73" spans="1:44" x14ac:dyDescent="0.2">
      <c r="E73" s="811" t="s">
        <v>693</v>
      </c>
      <c r="F73" s="813" t="e">
        <f>IF(Cover!$E$11="",0, VLOOKUP(Cover!$E$11,$E$2:$AO$66,17))</f>
        <v>#N/A</v>
      </c>
      <c r="G73" s="813" t="e">
        <f>IF(Cover!$E$11="",0, VLOOKUP(Cover!$E$11,$E$2:$AO$66,18))</f>
        <v>#N/A</v>
      </c>
      <c r="H73" s="813" t="e">
        <f>IF(Cover!$E$11="",0, VLOOKUP(Cover!$E$11,$E$2:$AO$66,19))</f>
        <v>#N/A</v>
      </c>
      <c r="I73" s="813" t="e">
        <f>IF(Cover!$E$11="",0, VLOOKUP(Cover!$E$11,$E$2:$AO$66,20))</f>
        <v>#N/A</v>
      </c>
      <c r="J73" s="813" t="e">
        <f>IF(Cover!$E$11="",0, VLOOKUP(Cover!$E$11,$E$2:$AO$66,21))</f>
        <v>#N/A</v>
      </c>
      <c r="K73" s="813" t="e">
        <f>IF(Cover!$E$11="",0, VLOOKUP(Cover!$E$11,$E$2:$AO$66,22))</f>
        <v>#N/A</v>
      </c>
      <c r="L73" s="813" t="e">
        <f>IF(Cover!$E$11="",0, VLOOKUP(Cover!$E$11,$E$2:$AO$66,23))</f>
        <v>#N/A</v>
      </c>
      <c r="AI73" s="813"/>
      <c r="AJ73" s="813"/>
      <c r="AK73" s="813"/>
      <c r="AL73" s="813"/>
      <c r="AM73" s="813"/>
      <c r="AN73" s="813"/>
      <c r="AO73" s="813"/>
      <c r="AP73" s="813"/>
      <c r="AQ73" s="813"/>
      <c r="AR73" s="813"/>
    </row>
    <row r="74" spans="1:44" x14ac:dyDescent="0.2">
      <c r="E74" s="811" t="s">
        <v>1132</v>
      </c>
      <c r="F74" s="813" t="e">
        <f>IF(Cover!$E$11="",0, VLOOKUP(Cover!$E$11,$E$2:$AO$66,24))</f>
        <v>#N/A</v>
      </c>
      <c r="G74" s="813" t="e">
        <f>IF(Cover!$E$11="",0, VLOOKUP(Cover!$E$11,$E$2:$AO$66,25))</f>
        <v>#N/A</v>
      </c>
      <c r="H74" s="813" t="e">
        <f>IF(Cover!$E$11="",0, VLOOKUP(Cover!$E$11,$E$2:$AO$66,26))</f>
        <v>#N/A</v>
      </c>
      <c r="I74" s="813" t="e">
        <f>IF(Cover!$E$11="",0, VLOOKUP(Cover!$E$11,$E$2:$AO$66,27))</f>
        <v>#N/A</v>
      </c>
      <c r="J74" s="813" t="e">
        <f>IF(Cover!$E$11="",0, VLOOKUP(Cover!$E$11,$E$2:$AO$66,28))</f>
        <v>#N/A</v>
      </c>
      <c r="K74" s="813" t="e">
        <f>IF(Cover!$E$11="",0, VLOOKUP(Cover!$E$11,$E$2:$AO$66,29))</f>
        <v>#N/A</v>
      </c>
      <c r="L74" s="813" t="e">
        <f>IF(Cover!$E$11="",0, VLOOKUP(Cover!$E$11,$E$2:$AO$66,30))</f>
        <v>#N/A</v>
      </c>
      <c r="AI74" s="813"/>
      <c r="AJ74" s="813"/>
      <c r="AK74" s="813"/>
      <c r="AL74" s="813"/>
      <c r="AM74" s="813"/>
      <c r="AN74" s="813"/>
      <c r="AO74" s="813"/>
      <c r="AP74" s="813"/>
      <c r="AQ74" s="813"/>
      <c r="AR74" s="813"/>
    </row>
    <row r="75" spans="1:44" x14ac:dyDescent="0.2">
      <c r="E75" s="811" t="s">
        <v>1133</v>
      </c>
      <c r="F75" s="813" t="e">
        <f>IF(Cover!$E$11="",0, VLOOKUP(Cover!$E$11,$E$2:$AO$66,31))</f>
        <v>#N/A</v>
      </c>
      <c r="G75" s="813" t="e">
        <f>IF(Cover!$E$11="",0, VLOOKUP(Cover!$E$11,$E$2:$AO$66,32))</f>
        <v>#N/A</v>
      </c>
      <c r="H75" s="813" t="e">
        <f>IF(Cover!$E$11="",0, VLOOKUP(Cover!$E$11,$E$2:$AO$66,33))</f>
        <v>#N/A</v>
      </c>
      <c r="I75" s="813" t="e">
        <f>IF(Cover!$E$11="",0, VLOOKUP(Cover!$E$11,$E$2:$AO$66,34))</f>
        <v>#N/A</v>
      </c>
      <c r="J75" s="813" t="e">
        <f>IF(Cover!$E$11="",0, VLOOKUP(Cover!$E$11,$E$2:$AO$66,35))</f>
        <v>#N/A</v>
      </c>
      <c r="K75" s="813" t="e">
        <f>IF(Cover!$E$11="",0, VLOOKUP(Cover!$E$11,$E$2:$AO$66,36))</f>
        <v>#N/A</v>
      </c>
      <c r="L75" s="813" t="e">
        <f>IF(Cover!$E$11="",0, VLOOKUP(Cover!$E$11,$E$2:$AO$66,37))</f>
        <v>#N/A</v>
      </c>
      <c r="AI75" s="813"/>
      <c r="AJ75" s="813"/>
      <c r="AK75" s="813"/>
      <c r="AL75" s="813"/>
      <c r="AM75" s="813"/>
      <c r="AN75" s="813"/>
      <c r="AO75" s="813"/>
      <c r="AP75" s="813"/>
      <c r="AQ75" s="813"/>
      <c r="AR75" s="813"/>
    </row>
    <row r="76" spans="1:44" x14ac:dyDescent="0.2">
      <c r="E76" s="811" t="s">
        <v>1134</v>
      </c>
      <c r="F76" s="813" t="e">
        <f>IF(Cover!$E$11="",0, VLOOKUP(Cover!$E$11,$E$2:$AO$66,10))</f>
        <v>#N/A</v>
      </c>
      <c r="G76" s="813" t="e">
        <f>IF(Cover!$E$11="",0, VLOOKUP(Cover!$E$11,$E$2:$AO$66,11))</f>
        <v>#N/A</v>
      </c>
      <c r="H76" s="813" t="e">
        <f>IF(Cover!$E$11="",0,VLOOKUP(Cover!$E$11,$E$2:$AO$66,12))</f>
        <v>#N/A</v>
      </c>
      <c r="I76" s="813" t="e">
        <f>IF(Cover!$E$11="",0, VLOOKUP(Cover!$E$11,$E$2:$AO$66,13))</f>
        <v>#N/A</v>
      </c>
      <c r="J76" s="813" t="e">
        <f>IF(Cover!$E$11="",0, VLOOKUP(Cover!$E$11,$E$2:$AO$66,14))</f>
        <v>#N/A</v>
      </c>
      <c r="K76" s="813" t="e">
        <f>IF(Cover!$E$11="",0, VLOOKUP(Cover!$E$11,$E$2:$AO$66,15))</f>
        <v>#N/A</v>
      </c>
      <c r="L76" s="813" t="e">
        <f>IF(Cover!$E$11="",0, VLOOKUP(Cover!$E$11,$E$2:$AO$66,16))</f>
        <v>#N/A</v>
      </c>
    </row>
    <row r="77" spans="1:44" x14ac:dyDescent="0.2">
      <c r="E77" s="811" t="s">
        <v>1621</v>
      </c>
      <c r="F77" s="813" t="e">
        <f>IF(Cover!$E$11="",0, VLOOKUP(Cover!$E$11,$F$88:$AB$151,3))</f>
        <v>#N/A</v>
      </c>
      <c r="G77" s="813" t="e">
        <f>IF(Cover!$E$11="",0, VLOOKUP(Cover!$E$11,$F$88:$AB$151,4))</f>
        <v>#N/A</v>
      </c>
      <c r="H77" s="813" t="e">
        <f>IF(Cover!$E$11="",0, VLOOKUP(Cover!$E$11,$F$88:$AB$151,5))</f>
        <v>#N/A</v>
      </c>
      <c r="I77" s="813" t="e">
        <f>IF(Cover!$E$11="",0, VLOOKUP(Cover!$E$11,$F$88:$AB$151,6))</f>
        <v>#N/A</v>
      </c>
      <c r="J77" s="813" t="e">
        <f>IF(Cover!$E$11="",0, VLOOKUP(Cover!$E$11,$F$88:$AB$151,7))</f>
        <v>#N/A</v>
      </c>
      <c r="K77" s="813" t="e">
        <f>IF(Cover!$E$11="",0, VLOOKUP(Cover!$E$11,$F$88:$AB$151,8))</f>
        <v>#N/A</v>
      </c>
      <c r="L77" s="813" t="e">
        <f>IF(Cover!$E$11="",0, VLOOKUP(Cover!$E$11,$F$88:$AB$151,9))</f>
        <v>#N/A</v>
      </c>
    </row>
    <row r="80" spans="1:44" x14ac:dyDescent="0.2">
      <c r="E80" s="813"/>
      <c r="AI80" s="813"/>
      <c r="AJ80" s="813"/>
      <c r="AK80" s="813"/>
      <c r="AL80" s="813"/>
      <c r="AM80" s="813"/>
      <c r="AN80" s="813"/>
      <c r="AO80" s="813"/>
      <c r="AP80" s="813"/>
      <c r="AQ80" s="813"/>
      <c r="AR80" s="813"/>
    </row>
    <row r="81" spans="1:28" x14ac:dyDescent="0.2">
      <c r="E81" s="813"/>
      <c r="F81" s="814"/>
      <c r="G81" s="814"/>
      <c r="H81" s="814"/>
      <c r="I81" s="814"/>
      <c r="J81" s="814"/>
      <c r="K81" s="814"/>
      <c r="L81" s="814"/>
    </row>
    <row r="82" spans="1:28" x14ac:dyDescent="0.2">
      <c r="F82" s="813"/>
      <c r="G82" s="813"/>
      <c r="H82" s="813"/>
      <c r="I82" s="813"/>
      <c r="J82" s="813"/>
      <c r="K82" s="813"/>
      <c r="L82" s="813"/>
      <c r="N82" s="815"/>
      <c r="O82" s="813"/>
    </row>
    <row r="83" spans="1:28" x14ac:dyDescent="0.2">
      <c r="C83" s="813" t="e">
        <f>+F75</f>
        <v>#N/A</v>
      </c>
      <c r="F83" s="813"/>
      <c r="G83" s="813"/>
      <c r="H83" s="813"/>
      <c r="I83" s="813"/>
      <c r="J83" s="813"/>
      <c r="K83" s="813"/>
      <c r="L83" s="813"/>
      <c r="N83" s="815"/>
      <c r="O83" s="813"/>
    </row>
    <row r="84" spans="1:28" x14ac:dyDescent="0.2">
      <c r="F84" s="813"/>
      <c r="G84" s="813"/>
      <c r="H84" s="813"/>
      <c r="I84" s="813"/>
      <c r="J84" s="813"/>
      <c r="K84" s="813"/>
      <c r="L84" s="813"/>
      <c r="O84" s="813"/>
    </row>
    <row r="85" spans="1:28" x14ac:dyDescent="0.2">
      <c r="F85" s="813"/>
      <c r="G85" s="813"/>
      <c r="H85" s="813"/>
      <c r="I85" s="813"/>
      <c r="J85" s="813"/>
      <c r="K85" s="813"/>
      <c r="L85" s="813"/>
      <c r="N85" s="816"/>
      <c r="O85" s="813"/>
    </row>
    <row r="86" spans="1:28" x14ac:dyDescent="0.2">
      <c r="A86" s="829" t="s">
        <v>1624</v>
      </c>
      <c r="E86" s="817" t="s">
        <v>1624</v>
      </c>
      <c r="F86" s="813"/>
      <c r="G86" s="813"/>
      <c r="H86" s="813"/>
      <c r="I86" s="813" t="s">
        <v>1624</v>
      </c>
      <c r="J86" s="813"/>
      <c r="K86" s="813"/>
      <c r="L86" s="813"/>
      <c r="N86" s="816"/>
      <c r="O86" s="813"/>
    </row>
    <row r="87" spans="1:28" x14ac:dyDescent="0.2">
      <c r="A87" t="s">
        <v>873</v>
      </c>
      <c r="B87" t="s">
        <v>874</v>
      </c>
      <c r="C87" t="s">
        <v>1581</v>
      </c>
      <c r="D87" t="s">
        <v>1582</v>
      </c>
      <c r="E87" t="s">
        <v>1583</v>
      </c>
      <c r="F87" s="829" t="s">
        <v>111</v>
      </c>
      <c r="G87" t="s">
        <v>877</v>
      </c>
      <c r="H87" t="s">
        <v>1584</v>
      </c>
      <c r="I87" t="s">
        <v>1585</v>
      </c>
      <c r="J87" t="s">
        <v>1586</v>
      </c>
      <c r="K87" t="s">
        <v>1587</v>
      </c>
      <c r="L87" t="s">
        <v>1588</v>
      </c>
      <c r="M87" t="s">
        <v>1589</v>
      </c>
      <c r="N87" t="s">
        <v>1590</v>
      </c>
      <c r="O87" t="s">
        <v>1591</v>
      </c>
      <c r="P87" t="s">
        <v>1592</v>
      </c>
      <c r="Q87" t="s">
        <v>1593</v>
      </c>
      <c r="R87" t="s">
        <v>1594</v>
      </c>
      <c r="S87" t="s">
        <v>1595</v>
      </c>
      <c r="T87" t="s">
        <v>1596</v>
      </c>
      <c r="U87" t="s">
        <v>1597</v>
      </c>
      <c r="V87" t="s">
        <v>1598</v>
      </c>
      <c r="W87" t="s">
        <v>1599</v>
      </c>
      <c r="X87" t="s">
        <v>1600</v>
      </c>
      <c r="Y87" t="s">
        <v>1601</v>
      </c>
      <c r="Z87" t="s">
        <v>1602</v>
      </c>
      <c r="AA87" t="s">
        <v>1603</v>
      </c>
      <c r="AB87" t="s">
        <v>1604</v>
      </c>
    </row>
    <row r="88" spans="1:28" x14ac:dyDescent="0.2">
      <c r="A88">
        <v>22</v>
      </c>
      <c r="B88" t="s">
        <v>913</v>
      </c>
      <c r="C88">
        <v>1</v>
      </c>
      <c r="D88" t="s">
        <v>1605</v>
      </c>
      <c r="E88" t="s">
        <v>1606</v>
      </c>
      <c r="F88" s="811" t="s">
        <v>916</v>
      </c>
      <c r="G88" t="s">
        <v>917</v>
      </c>
      <c r="H88">
        <v>303</v>
      </c>
      <c r="I88">
        <v>357</v>
      </c>
      <c r="J88">
        <v>519</v>
      </c>
      <c r="K88">
        <v>681</v>
      </c>
      <c r="L88">
        <v>843</v>
      </c>
      <c r="M88">
        <v>1005</v>
      </c>
      <c r="N88">
        <v>1167</v>
      </c>
      <c r="O88">
        <v>260</v>
      </c>
      <c r="P88">
        <v>278</v>
      </c>
      <c r="Q88">
        <v>335</v>
      </c>
      <c r="R88">
        <v>386</v>
      </c>
      <c r="S88">
        <v>431</v>
      </c>
      <c r="T88">
        <v>476</v>
      </c>
      <c r="U88">
        <v>519</v>
      </c>
      <c r="V88">
        <v>303</v>
      </c>
      <c r="W88">
        <v>357</v>
      </c>
      <c r="X88">
        <v>519</v>
      </c>
      <c r="Y88">
        <v>681</v>
      </c>
      <c r="Z88">
        <v>843</v>
      </c>
      <c r="AA88">
        <v>1005</v>
      </c>
      <c r="AB88">
        <v>1167</v>
      </c>
    </row>
    <row r="89" spans="1:28" x14ac:dyDescent="0.2">
      <c r="A89">
        <v>22</v>
      </c>
      <c r="B89" t="s">
        <v>913</v>
      </c>
      <c r="C89">
        <v>3</v>
      </c>
      <c r="D89" t="s">
        <v>918</v>
      </c>
      <c r="E89" t="s">
        <v>919</v>
      </c>
      <c r="F89" s="811" t="s">
        <v>920</v>
      </c>
      <c r="G89" t="s">
        <v>921</v>
      </c>
      <c r="H89">
        <v>303</v>
      </c>
      <c r="I89">
        <v>357</v>
      </c>
      <c r="J89">
        <v>519</v>
      </c>
      <c r="K89">
        <v>681</v>
      </c>
      <c r="L89">
        <v>843</v>
      </c>
      <c r="M89">
        <v>1005</v>
      </c>
      <c r="N89">
        <v>1167</v>
      </c>
      <c r="O89">
        <v>286</v>
      </c>
      <c r="P89">
        <v>306</v>
      </c>
      <c r="Q89">
        <v>368</v>
      </c>
      <c r="R89">
        <v>425</v>
      </c>
      <c r="S89">
        <v>475</v>
      </c>
      <c r="T89">
        <v>523</v>
      </c>
      <c r="U89">
        <v>572</v>
      </c>
      <c r="V89">
        <v>303</v>
      </c>
      <c r="W89">
        <v>357</v>
      </c>
      <c r="X89">
        <v>519</v>
      </c>
      <c r="Y89">
        <v>681</v>
      </c>
      <c r="Z89">
        <v>843</v>
      </c>
      <c r="AA89">
        <v>1005</v>
      </c>
      <c r="AB89">
        <v>1167</v>
      </c>
    </row>
    <row r="90" spans="1:28" x14ac:dyDescent="0.2">
      <c r="A90">
        <v>22</v>
      </c>
      <c r="B90" t="s">
        <v>913</v>
      </c>
      <c r="C90">
        <v>5</v>
      </c>
      <c r="D90" t="s">
        <v>922</v>
      </c>
      <c r="E90" t="s">
        <v>923</v>
      </c>
      <c r="F90" s="811" t="s">
        <v>924</v>
      </c>
      <c r="G90" t="s">
        <v>925</v>
      </c>
      <c r="H90">
        <v>393</v>
      </c>
      <c r="I90">
        <v>421</v>
      </c>
      <c r="J90">
        <v>519</v>
      </c>
      <c r="K90">
        <v>681</v>
      </c>
      <c r="L90">
        <v>843</v>
      </c>
      <c r="M90">
        <v>1005</v>
      </c>
      <c r="N90">
        <v>1167</v>
      </c>
      <c r="O90">
        <v>393</v>
      </c>
      <c r="P90">
        <v>421</v>
      </c>
      <c r="Q90">
        <v>506</v>
      </c>
      <c r="R90">
        <v>583</v>
      </c>
      <c r="S90">
        <v>651</v>
      </c>
      <c r="T90">
        <v>718</v>
      </c>
      <c r="U90">
        <v>785</v>
      </c>
      <c r="V90">
        <v>303</v>
      </c>
      <c r="W90">
        <v>357</v>
      </c>
      <c r="X90">
        <v>519</v>
      </c>
      <c r="Y90">
        <v>681</v>
      </c>
      <c r="Z90">
        <v>843</v>
      </c>
      <c r="AA90">
        <v>1005</v>
      </c>
      <c r="AB90">
        <v>1167</v>
      </c>
    </row>
    <row r="91" spans="1:28" x14ac:dyDescent="0.2">
      <c r="A91">
        <v>22</v>
      </c>
      <c r="B91" t="s">
        <v>913</v>
      </c>
      <c r="C91">
        <v>7</v>
      </c>
      <c r="D91" t="s">
        <v>926</v>
      </c>
      <c r="E91" t="s">
        <v>927</v>
      </c>
      <c r="F91" s="811" t="s">
        <v>928</v>
      </c>
      <c r="G91" t="s">
        <v>929</v>
      </c>
      <c r="H91">
        <v>330</v>
      </c>
      <c r="I91">
        <v>357</v>
      </c>
      <c r="J91">
        <v>519</v>
      </c>
      <c r="K91">
        <v>681</v>
      </c>
      <c r="L91">
        <v>843</v>
      </c>
      <c r="M91">
        <v>1005</v>
      </c>
      <c r="N91">
        <v>1167</v>
      </c>
      <c r="O91">
        <v>330</v>
      </c>
      <c r="P91">
        <v>353</v>
      </c>
      <c r="Q91">
        <v>425</v>
      </c>
      <c r="R91">
        <v>490</v>
      </c>
      <c r="S91">
        <v>547</v>
      </c>
      <c r="T91">
        <v>603</v>
      </c>
      <c r="U91">
        <v>659</v>
      </c>
      <c r="V91">
        <v>303</v>
      </c>
      <c r="W91">
        <v>357</v>
      </c>
      <c r="X91">
        <v>519</v>
      </c>
      <c r="Y91">
        <v>681</v>
      </c>
      <c r="Z91">
        <v>843</v>
      </c>
      <c r="AA91">
        <v>1005</v>
      </c>
      <c r="AB91">
        <v>1167</v>
      </c>
    </row>
    <row r="92" spans="1:28" x14ac:dyDescent="0.2">
      <c r="A92">
        <v>22</v>
      </c>
      <c r="B92" t="s">
        <v>913</v>
      </c>
      <c r="C92">
        <v>9</v>
      </c>
      <c r="D92" t="s">
        <v>930</v>
      </c>
      <c r="E92" t="s">
        <v>931</v>
      </c>
      <c r="F92" s="811" t="s">
        <v>932</v>
      </c>
      <c r="G92" t="s">
        <v>933</v>
      </c>
      <c r="H92">
        <v>303</v>
      </c>
      <c r="I92">
        <v>357</v>
      </c>
      <c r="J92">
        <v>519</v>
      </c>
      <c r="K92">
        <v>681</v>
      </c>
      <c r="L92">
        <v>843</v>
      </c>
      <c r="M92">
        <v>1005</v>
      </c>
      <c r="N92">
        <v>1167</v>
      </c>
      <c r="O92">
        <v>260</v>
      </c>
      <c r="P92">
        <v>278</v>
      </c>
      <c r="Q92">
        <v>335</v>
      </c>
      <c r="R92">
        <v>386</v>
      </c>
      <c r="S92">
        <v>431</v>
      </c>
      <c r="T92">
        <v>476</v>
      </c>
      <c r="U92">
        <v>519</v>
      </c>
      <c r="V92">
        <v>303</v>
      </c>
      <c r="W92">
        <v>357</v>
      </c>
      <c r="X92">
        <v>519</v>
      </c>
      <c r="Y92">
        <v>681</v>
      </c>
      <c r="Z92">
        <v>843</v>
      </c>
      <c r="AA92">
        <v>1005</v>
      </c>
      <c r="AB92">
        <v>1167</v>
      </c>
    </row>
    <row r="93" spans="1:28" x14ac:dyDescent="0.2">
      <c r="A93">
        <v>22</v>
      </c>
      <c r="B93" t="s">
        <v>913</v>
      </c>
      <c r="C93">
        <v>11</v>
      </c>
      <c r="D93" t="s">
        <v>934</v>
      </c>
      <c r="E93" t="s">
        <v>935</v>
      </c>
      <c r="F93" s="811" t="s">
        <v>936</v>
      </c>
      <c r="G93" t="s">
        <v>937</v>
      </c>
      <c r="H93">
        <v>328</v>
      </c>
      <c r="I93">
        <v>357</v>
      </c>
      <c r="J93">
        <v>519</v>
      </c>
      <c r="K93">
        <v>681</v>
      </c>
      <c r="L93">
        <v>843</v>
      </c>
      <c r="M93">
        <v>1005</v>
      </c>
      <c r="N93">
        <v>1167</v>
      </c>
      <c r="O93">
        <v>328</v>
      </c>
      <c r="P93">
        <v>351</v>
      </c>
      <c r="Q93">
        <v>422</v>
      </c>
      <c r="R93">
        <v>487</v>
      </c>
      <c r="S93">
        <v>543</v>
      </c>
      <c r="T93">
        <v>600</v>
      </c>
      <c r="U93">
        <v>656</v>
      </c>
      <c r="V93">
        <v>303</v>
      </c>
      <c r="W93">
        <v>357</v>
      </c>
      <c r="X93">
        <v>519</v>
      </c>
      <c r="Y93">
        <v>681</v>
      </c>
      <c r="Z93">
        <v>843</v>
      </c>
      <c r="AA93">
        <v>1005</v>
      </c>
      <c r="AB93">
        <v>1167</v>
      </c>
    </row>
    <row r="94" spans="1:28" x14ac:dyDescent="0.2">
      <c r="A94">
        <v>22</v>
      </c>
      <c r="B94" t="s">
        <v>913</v>
      </c>
      <c r="C94">
        <v>13</v>
      </c>
      <c r="D94" t="s">
        <v>938</v>
      </c>
      <c r="E94" t="s">
        <v>939</v>
      </c>
      <c r="F94" s="811" t="s">
        <v>940</v>
      </c>
      <c r="G94" t="s">
        <v>941</v>
      </c>
      <c r="H94">
        <v>303</v>
      </c>
      <c r="I94">
        <v>357</v>
      </c>
      <c r="J94">
        <v>519</v>
      </c>
      <c r="K94">
        <v>681</v>
      </c>
      <c r="L94">
        <v>843</v>
      </c>
      <c r="M94">
        <v>1005</v>
      </c>
      <c r="N94">
        <v>1167</v>
      </c>
      <c r="O94">
        <v>260</v>
      </c>
      <c r="P94">
        <v>278</v>
      </c>
      <c r="Q94">
        <v>335</v>
      </c>
      <c r="R94">
        <v>386</v>
      </c>
      <c r="S94">
        <v>431</v>
      </c>
      <c r="T94">
        <v>476</v>
      </c>
      <c r="U94">
        <v>519</v>
      </c>
      <c r="V94">
        <v>303</v>
      </c>
      <c r="W94">
        <v>357</v>
      </c>
      <c r="X94">
        <v>519</v>
      </c>
      <c r="Y94">
        <v>681</v>
      </c>
      <c r="Z94">
        <v>843</v>
      </c>
      <c r="AA94">
        <v>1005</v>
      </c>
      <c r="AB94">
        <v>1167</v>
      </c>
    </row>
    <row r="95" spans="1:28" x14ac:dyDescent="0.2">
      <c r="A95">
        <v>22</v>
      </c>
      <c r="B95" t="s">
        <v>913</v>
      </c>
      <c r="C95">
        <v>15</v>
      </c>
      <c r="D95" t="s">
        <v>942</v>
      </c>
      <c r="E95" t="s">
        <v>1607</v>
      </c>
      <c r="F95" s="811" t="s">
        <v>944</v>
      </c>
      <c r="G95" t="s">
        <v>945</v>
      </c>
      <c r="H95">
        <v>330</v>
      </c>
      <c r="I95">
        <v>357</v>
      </c>
      <c r="J95">
        <v>519</v>
      </c>
      <c r="K95">
        <v>681</v>
      </c>
      <c r="L95">
        <v>843</v>
      </c>
      <c r="M95">
        <v>1005</v>
      </c>
      <c r="N95">
        <v>1167</v>
      </c>
      <c r="O95">
        <v>330</v>
      </c>
      <c r="P95">
        <v>353</v>
      </c>
      <c r="Q95">
        <v>423</v>
      </c>
      <c r="R95">
        <v>489</v>
      </c>
      <c r="S95">
        <v>546</v>
      </c>
      <c r="T95">
        <v>602</v>
      </c>
      <c r="U95">
        <v>658</v>
      </c>
      <c r="V95">
        <v>303</v>
      </c>
      <c r="W95">
        <v>357</v>
      </c>
      <c r="X95">
        <v>519</v>
      </c>
      <c r="Y95">
        <v>681</v>
      </c>
      <c r="Z95">
        <v>843</v>
      </c>
      <c r="AA95">
        <v>1005</v>
      </c>
      <c r="AB95">
        <v>1167</v>
      </c>
    </row>
    <row r="96" spans="1:28" x14ac:dyDescent="0.2">
      <c r="A96">
        <v>22</v>
      </c>
      <c r="B96" t="s">
        <v>913</v>
      </c>
      <c r="C96">
        <v>17</v>
      </c>
      <c r="D96" t="s">
        <v>942</v>
      </c>
      <c r="E96" t="s">
        <v>1607</v>
      </c>
      <c r="F96" s="811" t="s">
        <v>946</v>
      </c>
      <c r="G96" t="s">
        <v>947</v>
      </c>
      <c r="H96">
        <v>330</v>
      </c>
      <c r="I96">
        <v>357</v>
      </c>
      <c r="J96">
        <v>519</v>
      </c>
      <c r="K96">
        <v>681</v>
      </c>
      <c r="L96">
        <v>843</v>
      </c>
      <c r="M96">
        <v>1005</v>
      </c>
      <c r="N96">
        <v>1167</v>
      </c>
      <c r="O96">
        <v>330</v>
      </c>
      <c r="P96">
        <v>353</v>
      </c>
      <c r="Q96">
        <v>423</v>
      </c>
      <c r="R96">
        <v>489</v>
      </c>
      <c r="S96">
        <v>546</v>
      </c>
      <c r="T96">
        <v>602</v>
      </c>
      <c r="U96">
        <v>658</v>
      </c>
      <c r="V96">
        <v>303</v>
      </c>
      <c r="W96">
        <v>357</v>
      </c>
      <c r="X96">
        <v>519</v>
      </c>
      <c r="Y96">
        <v>681</v>
      </c>
      <c r="Z96">
        <v>843</v>
      </c>
      <c r="AA96">
        <v>1005</v>
      </c>
      <c r="AB96">
        <v>1167</v>
      </c>
    </row>
    <row r="97" spans="1:28" x14ac:dyDescent="0.2">
      <c r="A97">
        <v>22</v>
      </c>
      <c r="B97" t="s">
        <v>913</v>
      </c>
      <c r="C97">
        <v>19</v>
      </c>
      <c r="D97" t="s">
        <v>948</v>
      </c>
      <c r="E97" t="s">
        <v>949</v>
      </c>
      <c r="F97" s="811" t="s">
        <v>950</v>
      </c>
      <c r="G97" t="s">
        <v>951</v>
      </c>
      <c r="H97">
        <v>315</v>
      </c>
      <c r="I97">
        <v>357</v>
      </c>
      <c r="J97">
        <v>519</v>
      </c>
      <c r="K97">
        <v>681</v>
      </c>
      <c r="L97">
        <v>843</v>
      </c>
      <c r="M97">
        <v>1005</v>
      </c>
      <c r="N97">
        <v>1167</v>
      </c>
      <c r="O97">
        <v>315</v>
      </c>
      <c r="P97">
        <v>337</v>
      </c>
      <c r="Q97">
        <v>405</v>
      </c>
      <c r="R97">
        <v>468</v>
      </c>
      <c r="S97">
        <v>522</v>
      </c>
      <c r="T97">
        <v>576</v>
      </c>
      <c r="U97">
        <v>630</v>
      </c>
      <c r="V97">
        <v>303</v>
      </c>
      <c r="W97">
        <v>357</v>
      </c>
      <c r="X97">
        <v>519</v>
      </c>
      <c r="Y97">
        <v>681</v>
      </c>
      <c r="Z97">
        <v>843</v>
      </c>
      <c r="AA97">
        <v>1005</v>
      </c>
      <c r="AB97">
        <v>1167</v>
      </c>
    </row>
    <row r="98" spans="1:28" x14ac:dyDescent="0.2">
      <c r="A98">
        <v>22</v>
      </c>
      <c r="B98" t="s">
        <v>913</v>
      </c>
      <c r="C98">
        <v>21</v>
      </c>
      <c r="D98" t="s">
        <v>952</v>
      </c>
      <c r="E98" t="s">
        <v>953</v>
      </c>
      <c r="F98" s="811" t="s">
        <v>954</v>
      </c>
      <c r="G98" t="s">
        <v>955</v>
      </c>
      <c r="H98">
        <v>303</v>
      </c>
      <c r="I98">
        <v>357</v>
      </c>
      <c r="J98">
        <v>519</v>
      </c>
      <c r="K98">
        <v>681</v>
      </c>
      <c r="L98">
        <v>843</v>
      </c>
      <c r="M98">
        <v>1005</v>
      </c>
      <c r="N98">
        <v>1167</v>
      </c>
      <c r="O98">
        <v>262</v>
      </c>
      <c r="P98">
        <v>281</v>
      </c>
      <c r="Q98">
        <v>337</v>
      </c>
      <c r="R98">
        <v>388</v>
      </c>
      <c r="S98">
        <v>433</v>
      </c>
      <c r="T98">
        <v>478</v>
      </c>
      <c r="U98">
        <v>523</v>
      </c>
      <c r="V98">
        <v>303</v>
      </c>
      <c r="W98">
        <v>357</v>
      </c>
      <c r="X98">
        <v>519</v>
      </c>
      <c r="Y98">
        <v>681</v>
      </c>
      <c r="Z98">
        <v>843</v>
      </c>
      <c r="AA98">
        <v>1005</v>
      </c>
      <c r="AB98">
        <v>1167</v>
      </c>
    </row>
    <row r="99" spans="1:28" x14ac:dyDescent="0.2">
      <c r="A99">
        <v>22</v>
      </c>
      <c r="B99" t="s">
        <v>913</v>
      </c>
      <c r="C99">
        <v>23</v>
      </c>
      <c r="D99" t="s">
        <v>948</v>
      </c>
      <c r="E99" t="s">
        <v>949</v>
      </c>
      <c r="F99" s="811" t="s">
        <v>956</v>
      </c>
      <c r="G99" t="s">
        <v>957</v>
      </c>
      <c r="H99">
        <v>315</v>
      </c>
      <c r="I99">
        <v>357</v>
      </c>
      <c r="J99">
        <v>519</v>
      </c>
      <c r="K99">
        <v>681</v>
      </c>
      <c r="L99">
        <v>843</v>
      </c>
      <c r="M99">
        <v>1005</v>
      </c>
      <c r="N99">
        <v>1167</v>
      </c>
      <c r="O99">
        <v>315</v>
      </c>
      <c r="P99">
        <v>337</v>
      </c>
      <c r="Q99">
        <v>405</v>
      </c>
      <c r="R99">
        <v>468</v>
      </c>
      <c r="S99">
        <v>522</v>
      </c>
      <c r="T99">
        <v>576</v>
      </c>
      <c r="U99">
        <v>630</v>
      </c>
      <c r="V99">
        <v>303</v>
      </c>
      <c r="W99">
        <v>357</v>
      </c>
      <c r="X99">
        <v>519</v>
      </c>
      <c r="Y99">
        <v>681</v>
      </c>
      <c r="Z99">
        <v>843</v>
      </c>
      <c r="AA99">
        <v>1005</v>
      </c>
      <c r="AB99">
        <v>1167</v>
      </c>
    </row>
    <row r="100" spans="1:28" x14ac:dyDescent="0.2">
      <c r="A100">
        <v>22</v>
      </c>
      <c r="B100" t="s">
        <v>913</v>
      </c>
      <c r="C100">
        <v>25</v>
      </c>
      <c r="D100" t="s">
        <v>958</v>
      </c>
      <c r="E100" t="s">
        <v>959</v>
      </c>
      <c r="F100" s="811" t="s">
        <v>960</v>
      </c>
      <c r="G100" t="s">
        <v>961</v>
      </c>
      <c r="H100">
        <v>303</v>
      </c>
      <c r="I100">
        <v>357</v>
      </c>
      <c r="J100">
        <v>519</v>
      </c>
      <c r="K100">
        <v>681</v>
      </c>
      <c r="L100">
        <v>843</v>
      </c>
      <c r="M100">
        <v>1005</v>
      </c>
      <c r="N100">
        <v>1167</v>
      </c>
      <c r="O100">
        <v>280</v>
      </c>
      <c r="P100">
        <v>300</v>
      </c>
      <c r="Q100">
        <v>360</v>
      </c>
      <c r="R100">
        <v>416</v>
      </c>
      <c r="S100">
        <v>465</v>
      </c>
      <c r="T100">
        <v>512</v>
      </c>
      <c r="U100">
        <v>560</v>
      </c>
      <c r="V100">
        <v>303</v>
      </c>
      <c r="W100">
        <v>357</v>
      </c>
      <c r="X100">
        <v>519</v>
      </c>
      <c r="Y100">
        <v>681</v>
      </c>
      <c r="Z100">
        <v>843</v>
      </c>
      <c r="AA100">
        <v>1005</v>
      </c>
      <c r="AB100">
        <v>1167</v>
      </c>
    </row>
    <row r="101" spans="1:28" x14ac:dyDescent="0.2">
      <c r="A101">
        <v>22</v>
      </c>
      <c r="B101" t="s">
        <v>913</v>
      </c>
      <c r="C101">
        <v>27</v>
      </c>
      <c r="D101" t="s">
        <v>962</v>
      </c>
      <c r="E101" t="s">
        <v>963</v>
      </c>
      <c r="F101" s="811" t="s">
        <v>964</v>
      </c>
      <c r="G101" t="s">
        <v>965</v>
      </c>
      <c r="H101">
        <v>303</v>
      </c>
      <c r="I101">
        <v>357</v>
      </c>
      <c r="J101">
        <v>519</v>
      </c>
      <c r="K101">
        <v>681</v>
      </c>
      <c r="L101">
        <v>843</v>
      </c>
      <c r="M101">
        <v>1005</v>
      </c>
      <c r="N101">
        <v>1167</v>
      </c>
      <c r="O101">
        <v>260</v>
      </c>
      <c r="P101">
        <v>278</v>
      </c>
      <c r="Q101">
        <v>335</v>
      </c>
      <c r="R101">
        <v>386</v>
      </c>
      <c r="S101">
        <v>431</v>
      </c>
      <c r="T101">
        <v>476</v>
      </c>
      <c r="U101">
        <v>519</v>
      </c>
      <c r="V101">
        <v>303</v>
      </c>
      <c r="W101">
        <v>357</v>
      </c>
      <c r="X101">
        <v>519</v>
      </c>
      <c r="Y101">
        <v>681</v>
      </c>
      <c r="Z101">
        <v>843</v>
      </c>
      <c r="AA101">
        <v>1005</v>
      </c>
      <c r="AB101">
        <v>1167</v>
      </c>
    </row>
    <row r="102" spans="1:28" x14ac:dyDescent="0.2">
      <c r="A102">
        <v>22</v>
      </c>
      <c r="B102" t="s">
        <v>913</v>
      </c>
      <c r="C102">
        <v>29</v>
      </c>
      <c r="D102" t="s">
        <v>966</v>
      </c>
      <c r="E102" t="s">
        <v>967</v>
      </c>
      <c r="F102" s="811" t="s">
        <v>968</v>
      </c>
      <c r="G102" t="s">
        <v>969</v>
      </c>
      <c r="H102">
        <v>303</v>
      </c>
      <c r="I102">
        <v>357</v>
      </c>
      <c r="J102">
        <v>519</v>
      </c>
      <c r="K102">
        <v>681</v>
      </c>
      <c r="L102">
        <v>843</v>
      </c>
      <c r="M102">
        <v>1005</v>
      </c>
      <c r="N102">
        <v>1167</v>
      </c>
      <c r="O102">
        <v>260</v>
      </c>
      <c r="P102">
        <v>278</v>
      </c>
      <c r="Q102">
        <v>335</v>
      </c>
      <c r="R102">
        <v>386</v>
      </c>
      <c r="S102">
        <v>431</v>
      </c>
      <c r="T102">
        <v>476</v>
      </c>
      <c r="U102">
        <v>519</v>
      </c>
      <c r="V102">
        <v>303</v>
      </c>
      <c r="W102">
        <v>357</v>
      </c>
      <c r="X102">
        <v>519</v>
      </c>
      <c r="Y102">
        <v>681</v>
      </c>
      <c r="Z102">
        <v>843</v>
      </c>
      <c r="AA102">
        <v>1005</v>
      </c>
      <c r="AB102">
        <v>1167</v>
      </c>
    </row>
    <row r="103" spans="1:28" x14ac:dyDescent="0.2">
      <c r="A103">
        <v>22</v>
      </c>
      <c r="B103" t="s">
        <v>913</v>
      </c>
      <c r="C103">
        <v>31</v>
      </c>
      <c r="D103" t="s">
        <v>942</v>
      </c>
      <c r="E103" t="s">
        <v>1607</v>
      </c>
      <c r="F103" s="811" t="s">
        <v>970</v>
      </c>
      <c r="G103" t="s">
        <v>971</v>
      </c>
      <c r="H103">
        <v>330</v>
      </c>
      <c r="I103">
        <v>357</v>
      </c>
      <c r="J103">
        <v>519</v>
      </c>
      <c r="K103">
        <v>681</v>
      </c>
      <c r="L103">
        <v>843</v>
      </c>
      <c r="M103">
        <v>1005</v>
      </c>
      <c r="N103">
        <v>1167</v>
      </c>
      <c r="O103">
        <v>330</v>
      </c>
      <c r="P103">
        <v>353</v>
      </c>
      <c r="Q103">
        <v>423</v>
      </c>
      <c r="R103">
        <v>489</v>
      </c>
      <c r="S103">
        <v>546</v>
      </c>
      <c r="T103">
        <v>602</v>
      </c>
      <c r="U103">
        <v>658</v>
      </c>
      <c r="V103">
        <v>303</v>
      </c>
      <c r="W103">
        <v>357</v>
      </c>
      <c r="X103">
        <v>519</v>
      </c>
      <c r="Y103">
        <v>681</v>
      </c>
      <c r="Z103">
        <v>843</v>
      </c>
      <c r="AA103">
        <v>1005</v>
      </c>
      <c r="AB103">
        <v>1167</v>
      </c>
    </row>
    <row r="104" spans="1:28" x14ac:dyDescent="0.2">
      <c r="A104">
        <v>22</v>
      </c>
      <c r="B104" t="s">
        <v>913</v>
      </c>
      <c r="C104">
        <v>33</v>
      </c>
      <c r="D104" t="s">
        <v>922</v>
      </c>
      <c r="E104" t="s">
        <v>923</v>
      </c>
      <c r="F104" s="811" t="s">
        <v>972</v>
      </c>
      <c r="G104" t="s">
        <v>973</v>
      </c>
      <c r="H104">
        <v>393</v>
      </c>
      <c r="I104">
        <v>421</v>
      </c>
      <c r="J104">
        <v>519</v>
      </c>
      <c r="K104">
        <v>681</v>
      </c>
      <c r="L104">
        <v>843</v>
      </c>
      <c r="M104">
        <v>1005</v>
      </c>
      <c r="N104">
        <v>1167</v>
      </c>
      <c r="O104">
        <v>393</v>
      </c>
      <c r="P104">
        <v>421</v>
      </c>
      <c r="Q104">
        <v>506</v>
      </c>
      <c r="R104">
        <v>583</v>
      </c>
      <c r="S104">
        <v>651</v>
      </c>
      <c r="T104">
        <v>718</v>
      </c>
      <c r="U104">
        <v>785</v>
      </c>
      <c r="V104">
        <v>303</v>
      </c>
      <c r="W104">
        <v>357</v>
      </c>
      <c r="X104">
        <v>519</v>
      </c>
      <c r="Y104">
        <v>681</v>
      </c>
      <c r="Z104">
        <v>843</v>
      </c>
      <c r="AA104">
        <v>1005</v>
      </c>
      <c r="AB104">
        <v>1167</v>
      </c>
    </row>
    <row r="105" spans="1:28" x14ac:dyDescent="0.2">
      <c r="A105">
        <v>22</v>
      </c>
      <c r="B105" t="s">
        <v>913</v>
      </c>
      <c r="C105">
        <v>35</v>
      </c>
      <c r="D105" t="s">
        <v>974</v>
      </c>
      <c r="E105" t="s">
        <v>975</v>
      </c>
      <c r="F105" s="811" t="s">
        <v>976</v>
      </c>
      <c r="G105" t="s">
        <v>977</v>
      </c>
      <c r="H105">
        <v>303</v>
      </c>
      <c r="I105">
        <v>357</v>
      </c>
      <c r="J105">
        <v>519</v>
      </c>
      <c r="K105">
        <v>681</v>
      </c>
      <c r="L105">
        <v>843</v>
      </c>
      <c r="M105">
        <v>1005</v>
      </c>
      <c r="N105">
        <v>1167</v>
      </c>
      <c r="O105">
        <v>260</v>
      </c>
      <c r="P105">
        <v>278</v>
      </c>
      <c r="Q105">
        <v>335</v>
      </c>
      <c r="R105">
        <v>386</v>
      </c>
      <c r="S105">
        <v>431</v>
      </c>
      <c r="T105">
        <v>476</v>
      </c>
      <c r="U105">
        <v>519</v>
      </c>
      <c r="V105">
        <v>303</v>
      </c>
      <c r="W105">
        <v>357</v>
      </c>
      <c r="X105">
        <v>519</v>
      </c>
      <c r="Y105">
        <v>681</v>
      </c>
      <c r="Z105">
        <v>843</v>
      </c>
      <c r="AA105">
        <v>1005</v>
      </c>
      <c r="AB105">
        <v>1167</v>
      </c>
    </row>
    <row r="106" spans="1:28" x14ac:dyDescent="0.2">
      <c r="A106">
        <v>22</v>
      </c>
      <c r="B106" t="s">
        <v>913</v>
      </c>
      <c r="C106">
        <v>37</v>
      </c>
      <c r="D106" t="s">
        <v>922</v>
      </c>
      <c r="E106" t="s">
        <v>923</v>
      </c>
      <c r="F106" s="811" t="s">
        <v>978</v>
      </c>
      <c r="G106" t="s">
        <v>979</v>
      </c>
      <c r="H106">
        <v>393</v>
      </c>
      <c r="I106">
        <v>421</v>
      </c>
      <c r="J106">
        <v>519</v>
      </c>
      <c r="K106">
        <v>681</v>
      </c>
      <c r="L106">
        <v>843</v>
      </c>
      <c r="M106">
        <v>1005</v>
      </c>
      <c r="N106">
        <v>1167</v>
      </c>
      <c r="O106">
        <v>393</v>
      </c>
      <c r="P106">
        <v>421</v>
      </c>
      <c r="Q106">
        <v>506</v>
      </c>
      <c r="R106">
        <v>583</v>
      </c>
      <c r="S106">
        <v>651</v>
      </c>
      <c r="T106">
        <v>718</v>
      </c>
      <c r="U106">
        <v>785</v>
      </c>
      <c r="V106">
        <v>303</v>
      </c>
      <c r="W106">
        <v>357</v>
      </c>
      <c r="X106">
        <v>519</v>
      </c>
      <c r="Y106">
        <v>681</v>
      </c>
      <c r="Z106">
        <v>843</v>
      </c>
      <c r="AA106">
        <v>1005</v>
      </c>
      <c r="AB106">
        <v>1167</v>
      </c>
    </row>
    <row r="107" spans="1:28" x14ac:dyDescent="0.2">
      <c r="A107">
        <v>22</v>
      </c>
      <c r="B107" t="s">
        <v>913</v>
      </c>
      <c r="C107">
        <v>39</v>
      </c>
      <c r="D107" t="s">
        <v>980</v>
      </c>
      <c r="E107" t="s">
        <v>981</v>
      </c>
      <c r="F107" s="811" t="s">
        <v>982</v>
      </c>
      <c r="G107" t="s">
        <v>983</v>
      </c>
      <c r="H107">
        <v>303</v>
      </c>
      <c r="I107">
        <v>357</v>
      </c>
      <c r="J107">
        <v>519</v>
      </c>
      <c r="K107">
        <v>681</v>
      </c>
      <c r="L107">
        <v>843</v>
      </c>
      <c r="M107">
        <v>1005</v>
      </c>
      <c r="N107">
        <v>1167</v>
      </c>
      <c r="O107">
        <v>260</v>
      </c>
      <c r="P107">
        <v>278</v>
      </c>
      <c r="Q107">
        <v>335</v>
      </c>
      <c r="R107">
        <v>386</v>
      </c>
      <c r="S107">
        <v>431</v>
      </c>
      <c r="T107">
        <v>476</v>
      </c>
      <c r="U107">
        <v>519</v>
      </c>
      <c r="V107">
        <v>303</v>
      </c>
      <c r="W107">
        <v>357</v>
      </c>
      <c r="X107">
        <v>519</v>
      </c>
      <c r="Y107">
        <v>681</v>
      </c>
      <c r="Z107">
        <v>843</v>
      </c>
      <c r="AA107">
        <v>1005</v>
      </c>
      <c r="AB107">
        <v>1167</v>
      </c>
    </row>
    <row r="108" spans="1:28" x14ac:dyDescent="0.2">
      <c r="A108">
        <v>22</v>
      </c>
      <c r="B108" t="s">
        <v>913</v>
      </c>
      <c r="C108">
        <v>41</v>
      </c>
      <c r="D108" t="s">
        <v>984</v>
      </c>
      <c r="E108" t="s">
        <v>985</v>
      </c>
      <c r="F108" s="811" t="s">
        <v>986</v>
      </c>
      <c r="G108" t="s">
        <v>987</v>
      </c>
      <c r="H108">
        <v>303</v>
      </c>
      <c r="I108">
        <v>357</v>
      </c>
      <c r="J108">
        <v>519</v>
      </c>
      <c r="K108">
        <v>681</v>
      </c>
      <c r="L108">
        <v>843</v>
      </c>
      <c r="M108">
        <v>1005</v>
      </c>
      <c r="N108">
        <v>1167</v>
      </c>
      <c r="O108">
        <v>260</v>
      </c>
      <c r="P108">
        <v>278</v>
      </c>
      <c r="Q108">
        <v>335</v>
      </c>
      <c r="R108">
        <v>386</v>
      </c>
      <c r="S108">
        <v>431</v>
      </c>
      <c r="T108">
        <v>476</v>
      </c>
      <c r="U108">
        <v>519</v>
      </c>
      <c r="V108">
        <v>303</v>
      </c>
      <c r="W108">
        <v>357</v>
      </c>
      <c r="X108">
        <v>519</v>
      </c>
      <c r="Y108">
        <v>681</v>
      </c>
      <c r="Z108">
        <v>843</v>
      </c>
      <c r="AA108">
        <v>1005</v>
      </c>
      <c r="AB108">
        <v>1167</v>
      </c>
    </row>
    <row r="109" spans="1:28" x14ac:dyDescent="0.2">
      <c r="A109">
        <v>22</v>
      </c>
      <c r="B109" t="s">
        <v>913</v>
      </c>
      <c r="C109">
        <v>43</v>
      </c>
      <c r="D109" t="s">
        <v>988</v>
      </c>
      <c r="E109" t="s">
        <v>989</v>
      </c>
      <c r="F109" s="811" t="s">
        <v>990</v>
      </c>
      <c r="G109" t="s">
        <v>991</v>
      </c>
      <c r="H109">
        <v>303</v>
      </c>
      <c r="I109">
        <v>357</v>
      </c>
      <c r="J109">
        <v>519</v>
      </c>
      <c r="K109">
        <v>681</v>
      </c>
      <c r="L109">
        <v>843</v>
      </c>
      <c r="M109">
        <v>1005</v>
      </c>
      <c r="N109">
        <v>1167</v>
      </c>
      <c r="O109">
        <v>291</v>
      </c>
      <c r="P109">
        <v>311</v>
      </c>
      <c r="Q109">
        <v>373</v>
      </c>
      <c r="R109">
        <v>431</v>
      </c>
      <c r="S109">
        <v>482</v>
      </c>
      <c r="T109">
        <v>531</v>
      </c>
      <c r="U109">
        <v>581</v>
      </c>
      <c r="V109">
        <v>303</v>
      </c>
      <c r="W109">
        <v>357</v>
      </c>
      <c r="X109">
        <v>519</v>
      </c>
      <c r="Y109">
        <v>681</v>
      </c>
      <c r="Z109">
        <v>843</v>
      </c>
      <c r="AA109">
        <v>1005</v>
      </c>
      <c r="AB109">
        <v>1167</v>
      </c>
    </row>
    <row r="110" spans="1:28" x14ac:dyDescent="0.2">
      <c r="A110">
        <v>22</v>
      </c>
      <c r="B110" t="s">
        <v>913</v>
      </c>
      <c r="C110">
        <v>45</v>
      </c>
      <c r="D110" t="s">
        <v>1608</v>
      </c>
      <c r="E110" t="s">
        <v>1609</v>
      </c>
      <c r="F110" s="811" t="s">
        <v>994</v>
      </c>
      <c r="G110" t="s">
        <v>995</v>
      </c>
      <c r="H110">
        <v>303</v>
      </c>
      <c r="I110">
        <v>357</v>
      </c>
      <c r="J110">
        <v>519</v>
      </c>
      <c r="K110">
        <v>681</v>
      </c>
      <c r="L110">
        <v>843</v>
      </c>
      <c r="M110">
        <v>1005</v>
      </c>
      <c r="N110">
        <v>1167</v>
      </c>
      <c r="O110">
        <v>303</v>
      </c>
      <c r="P110">
        <v>325</v>
      </c>
      <c r="Q110">
        <v>390</v>
      </c>
      <c r="R110">
        <v>450</v>
      </c>
      <c r="S110">
        <v>502</v>
      </c>
      <c r="T110">
        <v>554</v>
      </c>
      <c r="U110">
        <v>605</v>
      </c>
      <c r="V110">
        <v>303</v>
      </c>
      <c r="W110">
        <v>357</v>
      </c>
      <c r="X110">
        <v>519</v>
      </c>
      <c r="Y110">
        <v>681</v>
      </c>
      <c r="Z110">
        <v>843</v>
      </c>
      <c r="AA110">
        <v>1005</v>
      </c>
      <c r="AB110">
        <v>1167</v>
      </c>
    </row>
    <row r="111" spans="1:28" x14ac:dyDescent="0.2">
      <c r="A111">
        <v>22</v>
      </c>
      <c r="B111" t="s">
        <v>913</v>
      </c>
      <c r="C111">
        <v>47</v>
      </c>
      <c r="D111" t="s">
        <v>996</v>
      </c>
      <c r="E111" t="s">
        <v>997</v>
      </c>
      <c r="F111" s="811" t="s">
        <v>998</v>
      </c>
      <c r="G111" t="s">
        <v>999</v>
      </c>
      <c r="H111">
        <v>315</v>
      </c>
      <c r="I111">
        <v>357</v>
      </c>
      <c r="J111">
        <v>519</v>
      </c>
      <c r="K111">
        <v>681</v>
      </c>
      <c r="L111">
        <v>843</v>
      </c>
      <c r="M111">
        <v>1005</v>
      </c>
      <c r="N111">
        <v>1167</v>
      </c>
      <c r="O111">
        <v>315</v>
      </c>
      <c r="P111">
        <v>337</v>
      </c>
      <c r="Q111">
        <v>405</v>
      </c>
      <c r="R111">
        <v>466</v>
      </c>
      <c r="S111">
        <v>521</v>
      </c>
      <c r="T111">
        <v>575</v>
      </c>
      <c r="U111">
        <v>628</v>
      </c>
      <c r="V111">
        <v>303</v>
      </c>
      <c r="W111">
        <v>357</v>
      </c>
      <c r="X111">
        <v>519</v>
      </c>
      <c r="Y111">
        <v>681</v>
      </c>
      <c r="Z111">
        <v>843</v>
      </c>
      <c r="AA111">
        <v>1005</v>
      </c>
      <c r="AB111">
        <v>1167</v>
      </c>
    </row>
    <row r="112" spans="1:28" x14ac:dyDescent="0.2">
      <c r="A112">
        <v>22</v>
      </c>
      <c r="B112" t="s">
        <v>913</v>
      </c>
      <c r="C112">
        <v>49</v>
      </c>
      <c r="D112" t="s">
        <v>1000</v>
      </c>
      <c r="E112" t="s">
        <v>1001</v>
      </c>
      <c r="F112" s="811" t="s">
        <v>1002</v>
      </c>
      <c r="G112" t="s">
        <v>1003</v>
      </c>
      <c r="H112">
        <v>303</v>
      </c>
      <c r="I112">
        <v>357</v>
      </c>
      <c r="J112">
        <v>519</v>
      </c>
      <c r="K112">
        <v>681</v>
      </c>
      <c r="L112">
        <v>843</v>
      </c>
      <c r="M112">
        <v>1005</v>
      </c>
      <c r="N112">
        <v>1167</v>
      </c>
      <c r="O112">
        <v>260</v>
      </c>
      <c r="P112">
        <v>278</v>
      </c>
      <c r="Q112">
        <v>335</v>
      </c>
      <c r="R112">
        <v>386</v>
      </c>
      <c r="S112">
        <v>431</v>
      </c>
      <c r="T112">
        <v>476</v>
      </c>
      <c r="U112">
        <v>519</v>
      </c>
      <c r="V112">
        <v>303</v>
      </c>
      <c r="W112">
        <v>357</v>
      </c>
      <c r="X112">
        <v>519</v>
      </c>
      <c r="Y112">
        <v>681</v>
      </c>
      <c r="Z112">
        <v>843</v>
      </c>
      <c r="AA112">
        <v>1005</v>
      </c>
      <c r="AB112">
        <v>1167</v>
      </c>
    </row>
    <row r="113" spans="1:28" x14ac:dyDescent="0.2">
      <c r="A113">
        <v>22</v>
      </c>
      <c r="B113" t="s">
        <v>913</v>
      </c>
      <c r="C113">
        <v>51</v>
      </c>
      <c r="D113" t="s">
        <v>1004</v>
      </c>
      <c r="E113" t="s">
        <v>1610</v>
      </c>
      <c r="F113" s="811" t="s">
        <v>1006</v>
      </c>
      <c r="G113" t="s">
        <v>1007</v>
      </c>
      <c r="H113">
        <v>345</v>
      </c>
      <c r="I113">
        <v>370</v>
      </c>
      <c r="J113">
        <v>519</v>
      </c>
      <c r="K113">
        <v>681</v>
      </c>
      <c r="L113">
        <v>843</v>
      </c>
      <c r="M113">
        <v>1005</v>
      </c>
      <c r="N113">
        <v>1167</v>
      </c>
      <c r="O113">
        <v>345</v>
      </c>
      <c r="P113">
        <v>370</v>
      </c>
      <c r="Q113">
        <v>443</v>
      </c>
      <c r="R113">
        <v>512</v>
      </c>
      <c r="S113">
        <v>572</v>
      </c>
      <c r="T113">
        <v>631</v>
      </c>
      <c r="U113">
        <v>689</v>
      </c>
      <c r="V113">
        <v>303</v>
      </c>
      <c r="W113">
        <v>357</v>
      </c>
      <c r="X113">
        <v>519</v>
      </c>
      <c r="Y113">
        <v>681</v>
      </c>
      <c r="Z113">
        <v>843</v>
      </c>
      <c r="AA113">
        <v>1005</v>
      </c>
      <c r="AB113">
        <v>1167</v>
      </c>
    </row>
    <row r="114" spans="1:28" x14ac:dyDescent="0.2">
      <c r="A114">
        <v>22</v>
      </c>
      <c r="B114" t="s">
        <v>913</v>
      </c>
      <c r="C114">
        <v>53</v>
      </c>
      <c r="D114" t="s">
        <v>1008</v>
      </c>
      <c r="E114" t="s">
        <v>1009</v>
      </c>
      <c r="F114" s="811" t="s">
        <v>1010</v>
      </c>
      <c r="G114" t="s">
        <v>1011</v>
      </c>
      <c r="H114">
        <v>303</v>
      </c>
      <c r="I114">
        <v>357</v>
      </c>
      <c r="J114">
        <v>519</v>
      </c>
      <c r="K114">
        <v>681</v>
      </c>
      <c r="L114">
        <v>843</v>
      </c>
      <c r="M114">
        <v>1005</v>
      </c>
      <c r="N114">
        <v>1167</v>
      </c>
      <c r="O114">
        <v>283</v>
      </c>
      <c r="P114">
        <v>304</v>
      </c>
      <c r="Q114">
        <v>365</v>
      </c>
      <c r="R114">
        <v>421</v>
      </c>
      <c r="S114">
        <v>470</v>
      </c>
      <c r="T114">
        <v>518</v>
      </c>
      <c r="U114">
        <v>567</v>
      </c>
      <c r="V114">
        <v>303</v>
      </c>
      <c r="W114">
        <v>357</v>
      </c>
      <c r="X114">
        <v>519</v>
      </c>
      <c r="Y114">
        <v>681</v>
      </c>
      <c r="Z114">
        <v>843</v>
      </c>
      <c r="AA114">
        <v>1005</v>
      </c>
      <c r="AB114">
        <v>1167</v>
      </c>
    </row>
    <row r="115" spans="1:28" x14ac:dyDescent="0.2">
      <c r="A115">
        <v>22</v>
      </c>
      <c r="B115" t="s">
        <v>913</v>
      </c>
      <c r="C115">
        <v>55</v>
      </c>
      <c r="D115" t="s">
        <v>1012</v>
      </c>
      <c r="E115" t="s">
        <v>1611</v>
      </c>
      <c r="F115" s="811" t="s">
        <v>1014</v>
      </c>
      <c r="G115" t="s">
        <v>1015</v>
      </c>
      <c r="H115">
        <v>370</v>
      </c>
      <c r="I115">
        <v>396</v>
      </c>
      <c r="J115">
        <v>519</v>
      </c>
      <c r="K115">
        <v>681</v>
      </c>
      <c r="L115">
        <v>843</v>
      </c>
      <c r="M115">
        <v>1005</v>
      </c>
      <c r="N115">
        <v>1167</v>
      </c>
      <c r="O115">
        <v>370</v>
      </c>
      <c r="P115">
        <v>396</v>
      </c>
      <c r="Q115">
        <v>475</v>
      </c>
      <c r="R115">
        <v>548</v>
      </c>
      <c r="S115">
        <v>612</v>
      </c>
      <c r="T115">
        <v>676</v>
      </c>
      <c r="U115">
        <v>738</v>
      </c>
      <c r="V115">
        <v>303</v>
      </c>
      <c r="W115">
        <v>357</v>
      </c>
      <c r="X115">
        <v>519</v>
      </c>
      <c r="Y115">
        <v>681</v>
      </c>
      <c r="Z115">
        <v>843</v>
      </c>
      <c r="AA115">
        <v>1005</v>
      </c>
      <c r="AB115">
        <v>1167</v>
      </c>
    </row>
    <row r="116" spans="1:28" x14ac:dyDescent="0.2">
      <c r="A116">
        <v>22</v>
      </c>
      <c r="B116" t="s">
        <v>913</v>
      </c>
      <c r="C116">
        <v>57</v>
      </c>
      <c r="D116" t="s">
        <v>1016</v>
      </c>
      <c r="E116" t="s">
        <v>1612</v>
      </c>
      <c r="F116" s="811" t="s">
        <v>1018</v>
      </c>
      <c r="G116" t="s">
        <v>1019</v>
      </c>
      <c r="H116">
        <v>323</v>
      </c>
      <c r="I116">
        <v>357</v>
      </c>
      <c r="J116">
        <v>519</v>
      </c>
      <c r="K116">
        <v>681</v>
      </c>
      <c r="L116">
        <v>843</v>
      </c>
      <c r="M116">
        <v>1005</v>
      </c>
      <c r="N116">
        <v>1167</v>
      </c>
      <c r="O116">
        <v>323</v>
      </c>
      <c r="P116">
        <v>346</v>
      </c>
      <c r="Q116">
        <v>416</v>
      </c>
      <c r="R116">
        <v>481</v>
      </c>
      <c r="S116">
        <v>537</v>
      </c>
      <c r="T116">
        <v>592</v>
      </c>
      <c r="U116">
        <v>647</v>
      </c>
      <c r="V116">
        <v>303</v>
      </c>
      <c r="W116">
        <v>357</v>
      </c>
      <c r="X116">
        <v>519</v>
      </c>
      <c r="Y116">
        <v>681</v>
      </c>
      <c r="Z116">
        <v>843</v>
      </c>
      <c r="AA116">
        <v>1005</v>
      </c>
      <c r="AB116">
        <v>1167</v>
      </c>
    </row>
    <row r="117" spans="1:28" x14ac:dyDescent="0.2">
      <c r="A117">
        <v>22</v>
      </c>
      <c r="B117" t="s">
        <v>913</v>
      </c>
      <c r="C117">
        <v>59</v>
      </c>
      <c r="D117" t="s">
        <v>1020</v>
      </c>
      <c r="E117" t="s">
        <v>1021</v>
      </c>
      <c r="F117" s="811" t="s">
        <v>1022</v>
      </c>
      <c r="G117" t="s">
        <v>1023</v>
      </c>
      <c r="H117">
        <v>303</v>
      </c>
      <c r="I117">
        <v>357</v>
      </c>
      <c r="J117">
        <v>519</v>
      </c>
      <c r="K117">
        <v>681</v>
      </c>
      <c r="L117">
        <v>843</v>
      </c>
      <c r="M117">
        <v>1005</v>
      </c>
      <c r="N117">
        <v>1167</v>
      </c>
      <c r="O117">
        <v>285</v>
      </c>
      <c r="P117">
        <v>305</v>
      </c>
      <c r="Q117">
        <v>366</v>
      </c>
      <c r="R117">
        <v>422</v>
      </c>
      <c r="S117">
        <v>471</v>
      </c>
      <c r="T117">
        <v>520</v>
      </c>
      <c r="U117">
        <v>568</v>
      </c>
      <c r="V117">
        <v>303</v>
      </c>
      <c r="W117">
        <v>357</v>
      </c>
      <c r="X117">
        <v>519</v>
      </c>
      <c r="Y117">
        <v>681</v>
      </c>
      <c r="Z117">
        <v>843</v>
      </c>
      <c r="AA117">
        <v>1005</v>
      </c>
      <c r="AB117">
        <v>1167</v>
      </c>
    </row>
    <row r="118" spans="1:28" x14ac:dyDescent="0.2">
      <c r="A118">
        <v>22</v>
      </c>
      <c r="B118" t="s">
        <v>913</v>
      </c>
      <c r="C118">
        <v>61</v>
      </c>
      <c r="D118" t="s">
        <v>1024</v>
      </c>
      <c r="E118" t="s">
        <v>1025</v>
      </c>
      <c r="F118" s="811" t="s">
        <v>1026</v>
      </c>
      <c r="G118" t="s">
        <v>1027</v>
      </c>
      <c r="H118">
        <v>303</v>
      </c>
      <c r="I118">
        <v>357</v>
      </c>
      <c r="J118">
        <v>519</v>
      </c>
      <c r="K118">
        <v>681</v>
      </c>
      <c r="L118">
        <v>843</v>
      </c>
      <c r="M118">
        <v>1005</v>
      </c>
      <c r="N118">
        <v>1167</v>
      </c>
      <c r="O118">
        <v>293</v>
      </c>
      <c r="P118">
        <v>314</v>
      </c>
      <c r="Q118">
        <v>377</v>
      </c>
      <c r="R118">
        <v>435</v>
      </c>
      <c r="S118">
        <v>486</v>
      </c>
      <c r="T118">
        <v>536</v>
      </c>
      <c r="U118">
        <v>586</v>
      </c>
      <c r="V118">
        <v>303</v>
      </c>
      <c r="W118">
        <v>357</v>
      </c>
      <c r="X118">
        <v>519</v>
      </c>
      <c r="Y118">
        <v>681</v>
      </c>
      <c r="Z118">
        <v>843</v>
      </c>
      <c r="AA118">
        <v>1005</v>
      </c>
      <c r="AB118">
        <v>1167</v>
      </c>
    </row>
    <row r="119" spans="1:28" x14ac:dyDescent="0.2">
      <c r="A119">
        <v>22</v>
      </c>
      <c r="B119" t="s">
        <v>913</v>
      </c>
      <c r="C119">
        <v>63</v>
      </c>
      <c r="D119" t="s">
        <v>922</v>
      </c>
      <c r="E119" t="s">
        <v>923</v>
      </c>
      <c r="F119" s="811" t="s">
        <v>1028</v>
      </c>
      <c r="G119" t="s">
        <v>1029</v>
      </c>
      <c r="H119">
        <v>393</v>
      </c>
      <c r="I119">
        <v>421</v>
      </c>
      <c r="J119">
        <v>519</v>
      </c>
      <c r="K119">
        <v>681</v>
      </c>
      <c r="L119">
        <v>843</v>
      </c>
      <c r="M119">
        <v>1005</v>
      </c>
      <c r="N119">
        <v>1167</v>
      </c>
      <c r="O119">
        <v>393</v>
      </c>
      <c r="P119">
        <v>421</v>
      </c>
      <c r="Q119">
        <v>506</v>
      </c>
      <c r="R119">
        <v>583</v>
      </c>
      <c r="S119">
        <v>651</v>
      </c>
      <c r="T119">
        <v>718</v>
      </c>
      <c r="U119">
        <v>785</v>
      </c>
      <c r="V119">
        <v>303</v>
      </c>
      <c r="W119">
        <v>357</v>
      </c>
      <c r="X119">
        <v>519</v>
      </c>
      <c r="Y119">
        <v>681</v>
      </c>
      <c r="Z119">
        <v>843</v>
      </c>
      <c r="AA119">
        <v>1005</v>
      </c>
      <c r="AB119">
        <v>1167</v>
      </c>
    </row>
    <row r="120" spans="1:28" x14ac:dyDescent="0.2">
      <c r="A120">
        <v>22</v>
      </c>
      <c r="B120" t="s">
        <v>913</v>
      </c>
      <c r="C120">
        <v>65</v>
      </c>
      <c r="D120" t="s">
        <v>1030</v>
      </c>
      <c r="E120" t="s">
        <v>1031</v>
      </c>
      <c r="F120" s="811" t="s">
        <v>1032</v>
      </c>
      <c r="G120" t="s">
        <v>1033</v>
      </c>
      <c r="H120">
        <v>303</v>
      </c>
      <c r="I120">
        <v>357</v>
      </c>
      <c r="J120">
        <v>519</v>
      </c>
      <c r="K120">
        <v>681</v>
      </c>
      <c r="L120">
        <v>843</v>
      </c>
      <c r="M120">
        <v>1005</v>
      </c>
      <c r="N120">
        <v>1167</v>
      </c>
      <c r="O120">
        <v>260</v>
      </c>
      <c r="P120">
        <v>278</v>
      </c>
      <c r="Q120">
        <v>335</v>
      </c>
      <c r="R120">
        <v>386</v>
      </c>
      <c r="S120">
        <v>431</v>
      </c>
      <c r="T120">
        <v>476</v>
      </c>
      <c r="U120">
        <v>519</v>
      </c>
      <c r="V120">
        <v>303</v>
      </c>
      <c r="W120">
        <v>357</v>
      </c>
      <c r="X120">
        <v>519</v>
      </c>
      <c r="Y120">
        <v>681</v>
      </c>
      <c r="Z120">
        <v>843</v>
      </c>
      <c r="AA120">
        <v>1005</v>
      </c>
      <c r="AB120">
        <v>1167</v>
      </c>
    </row>
    <row r="121" spans="1:28" x14ac:dyDescent="0.2">
      <c r="A121">
        <v>22</v>
      </c>
      <c r="B121" t="s">
        <v>913</v>
      </c>
      <c r="C121">
        <v>67</v>
      </c>
      <c r="D121" t="s">
        <v>1034</v>
      </c>
      <c r="E121" t="s">
        <v>1035</v>
      </c>
      <c r="F121" s="811" t="s">
        <v>1036</v>
      </c>
      <c r="G121" t="s">
        <v>1037</v>
      </c>
      <c r="H121">
        <v>303</v>
      </c>
      <c r="I121">
        <v>357</v>
      </c>
      <c r="J121">
        <v>519</v>
      </c>
      <c r="K121">
        <v>681</v>
      </c>
      <c r="L121">
        <v>843</v>
      </c>
      <c r="M121">
        <v>1005</v>
      </c>
      <c r="N121">
        <v>1167</v>
      </c>
      <c r="O121">
        <v>260</v>
      </c>
      <c r="P121">
        <v>278</v>
      </c>
      <c r="Q121">
        <v>335</v>
      </c>
      <c r="R121">
        <v>386</v>
      </c>
      <c r="S121">
        <v>431</v>
      </c>
      <c r="T121">
        <v>476</v>
      </c>
      <c r="U121">
        <v>519</v>
      </c>
      <c r="V121">
        <v>303</v>
      </c>
      <c r="W121">
        <v>357</v>
      </c>
      <c r="X121">
        <v>519</v>
      </c>
      <c r="Y121">
        <v>681</v>
      </c>
      <c r="Z121">
        <v>843</v>
      </c>
      <c r="AA121">
        <v>1005</v>
      </c>
      <c r="AB121">
        <v>1167</v>
      </c>
    </row>
    <row r="122" spans="1:28" x14ac:dyDescent="0.2">
      <c r="A122">
        <v>22</v>
      </c>
      <c r="B122" t="s">
        <v>913</v>
      </c>
      <c r="C122">
        <v>69</v>
      </c>
      <c r="D122" t="s">
        <v>1038</v>
      </c>
      <c r="E122" t="s">
        <v>1039</v>
      </c>
      <c r="F122" s="811" t="s">
        <v>1040</v>
      </c>
      <c r="G122" t="s">
        <v>1041</v>
      </c>
      <c r="H122">
        <v>303</v>
      </c>
      <c r="I122">
        <v>357</v>
      </c>
      <c r="J122">
        <v>519</v>
      </c>
      <c r="K122">
        <v>681</v>
      </c>
      <c r="L122">
        <v>843</v>
      </c>
      <c r="M122">
        <v>1005</v>
      </c>
      <c r="N122">
        <v>1167</v>
      </c>
      <c r="O122">
        <v>260</v>
      </c>
      <c r="P122">
        <v>278</v>
      </c>
      <c r="Q122">
        <v>335</v>
      </c>
      <c r="R122">
        <v>386</v>
      </c>
      <c r="S122">
        <v>431</v>
      </c>
      <c r="T122">
        <v>476</v>
      </c>
      <c r="U122">
        <v>519</v>
      </c>
      <c r="V122">
        <v>303</v>
      </c>
      <c r="W122">
        <v>357</v>
      </c>
      <c r="X122">
        <v>519</v>
      </c>
      <c r="Y122">
        <v>681</v>
      </c>
      <c r="Z122">
        <v>843</v>
      </c>
      <c r="AA122">
        <v>1005</v>
      </c>
      <c r="AB122">
        <v>1167</v>
      </c>
    </row>
    <row r="123" spans="1:28" x14ac:dyDescent="0.2">
      <c r="A123">
        <v>22</v>
      </c>
      <c r="B123" t="s">
        <v>913</v>
      </c>
      <c r="C123">
        <v>71</v>
      </c>
      <c r="D123" t="s">
        <v>1004</v>
      </c>
      <c r="E123" t="s">
        <v>1610</v>
      </c>
      <c r="F123" s="811" t="s">
        <v>1042</v>
      </c>
      <c r="G123" t="s">
        <v>1043</v>
      </c>
      <c r="H123">
        <v>345</v>
      </c>
      <c r="I123">
        <v>370</v>
      </c>
      <c r="J123">
        <v>519</v>
      </c>
      <c r="K123">
        <v>681</v>
      </c>
      <c r="L123">
        <v>843</v>
      </c>
      <c r="M123">
        <v>1005</v>
      </c>
      <c r="N123">
        <v>1167</v>
      </c>
      <c r="O123">
        <v>345</v>
      </c>
      <c r="P123">
        <v>370</v>
      </c>
      <c r="Q123">
        <v>443</v>
      </c>
      <c r="R123">
        <v>512</v>
      </c>
      <c r="S123">
        <v>572</v>
      </c>
      <c r="T123">
        <v>631</v>
      </c>
      <c r="U123">
        <v>689</v>
      </c>
      <c r="V123">
        <v>303</v>
      </c>
      <c r="W123">
        <v>357</v>
      </c>
      <c r="X123">
        <v>519</v>
      </c>
      <c r="Y123">
        <v>681</v>
      </c>
      <c r="Z123">
        <v>843</v>
      </c>
      <c r="AA123">
        <v>1005</v>
      </c>
      <c r="AB123">
        <v>1167</v>
      </c>
    </row>
    <row r="124" spans="1:28" x14ac:dyDescent="0.2">
      <c r="A124">
        <v>22</v>
      </c>
      <c r="B124" t="s">
        <v>913</v>
      </c>
      <c r="C124">
        <v>73</v>
      </c>
      <c r="D124" t="s">
        <v>1044</v>
      </c>
      <c r="E124" t="s">
        <v>1045</v>
      </c>
      <c r="F124" s="811" t="s">
        <v>1046</v>
      </c>
      <c r="G124" t="s">
        <v>1047</v>
      </c>
      <c r="H124">
        <v>303</v>
      </c>
      <c r="I124">
        <v>357</v>
      </c>
      <c r="J124">
        <v>519</v>
      </c>
      <c r="K124">
        <v>681</v>
      </c>
      <c r="L124">
        <v>843</v>
      </c>
      <c r="M124">
        <v>1005</v>
      </c>
      <c r="N124">
        <v>1167</v>
      </c>
      <c r="O124">
        <v>275</v>
      </c>
      <c r="P124">
        <v>294</v>
      </c>
      <c r="Q124">
        <v>352</v>
      </c>
      <c r="R124">
        <v>407</v>
      </c>
      <c r="S124">
        <v>455</v>
      </c>
      <c r="T124">
        <v>501</v>
      </c>
      <c r="U124">
        <v>547</v>
      </c>
      <c r="V124">
        <v>303</v>
      </c>
      <c r="W124">
        <v>357</v>
      </c>
      <c r="X124">
        <v>519</v>
      </c>
      <c r="Y124">
        <v>681</v>
      </c>
      <c r="Z124">
        <v>843</v>
      </c>
      <c r="AA124">
        <v>1005</v>
      </c>
      <c r="AB124">
        <v>1167</v>
      </c>
    </row>
    <row r="125" spans="1:28" x14ac:dyDescent="0.2">
      <c r="A125">
        <v>22</v>
      </c>
      <c r="B125" t="s">
        <v>913</v>
      </c>
      <c r="C125">
        <v>75</v>
      </c>
      <c r="D125" t="s">
        <v>1004</v>
      </c>
      <c r="E125" t="s">
        <v>1610</v>
      </c>
      <c r="F125" s="811" t="s">
        <v>1048</v>
      </c>
      <c r="G125" t="s">
        <v>1049</v>
      </c>
      <c r="H125">
        <v>345</v>
      </c>
      <c r="I125">
        <v>370</v>
      </c>
      <c r="J125">
        <v>519</v>
      </c>
      <c r="K125">
        <v>681</v>
      </c>
      <c r="L125">
        <v>843</v>
      </c>
      <c r="M125">
        <v>1005</v>
      </c>
      <c r="N125">
        <v>1167</v>
      </c>
      <c r="O125">
        <v>345</v>
      </c>
      <c r="P125">
        <v>370</v>
      </c>
      <c r="Q125">
        <v>443</v>
      </c>
      <c r="R125">
        <v>512</v>
      </c>
      <c r="S125">
        <v>572</v>
      </c>
      <c r="T125">
        <v>631</v>
      </c>
      <c r="U125">
        <v>689</v>
      </c>
      <c r="V125">
        <v>303</v>
      </c>
      <c r="W125">
        <v>357</v>
      </c>
      <c r="X125">
        <v>519</v>
      </c>
      <c r="Y125">
        <v>681</v>
      </c>
      <c r="Z125">
        <v>843</v>
      </c>
      <c r="AA125">
        <v>1005</v>
      </c>
      <c r="AB125">
        <v>1167</v>
      </c>
    </row>
    <row r="126" spans="1:28" x14ac:dyDescent="0.2">
      <c r="A126">
        <v>22</v>
      </c>
      <c r="B126" t="s">
        <v>913</v>
      </c>
      <c r="C126">
        <v>77</v>
      </c>
      <c r="D126" t="s">
        <v>922</v>
      </c>
      <c r="E126" t="s">
        <v>923</v>
      </c>
      <c r="F126" s="811" t="s">
        <v>1050</v>
      </c>
      <c r="G126" t="s">
        <v>1051</v>
      </c>
      <c r="H126">
        <v>393</v>
      </c>
      <c r="I126">
        <v>421</v>
      </c>
      <c r="J126">
        <v>519</v>
      </c>
      <c r="K126">
        <v>681</v>
      </c>
      <c r="L126">
        <v>843</v>
      </c>
      <c r="M126">
        <v>1005</v>
      </c>
      <c r="N126">
        <v>1167</v>
      </c>
      <c r="O126">
        <v>393</v>
      </c>
      <c r="P126">
        <v>421</v>
      </c>
      <c r="Q126">
        <v>506</v>
      </c>
      <c r="R126">
        <v>583</v>
      </c>
      <c r="S126">
        <v>651</v>
      </c>
      <c r="T126">
        <v>718</v>
      </c>
      <c r="U126">
        <v>785</v>
      </c>
      <c r="V126">
        <v>303</v>
      </c>
      <c r="W126">
        <v>357</v>
      </c>
      <c r="X126">
        <v>519</v>
      </c>
      <c r="Y126">
        <v>681</v>
      </c>
      <c r="Z126">
        <v>843</v>
      </c>
      <c r="AA126">
        <v>1005</v>
      </c>
      <c r="AB126">
        <v>1167</v>
      </c>
    </row>
    <row r="127" spans="1:28" x14ac:dyDescent="0.2">
      <c r="A127">
        <v>22</v>
      </c>
      <c r="B127" t="s">
        <v>913</v>
      </c>
      <c r="C127">
        <v>79</v>
      </c>
      <c r="D127" t="s">
        <v>988</v>
      </c>
      <c r="E127" t="s">
        <v>989</v>
      </c>
      <c r="F127" s="811" t="s">
        <v>1052</v>
      </c>
      <c r="G127" t="s">
        <v>1053</v>
      </c>
      <c r="H127">
        <v>303</v>
      </c>
      <c r="I127">
        <v>357</v>
      </c>
      <c r="J127">
        <v>519</v>
      </c>
      <c r="K127">
        <v>681</v>
      </c>
      <c r="L127">
        <v>843</v>
      </c>
      <c r="M127">
        <v>1005</v>
      </c>
      <c r="N127">
        <v>1167</v>
      </c>
      <c r="O127">
        <v>291</v>
      </c>
      <c r="P127">
        <v>311</v>
      </c>
      <c r="Q127">
        <v>373</v>
      </c>
      <c r="R127">
        <v>431</v>
      </c>
      <c r="S127">
        <v>482</v>
      </c>
      <c r="T127">
        <v>531</v>
      </c>
      <c r="U127">
        <v>581</v>
      </c>
      <c r="V127">
        <v>303</v>
      </c>
      <c r="W127">
        <v>357</v>
      </c>
      <c r="X127">
        <v>519</v>
      </c>
      <c r="Y127">
        <v>681</v>
      </c>
      <c r="Z127">
        <v>843</v>
      </c>
      <c r="AA127">
        <v>1005</v>
      </c>
      <c r="AB127">
        <v>1167</v>
      </c>
    </row>
    <row r="128" spans="1:28" x14ac:dyDescent="0.2">
      <c r="A128">
        <v>22</v>
      </c>
      <c r="B128" t="s">
        <v>913</v>
      </c>
      <c r="C128">
        <v>81</v>
      </c>
      <c r="D128" t="s">
        <v>1054</v>
      </c>
      <c r="E128" t="s">
        <v>1055</v>
      </c>
      <c r="F128" s="811" t="s">
        <v>1056</v>
      </c>
      <c r="G128" t="s">
        <v>1057</v>
      </c>
      <c r="H128">
        <v>303</v>
      </c>
      <c r="I128">
        <v>357</v>
      </c>
      <c r="J128">
        <v>519</v>
      </c>
      <c r="K128">
        <v>681</v>
      </c>
      <c r="L128">
        <v>843</v>
      </c>
      <c r="M128">
        <v>1005</v>
      </c>
      <c r="N128">
        <v>1167</v>
      </c>
      <c r="O128">
        <v>262</v>
      </c>
      <c r="P128">
        <v>281</v>
      </c>
      <c r="Q128">
        <v>337</v>
      </c>
      <c r="R128">
        <v>388</v>
      </c>
      <c r="S128">
        <v>433</v>
      </c>
      <c r="T128">
        <v>478</v>
      </c>
      <c r="U128">
        <v>523</v>
      </c>
      <c r="V128">
        <v>303</v>
      </c>
      <c r="W128">
        <v>357</v>
      </c>
      <c r="X128">
        <v>519</v>
      </c>
      <c r="Y128">
        <v>681</v>
      </c>
      <c r="Z128">
        <v>843</v>
      </c>
      <c r="AA128">
        <v>1005</v>
      </c>
      <c r="AB128">
        <v>1167</v>
      </c>
    </row>
    <row r="129" spans="1:28" x14ac:dyDescent="0.2">
      <c r="A129">
        <v>22</v>
      </c>
      <c r="B129" t="s">
        <v>913</v>
      </c>
      <c r="C129">
        <v>83</v>
      </c>
      <c r="D129" t="s">
        <v>1058</v>
      </c>
      <c r="E129" t="s">
        <v>1059</v>
      </c>
      <c r="F129" s="811" t="s">
        <v>1060</v>
      </c>
      <c r="G129" t="s">
        <v>1061</v>
      </c>
      <c r="H129">
        <v>303</v>
      </c>
      <c r="I129">
        <v>357</v>
      </c>
      <c r="J129">
        <v>519</v>
      </c>
      <c r="K129">
        <v>681</v>
      </c>
      <c r="L129">
        <v>843</v>
      </c>
      <c r="M129">
        <v>1005</v>
      </c>
      <c r="N129">
        <v>1167</v>
      </c>
      <c r="O129">
        <v>260</v>
      </c>
      <c r="P129">
        <v>278</v>
      </c>
      <c r="Q129">
        <v>335</v>
      </c>
      <c r="R129">
        <v>386</v>
      </c>
      <c r="S129">
        <v>431</v>
      </c>
      <c r="T129">
        <v>476</v>
      </c>
      <c r="U129">
        <v>519</v>
      </c>
      <c r="V129">
        <v>303</v>
      </c>
      <c r="W129">
        <v>357</v>
      </c>
      <c r="X129">
        <v>519</v>
      </c>
      <c r="Y129">
        <v>681</v>
      </c>
      <c r="Z129">
        <v>843</v>
      </c>
      <c r="AA129">
        <v>1005</v>
      </c>
      <c r="AB129">
        <v>1167</v>
      </c>
    </row>
    <row r="130" spans="1:28" x14ac:dyDescent="0.2">
      <c r="A130">
        <v>22</v>
      </c>
      <c r="B130" t="s">
        <v>913</v>
      </c>
      <c r="C130">
        <v>85</v>
      </c>
      <c r="D130" t="s">
        <v>1062</v>
      </c>
      <c r="E130" t="s">
        <v>1063</v>
      </c>
      <c r="F130" s="811" t="s">
        <v>1064</v>
      </c>
      <c r="G130" t="s">
        <v>1065</v>
      </c>
      <c r="H130">
        <v>303</v>
      </c>
      <c r="I130">
        <v>357</v>
      </c>
      <c r="J130">
        <v>519</v>
      </c>
      <c r="K130">
        <v>681</v>
      </c>
      <c r="L130">
        <v>843</v>
      </c>
      <c r="M130">
        <v>1005</v>
      </c>
      <c r="N130">
        <v>1167</v>
      </c>
      <c r="O130">
        <v>282</v>
      </c>
      <c r="P130">
        <v>302</v>
      </c>
      <c r="Q130">
        <v>362</v>
      </c>
      <c r="R130">
        <v>418</v>
      </c>
      <c r="S130">
        <v>467</v>
      </c>
      <c r="T130">
        <v>516</v>
      </c>
      <c r="U130">
        <v>563</v>
      </c>
      <c r="V130">
        <v>303</v>
      </c>
      <c r="W130">
        <v>357</v>
      </c>
      <c r="X130">
        <v>519</v>
      </c>
      <c r="Y130">
        <v>681</v>
      </c>
      <c r="Z130">
        <v>843</v>
      </c>
      <c r="AA130">
        <v>1005</v>
      </c>
      <c r="AB130">
        <v>1167</v>
      </c>
    </row>
    <row r="131" spans="1:28" x14ac:dyDescent="0.2">
      <c r="A131">
        <v>22</v>
      </c>
      <c r="B131" t="s">
        <v>913</v>
      </c>
      <c r="C131">
        <v>87</v>
      </c>
      <c r="D131" t="s">
        <v>1004</v>
      </c>
      <c r="E131" t="s">
        <v>1610</v>
      </c>
      <c r="F131" s="811" t="s">
        <v>1066</v>
      </c>
      <c r="G131" t="s">
        <v>1067</v>
      </c>
      <c r="H131">
        <v>345</v>
      </c>
      <c r="I131">
        <v>370</v>
      </c>
      <c r="J131">
        <v>519</v>
      </c>
      <c r="K131">
        <v>681</v>
      </c>
      <c r="L131">
        <v>843</v>
      </c>
      <c r="M131">
        <v>1005</v>
      </c>
      <c r="N131">
        <v>1167</v>
      </c>
      <c r="O131">
        <v>345</v>
      </c>
      <c r="P131">
        <v>370</v>
      </c>
      <c r="Q131">
        <v>443</v>
      </c>
      <c r="R131">
        <v>512</v>
      </c>
      <c r="S131">
        <v>572</v>
      </c>
      <c r="T131">
        <v>631</v>
      </c>
      <c r="U131">
        <v>689</v>
      </c>
      <c r="V131">
        <v>303</v>
      </c>
      <c r="W131">
        <v>357</v>
      </c>
      <c r="X131">
        <v>519</v>
      </c>
      <c r="Y131">
        <v>681</v>
      </c>
      <c r="Z131">
        <v>843</v>
      </c>
      <c r="AA131">
        <v>1005</v>
      </c>
      <c r="AB131">
        <v>1167</v>
      </c>
    </row>
    <row r="132" spans="1:28" x14ac:dyDescent="0.2">
      <c r="A132">
        <v>22</v>
      </c>
      <c r="B132" t="s">
        <v>913</v>
      </c>
      <c r="C132">
        <v>89</v>
      </c>
      <c r="D132" t="s">
        <v>1004</v>
      </c>
      <c r="E132" t="s">
        <v>1610</v>
      </c>
      <c r="F132" s="811" t="s">
        <v>1068</v>
      </c>
      <c r="G132" t="s">
        <v>1069</v>
      </c>
      <c r="H132">
        <v>345</v>
      </c>
      <c r="I132">
        <v>370</v>
      </c>
      <c r="J132">
        <v>519</v>
      </c>
      <c r="K132">
        <v>681</v>
      </c>
      <c r="L132">
        <v>843</v>
      </c>
      <c r="M132">
        <v>1005</v>
      </c>
      <c r="N132">
        <v>1167</v>
      </c>
      <c r="O132">
        <v>345</v>
      </c>
      <c r="P132">
        <v>370</v>
      </c>
      <c r="Q132">
        <v>443</v>
      </c>
      <c r="R132">
        <v>512</v>
      </c>
      <c r="S132">
        <v>572</v>
      </c>
      <c r="T132">
        <v>631</v>
      </c>
      <c r="U132">
        <v>689</v>
      </c>
      <c r="V132">
        <v>303</v>
      </c>
      <c r="W132">
        <v>357</v>
      </c>
      <c r="X132">
        <v>519</v>
      </c>
      <c r="Y132">
        <v>681</v>
      </c>
      <c r="Z132">
        <v>843</v>
      </c>
      <c r="AA132">
        <v>1005</v>
      </c>
      <c r="AB132">
        <v>1167</v>
      </c>
    </row>
    <row r="133" spans="1:28" x14ac:dyDescent="0.2">
      <c r="A133">
        <v>22</v>
      </c>
      <c r="B133" t="s">
        <v>913</v>
      </c>
      <c r="C133">
        <v>91</v>
      </c>
      <c r="D133" t="s">
        <v>922</v>
      </c>
      <c r="E133" t="s">
        <v>923</v>
      </c>
      <c r="F133" s="811" t="s">
        <v>1070</v>
      </c>
      <c r="G133" t="s">
        <v>1071</v>
      </c>
      <c r="H133">
        <v>393</v>
      </c>
      <c r="I133">
        <v>421</v>
      </c>
      <c r="J133">
        <v>519</v>
      </c>
      <c r="K133">
        <v>681</v>
      </c>
      <c r="L133">
        <v>843</v>
      </c>
      <c r="M133">
        <v>1005</v>
      </c>
      <c r="N133">
        <v>1167</v>
      </c>
      <c r="O133">
        <v>393</v>
      </c>
      <c r="P133">
        <v>421</v>
      </c>
      <c r="Q133">
        <v>506</v>
      </c>
      <c r="R133">
        <v>583</v>
      </c>
      <c r="S133">
        <v>651</v>
      </c>
      <c r="T133">
        <v>718</v>
      </c>
      <c r="U133">
        <v>785</v>
      </c>
      <c r="V133">
        <v>303</v>
      </c>
      <c r="W133">
        <v>357</v>
      </c>
      <c r="X133">
        <v>519</v>
      </c>
      <c r="Y133">
        <v>681</v>
      </c>
      <c r="Z133">
        <v>843</v>
      </c>
      <c r="AA133">
        <v>1005</v>
      </c>
      <c r="AB133">
        <v>1167</v>
      </c>
    </row>
    <row r="134" spans="1:28" x14ac:dyDescent="0.2">
      <c r="A134">
        <v>22</v>
      </c>
      <c r="B134" t="s">
        <v>913</v>
      </c>
      <c r="C134">
        <v>93</v>
      </c>
      <c r="D134" t="s">
        <v>1613</v>
      </c>
      <c r="E134" t="s">
        <v>1614</v>
      </c>
      <c r="F134" s="811" t="s">
        <v>1074</v>
      </c>
      <c r="G134" t="s">
        <v>1075</v>
      </c>
      <c r="H134">
        <v>338</v>
      </c>
      <c r="I134">
        <v>363</v>
      </c>
      <c r="J134">
        <v>519</v>
      </c>
      <c r="K134">
        <v>681</v>
      </c>
      <c r="L134">
        <v>843</v>
      </c>
      <c r="M134">
        <v>1005</v>
      </c>
      <c r="N134">
        <v>1167</v>
      </c>
      <c r="O134">
        <v>338</v>
      </c>
      <c r="P134">
        <v>363</v>
      </c>
      <c r="Q134">
        <v>436</v>
      </c>
      <c r="R134">
        <v>503</v>
      </c>
      <c r="S134">
        <v>561</v>
      </c>
      <c r="T134">
        <v>619</v>
      </c>
      <c r="U134">
        <v>677</v>
      </c>
      <c r="V134">
        <v>303</v>
      </c>
      <c r="W134">
        <v>357</v>
      </c>
      <c r="X134">
        <v>519</v>
      </c>
      <c r="Y134">
        <v>681</v>
      </c>
      <c r="Z134">
        <v>843</v>
      </c>
      <c r="AA134">
        <v>1005</v>
      </c>
      <c r="AB134">
        <v>1167</v>
      </c>
    </row>
    <row r="135" spans="1:28" x14ac:dyDescent="0.2">
      <c r="A135">
        <v>22</v>
      </c>
      <c r="B135" t="s">
        <v>913</v>
      </c>
      <c r="C135">
        <v>95</v>
      </c>
      <c r="D135" t="s">
        <v>1004</v>
      </c>
      <c r="E135" t="s">
        <v>1610</v>
      </c>
      <c r="F135" s="811" t="s">
        <v>1076</v>
      </c>
      <c r="G135" t="s">
        <v>1077</v>
      </c>
      <c r="H135">
        <v>345</v>
      </c>
      <c r="I135">
        <v>370</v>
      </c>
      <c r="J135">
        <v>519</v>
      </c>
      <c r="K135">
        <v>681</v>
      </c>
      <c r="L135">
        <v>843</v>
      </c>
      <c r="M135">
        <v>1005</v>
      </c>
      <c r="N135">
        <v>1167</v>
      </c>
      <c r="O135">
        <v>345</v>
      </c>
      <c r="P135">
        <v>370</v>
      </c>
      <c r="Q135">
        <v>443</v>
      </c>
      <c r="R135">
        <v>512</v>
      </c>
      <c r="S135">
        <v>572</v>
      </c>
      <c r="T135">
        <v>631</v>
      </c>
      <c r="U135">
        <v>689</v>
      </c>
      <c r="V135">
        <v>303</v>
      </c>
      <c r="W135">
        <v>357</v>
      </c>
      <c r="X135">
        <v>519</v>
      </c>
      <c r="Y135">
        <v>681</v>
      </c>
      <c r="Z135">
        <v>843</v>
      </c>
      <c r="AA135">
        <v>1005</v>
      </c>
      <c r="AB135">
        <v>1167</v>
      </c>
    </row>
    <row r="136" spans="1:28" x14ac:dyDescent="0.2">
      <c r="A136">
        <v>22</v>
      </c>
      <c r="B136" t="s">
        <v>913</v>
      </c>
      <c r="C136">
        <v>97</v>
      </c>
      <c r="D136" t="s">
        <v>1078</v>
      </c>
      <c r="E136" t="s">
        <v>1079</v>
      </c>
      <c r="F136" s="811" t="s">
        <v>1080</v>
      </c>
      <c r="G136" t="s">
        <v>1081</v>
      </c>
      <c r="H136">
        <v>303</v>
      </c>
      <c r="I136">
        <v>357</v>
      </c>
      <c r="J136">
        <v>519</v>
      </c>
      <c r="K136">
        <v>681</v>
      </c>
      <c r="L136">
        <v>843</v>
      </c>
      <c r="M136">
        <v>1005</v>
      </c>
      <c r="N136">
        <v>1167</v>
      </c>
      <c r="O136">
        <v>260</v>
      </c>
      <c r="P136">
        <v>278</v>
      </c>
      <c r="Q136">
        <v>335</v>
      </c>
      <c r="R136">
        <v>386</v>
      </c>
      <c r="S136">
        <v>431</v>
      </c>
      <c r="T136">
        <v>476</v>
      </c>
      <c r="U136">
        <v>519</v>
      </c>
      <c r="V136">
        <v>303</v>
      </c>
      <c r="W136">
        <v>357</v>
      </c>
      <c r="X136">
        <v>519</v>
      </c>
      <c r="Y136">
        <v>681</v>
      </c>
      <c r="Z136">
        <v>843</v>
      </c>
      <c r="AA136">
        <v>1005</v>
      </c>
      <c r="AB136">
        <v>1167</v>
      </c>
    </row>
    <row r="137" spans="1:28" x14ac:dyDescent="0.2">
      <c r="A137">
        <v>22</v>
      </c>
      <c r="B137" t="s">
        <v>913</v>
      </c>
      <c r="C137">
        <v>99</v>
      </c>
      <c r="D137" t="s">
        <v>1012</v>
      </c>
      <c r="E137" t="s">
        <v>1611</v>
      </c>
      <c r="F137" s="811" t="s">
        <v>1082</v>
      </c>
      <c r="G137" t="s">
        <v>1083</v>
      </c>
      <c r="H137">
        <v>370</v>
      </c>
      <c r="I137">
        <v>396</v>
      </c>
      <c r="J137">
        <v>519</v>
      </c>
      <c r="K137">
        <v>681</v>
      </c>
      <c r="L137">
        <v>843</v>
      </c>
      <c r="M137">
        <v>1005</v>
      </c>
      <c r="N137">
        <v>1167</v>
      </c>
      <c r="O137">
        <v>370</v>
      </c>
      <c r="P137">
        <v>396</v>
      </c>
      <c r="Q137">
        <v>475</v>
      </c>
      <c r="R137">
        <v>548</v>
      </c>
      <c r="S137">
        <v>612</v>
      </c>
      <c r="T137">
        <v>676</v>
      </c>
      <c r="U137">
        <v>738</v>
      </c>
      <c r="V137">
        <v>303</v>
      </c>
      <c r="W137">
        <v>357</v>
      </c>
      <c r="X137">
        <v>519</v>
      </c>
      <c r="Y137">
        <v>681</v>
      </c>
      <c r="Z137">
        <v>843</v>
      </c>
      <c r="AA137">
        <v>1005</v>
      </c>
      <c r="AB137">
        <v>1167</v>
      </c>
    </row>
    <row r="138" spans="1:28" x14ac:dyDescent="0.2">
      <c r="A138">
        <v>22</v>
      </c>
      <c r="B138" t="s">
        <v>913</v>
      </c>
      <c r="C138">
        <v>101</v>
      </c>
      <c r="D138" t="s">
        <v>1084</v>
      </c>
      <c r="E138" t="s">
        <v>1085</v>
      </c>
      <c r="F138" s="811" t="s">
        <v>1086</v>
      </c>
      <c r="G138" t="s">
        <v>1087</v>
      </c>
      <c r="H138">
        <v>303</v>
      </c>
      <c r="I138">
        <v>357</v>
      </c>
      <c r="J138">
        <v>519</v>
      </c>
      <c r="K138">
        <v>681</v>
      </c>
      <c r="L138">
        <v>843</v>
      </c>
      <c r="M138">
        <v>1005</v>
      </c>
      <c r="N138">
        <v>1167</v>
      </c>
      <c r="O138">
        <v>271</v>
      </c>
      <c r="P138">
        <v>290</v>
      </c>
      <c r="Q138">
        <v>348</v>
      </c>
      <c r="R138">
        <v>403</v>
      </c>
      <c r="S138">
        <v>450</v>
      </c>
      <c r="T138">
        <v>496</v>
      </c>
      <c r="U138">
        <v>542</v>
      </c>
      <c r="V138">
        <v>303</v>
      </c>
      <c r="W138">
        <v>357</v>
      </c>
      <c r="X138">
        <v>519</v>
      </c>
      <c r="Y138">
        <v>681</v>
      </c>
      <c r="Z138">
        <v>843</v>
      </c>
      <c r="AA138">
        <v>1005</v>
      </c>
      <c r="AB138">
        <v>1167</v>
      </c>
    </row>
    <row r="139" spans="1:28" x14ac:dyDescent="0.2">
      <c r="A139">
        <v>22</v>
      </c>
      <c r="B139" t="s">
        <v>913</v>
      </c>
      <c r="C139">
        <v>103</v>
      </c>
      <c r="D139" t="s">
        <v>1004</v>
      </c>
      <c r="E139" t="s">
        <v>1610</v>
      </c>
      <c r="F139" s="811" t="s">
        <v>1088</v>
      </c>
      <c r="G139" t="s">
        <v>1089</v>
      </c>
      <c r="H139">
        <v>345</v>
      </c>
      <c r="I139">
        <v>370</v>
      </c>
      <c r="J139">
        <v>519</v>
      </c>
      <c r="K139">
        <v>681</v>
      </c>
      <c r="L139">
        <v>843</v>
      </c>
      <c r="M139">
        <v>1005</v>
      </c>
      <c r="N139">
        <v>1167</v>
      </c>
      <c r="O139">
        <v>345</v>
      </c>
      <c r="P139">
        <v>370</v>
      </c>
      <c r="Q139">
        <v>443</v>
      </c>
      <c r="R139">
        <v>512</v>
      </c>
      <c r="S139">
        <v>572</v>
      </c>
      <c r="T139">
        <v>631</v>
      </c>
      <c r="U139">
        <v>689</v>
      </c>
      <c r="V139">
        <v>303</v>
      </c>
      <c r="W139">
        <v>357</v>
      </c>
      <c r="X139">
        <v>519</v>
      </c>
      <c r="Y139">
        <v>681</v>
      </c>
      <c r="Z139">
        <v>843</v>
      </c>
      <c r="AA139">
        <v>1005</v>
      </c>
      <c r="AB139">
        <v>1167</v>
      </c>
    </row>
    <row r="140" spans="1:28" x14ac:dyDescent="0.2">
      <c r="A140">
        <v>22</v>
      </c>
      <c r="B140" t="s">
        <v>913</v>
      </c>
      <c r="C140">
        <v>105</v>
      </c>
      <c r="D140" t="s">
        <v>1615</v>
      </c>
      <c r="E140" t="s">
        <v>1616</v>
      </c>
      <c r="F140" s="811" t="s">
        <v>1092</v>
      </c>
      <c r="G140" t="s">
        <v>1093</v>
      </c>
      <c r="H140">
        <v>322</v>
      </c>
      <c r="I140">
        <v>357</v>
      </c>
      <c r="J140">
        <v>519</v>
      </c>
      <c r="K140">
        <v>681</v>
      </c>
      <c r="L140">
        <v>843</v>
      </c>
      <c r="M140">
        <v>1005</v>
      </c>
      <c r="N140">
        <v>1167</v>
      </c>
      <c r="O140">
        <v>322</v>
      </c>
      <c r="P140">
        <v>345</v>
      </c>
      <c r="Q140">
        <v>415</v>
      </c>
      <c r="R140">
        <v>478</v>
      </c>
      <c r="S140">
        <v>533</v>
      </c>
      <c r="T140">
        <v>589</v>
      </c>
      <c r="U140">
        <v>644</v>
      </c>
      <c r="V140">
        <v>303</v>
      </c>
      <c r="W140">
        <v>357</v>
      </c>
      <c r="X140">
        <v>519</v>
      </c>
      <c r="Y140">
        <v>681</v>
      </c>
      <c r="Z140">
        <v>843</v>
      </c>
      <c r="AA140">
        <v>1005</v>
      </c>
      <c r="AB140">
        <v>1167</v>
      </c>
    </row>
    <row r="141" spans="1:28" x14ac:dyDescent="0.2">
      <c r="A141">
        <v>22</v>
      </c>
      <c r="B141" t="s">
        <v>913</v>
      </c>
      <c r="C141">
        <v>107</v>
      </c>
      <c r="D141" t="s">
        <v>1094</v>
      </c>
      <c r="E141" t="s">
        <v>1095</v>
      </c>
      <c r="F141" s="811" t="s">
        <v>1096</v>
      </c>
      <c r="G141" t="s">
        <v>1097</v>
      </c>
      <c r="H141">
        <v>303</v>
      </c>
      <c r="I141">
        <v>357</v>
      </c>
      <c r="J141">
        <v>519</v>
      </c>
      <c r="K141">
        <v>681</v>
      </c>
      <c r="L141">
        <v>843</v>
      </c>
      <c r="M141">
        <v>1005</v>
      </c>
      <c r="N141">
        <v>1167</v>
      </c>
      <c r="O141">
        <v>260</v>
      </c>
      <c r="P141">
        <v>278</v>
      </c>
      <c r="Q141">
        <v>335</v>
      </c>
      <c r="R141">
        <v>386</v>
      </c>
      <c r="S141">
        <v>431</v>
      </c>
      <c r="T141">
        <v>476</v>
      </c>
      <c r="U141">
        <v>519</v>
      </c>
      <c r="V141">
        <v>303</v>
      </c>
      <c r="W141">
        <v>357</v>
      </c>
      <c r="X141">
        <v>519</v>
      </c>
      <c r="Y141">
        <v>681</v>
      </c>
      <c r="Z141">
        <v>843</v>
      </c>
      <c r="AA141">
        <v>1005</v>
      </c>
      <c r="AB141">
        <v>1167</v>
      </c>
    </row>
    <row r="142" spans="1:28" x14ac:dyDescent="0.2">
      <c r="A142">
        <v>22</v>
      </c>
      <c r="B142" t="s">
        <v>913</v>
      </c>
      <c r="C142">
        <v>109</v>
      </c>
      <c r="D142" t="s">
        <v>1016</v>
      </c>
      <c r="E142" t="s">
        <v>1612</v>
      </c>
      <c r="F142" s="811" t="s">
        <v>1098</v>
      </c>
      <c r="G142" t="s">
        <v>1099</v>
      </c>
      <c r="H142">
        <v>323</v>
      </c>
      <c r="I142">
        <v>357</v>
      </c>
      <c r="J142">
        <v>519</v>
      </c>
      <c r="K142">
        <v>681</v>
      </c>
      <c r="L142">
        <v>843</v>
      </c>
      <c r="M142">
        <v>1005</v>
      </c>
      <c r="N142">
        <v>1167</v>
      </c>
      <c r="O142">
        <v>323</v>
      </c>
      <c r="P142">
        <v>346</v>
      </c>
      <c r="Q142">
        <v>416</v>
      </c>
      <c r="R142">
        <v>481</v>
      </c>
      <c r="S142">
        <v>537</v>
      </c>
      <c r="T142">
        <v>592</v>
      </c>
      <c r="U142">
        <v>647</v>
      </c>
      <c r="V142">
        <v>303</v>
      </c>
      <c r="W142">
        <v>357</v>
      </c>
      <c r="X142">
        <v>519</v>
      </c>
      <c r="Y142">
        <v>681</v>
      </c>
      <c r="Z142">
        <v>843</v>
      </c>
      <c r="AA142">
        <v>1005</v>
      </c>
      <c r="AB142">
        <v>1167</v>
      </c>
    </row>
    <row r="143" spans="1:28" x14ac:dyDescent="0.2">
      <c r="A143">
        <v>22</v>
      </c>
      <c r="B143" t="s">
        <v>913</v>
      </c>
      <c r="C143">
        <v>111</v>
      </c>
      <c r="D143" t="s">
        <v>1044</v>
      </c>
      <c r="E143" t="s">
        <v>1045</v>
      </c>
      <c r="F143" s="811" t="s">
        <v>1100</v>
      </c>
      <c r="G143" t="s">
        <v>1101</v>
      </c>
      <c r="H143">
        <v>303</v>
      </c>
      <c r="I143">
        <v>357</v>
      </c>
      <c r="J143">
        <v>519</v>
      </c>
      <c r="K143">
        <v>681</v>
      </c>
      <c r="L143">
        <v>843</v>
      </c>
      <c r="M143">
        <v>1005</v>
      </c>
      <c r="N143">
        <v>1167</v>
      </c>
      <c r="O143">
        <v>275</v>
      </c>
      <c r="P143">
        <v>294</v>
      </c>
      <c r="Q143">
        <v>352</v>
      </c>
      <c r="R143">
        <v>407</v>
      </c>
      <c r="S143">
        <v>455</v>
      </c>
      <c r="T143">
        <v>501</v>
      </c>
      <c r="U143">
        <v>547</v>
      </c>
      <c r="V143">
        <v>303</v>
      </c>
      <c r="W143">
        <v>357</v>
      </c>
      <c r="X143">
        <v>519</v>
      </c>
      <c r="Y143">
        <v>681</v>
      </c>
      <c r="Z143">
        <v>843</v>
      </c>
      <c r="AA143">
        <v>1005</v>
      </c>
      <c r="AB143">
        <v>1167</v>
      </c>
    </row>
    <row r="144" spans="1:28" x14ac:dyDescent="0.2">
      <c r="A144">
        <v>22</v>
      </c>
      <c r="B144" t="s">
        <v>913</v>
      </c>
      <c r="C144">
        <v>113</v>
      </c>
      <c r="D144" t="s">
        <v>1617</v>
      </c>
      <c r="E144" t="s">
        <v>1618</v>
      </c>
      <c r="F144" s="811" t="s">
        <v>1104</v>
      </c>
      <c r="G144" t="s">
        <v>1105</v>
      </c>
      <c r="H144">
        <v>317</v>
      </c>
      <c r="I144">
        <v>357</v>
      </c>
      <c r="J144">
        <v>519</v>
      </c>
      <c r="K144">
        <v>681</v>
      </c>
      <c r="L144">
        <v>843</v>
      </c>
      <c r="M144">
        <v>1005</v>
      </c>
      <c r="N144">
        <v>1167</v>
      </c>
      <c r="O144">
        <v>317</v>
      </c>
      <c r="P144">
        <v>340</v>
      </c>
      <c r="Q144">
        <v>407</v>
      </c>
      <c r="R144">
        <v>470</v>
      </c>
      <c r="S144">
        <v>525</v>
      </c>
      <c r="T144">
        <v>579</v>
      </c>
      <c r="U144">
        <v>633</v>
      </c>
      <c r="V144">
        <v>303</v>
      </c>
      <c r="W144">
        <v>357</v>
      </c>
      <c r="X144">
        <v>519</v>
      </c>
      <c r="Y144">
        <v>681</v>
      </c>
      <c r="Z144">
        <v>843</v>
      </c>
      <c r="AA144">
        <v>1005</v>
      </c>
      <c r="AB144">
        <v>1167</v>
      </c>
    </row>
    <row r="145" spans="1:28" x14ac:dyDescent="0.2">
      <c r="A145">
        <v>22</v>
      </c>
      <c r="B145" t="s">
        <v>913</v>
      </c>
      <c r="C145">
        <v>115</v>
      </c>
      <c r="D145" t="s">
        <v>1106</v>
      </c>
      <c r="E145" t="s">
        <v>1107</v>
      </c>
      <c r="F145" s="811" t="s">
        <v>1108</v>
      </c>
      <c r="G145" t="s">
        <v>1109</v>
      </c>
      <c r="H145">
        <v>313</v>
      </c>
      <c r="I145">
        <v>357</v>
      </c>
      <c r="J145">
        <v>519</v>
      </c>
      <c r="K145">
        <v>681</v>
      </c>
      <c r="L145">
        <v>843</v>
      </c>
      <c r="M145">
        <v>1005</v>
      </c>
      <c r="N145">
        <v>1167</v>
      </c>
      <c r="O145">
        <v>313</v>
      </c>
      <c r="P145">
        <v>336</v>
      </c>
      <c r="Q145">
        <v>403</v>
      </c>
      <c r="R145">
        <v>465</v>
      </c>
      <c r="S145">
        <v>520</v>
      </c>
      <c r="T145">
        <v>573</v>
      </c>
      <c r="U145">
        <v>626</v>
      </c>
      <c r="V145">
        <v>303</v>
      </c>
      <c r="W145">
        <v>357</v>
      </c>
      <c r="X145">
        <v>519</v>
      </c>
      <c r="Y145">
        <v>681</v>
      </c>
      <c r="Z145">
        <v>843</v>
      </c>
      <c r="AA145">
        <v>1005</v>
      </c>
      <c r="AB145">
        <v>1167</v>
      </c>
    </row>
    <row r="146" spans="1:28" x14ac:dyDescent="0.2">
      <c r="A146">
        <v>22</v>
      </c>
      <c r="B146" t="s">
        <v>913</v>
      </c>
      <c r="C146">
        <v>117</v>
      </c>
      <c r="D146" t="s">
        <v>1110</v>
      </c>
      <c r="E146" t="s">
        <v>1111</v>
      </c>
      <c r="F146" s="811" t="s">
        <v>1112</v>
      </c>
      <c r="G146" t="s">
        <v>1113</v>
      </c>
      <c r="H146">
        <v>303</v>
      </c>
      <c r="I146">
        <v>357</v>
      </c>
      <c r="J146">
        <v>519</v>
      </c>
      <c r="K146">
        <v>681</v>
      </c>
      <c r="L146">
        <v>843</v>
      </c>
      <c r="M146">
        <v>1005</v>
      </c>
      <c r="N146">
        <v>1167</v>
      </c>
      <c r="O146">
        <v>260</v>
      </c>
      <c r="P146">
        <v>278</v>
      </c>
      <c r="Q146">
        <v>335</v>
      </c>
      <c r="R146">
        <v>386</v>
      </c>
      <c r="S146">
        <v>431</v>
      </c>
      <c r="T146">
        <v>476</v>
      </c>
      <c r="U146">
        <v>519</v>
      </c>
      <c r="V146">
        <v>303</v>
      </c>
      <c r="W146">
        <v>357</v>
      </c>
      <c r="X146">
        <v>519</v>
      </c>
      <c r="Y146">
        <v>681</v>
      </c>
      <c r="Z146">
        <v>843</v>
      </c>
      <c r="AA146">
        <v>1005</v>
      </c>
      <c r="AB146">
        <v>1167</v>
      </c>
    </row>
    <row r="147" spans="1:28" x14ac:dyDescent="0.2">
      <c r="A147">
        <v>22</v>
      </c>
      <c r="B147" t="s">
        <v>913</v>
      </c>
      <c r="C147">
        <v>119</v>
      </c>
      <c r="D147" t="s">
        <v>1619</v>
      </c>
      <c r="E147" t="s">
        <v>1620</v>
      </c>
      <c r="F147" s="811" t="s">
        <v>1116</v>
      </c>
      <c r="G147" t="s">
        <v>1117</v>
      </c>
      <c r="H147">
        <v>303</v>
      </c>
      <c r="I147">
        <v>357</v>
      </c>
      <c r="J147">
        <v>519</v>
      </c>
      <c r="K147">
        <v>681</v>
      </c>
      <c r="L147">
        <v>843</v>
      </c>
      <c r="M147">
        <v>1005</v>
      </c>
      <c r="N147">
        <v>1167</v>
      </c>
      <c r="O147">
        <v>260</v>
      </c>
      <c r="P147">
        <v>278</v>
      </c>
      <c r="Q147">
        <v>335</v>
      </c>
      <c r="R147">
        <v>386</v>
      </c>
      <c r="S147">
        <v>431</v>
      </c>
      <c r="T147">
        <v>476</v>
      </c>
      <c r="U147">
        <v>519</v>
      </c>
      <c r="V147">
        <v>303</v>
      </c>
      <c r="W147">
        <v>357</v>
      </c>
      <c r="X147">
        <v>519</v>
      </c>
      <c r="Y147">
        <v>681</v>
      </c>
      <c r="Z147">
        <v>843</v>
      </c>
      <c r="AA147">
        <v>1005</v>
      </c>
      <c r="AB147">
        <v>1167</v>
      </c>
    </row>
    <row r="148" spans="1:28" x14ac:dyDescent="0.2">
      <c r="A148">
        <v>22</v>
      </c>
      <c r="B148" t="s">
        <v>913</v>
      </c>
      <c r="C148">
        <v>121</v>
      </c>
      <c r="D148" t="s">
        <v>922</v>
      </c>
      <c r="E148" t="s">
        <v>923</v>
      </c>
      <c r="F148" s="811" t="s">
        <v>1118</v>
      </c>
      <c r="G148" t="s">
        <v>1119</v>
      </c>
      <c r="H148">
        <v>393</v>
      </c>
      <c r="I148">
        <v>421</v>
      </c>
      <c r="J148">
        <v>519</v>
      </c>
      <c r="K148">
        <v>681</v>
      </c>
      <c r="L148">
        <v>843</v>
      </c>
      <c r="M148">
        <v>1005</v>
      </c>
      <c r="N148">
        <v>1167</v>
      </c>
      <c r="O148">
        <v>393</v>
      </c>
      <c r="P148">
        <v>421</v>
      </c>
      <c r="Q148">
        <v>506</v>
      </c>
      <c r="R148">
        <v>583</v>
      </c>
      <c r="S148">
        <v>651</v>
      </c>
      <c r="T148">
        <v>718</v>
      </c>
      <c r="U148">
        <v>785</v>
      </c>
      <c r="V148">
        <v>303</v>
      </c>
      <c r="W148">
        <v>357</v>
      </c>
      <c r="X148">
        <v>519</v>
      </c>
      <c r="Y148">
        <v>681</v>
      </c>
      <c r="Z148">
        <v>843</v>
      </c>
      <c r="AA148">
        <v>1005</v>
      </c>
      <c r="AB148">
        <v>1167</v>
      </c>
    </row>
    <row r="149" spans="1:28" x14ac:dyDescent="0.2">
      <c r="A149">
        <v>22</v>
      </c>
      <c r="B149" t="s">
        <v>913</v>
      </c>
      <c r="C149">
        <v>123</v>
      </c>
      <c r="D149" t="s">
        <v>1120</v>
      </c>
      <c r="E149" t="s">
        <v>1121</v>
      </c>
      <c r="F149" s="811" t="s">
        <v>1122</v>
      </c>
      <c r="G149" t="s">
        <v>1123</v>
      </c>
      <c r="H149">
        <v>303</v>
      </c>
      <c r="I149">
        <v>357</v>
      </c>
      <c r="J149">
        <v>519</v>
      </c>
      <c r="K149">
        <v>681</v>
      </c>
      <c r="L149">
        <v>843</v>
      </c>
      <c r="M149">
        <v>1005</v>
      </c>
      <c r="N149">
        <v>1167</v>
      </c>
      <c r="O149">
        <v>260</v>
      </c>
      <c r="P149">
        <v>278</v>
      </c>
      <c r="Q149">
        <v>335</v>
      </c>
      <c r="R149">
        <v>386</v>
      </c>
      <c r="S149">
        <v>431</v>
      </c>
      <c r="T149">
        <v>476</v>
      </c>
      <c r="U149">
        <v>519</v>
      </c>
      <c r="V149">
        <v>303</v>
      </c>
      <c r="W149">
        <v>357</v>
      </c>
      <c r="X149">
        <v>519</v>
      </c>
      <c r="Y149">
        <v>681</v>
      </c>
      <c r="Z149">
        <v>843</v>
      </c>
      <c r="AA149">
        <v>1005</v>
      </c>
      <c r="AB149">
        <v>1167</v>
      </c>
    </row>
    <row r="150" spans="1:28" x14ac:dyDescent="0.2">
      <c r="A150">
        <v>22</v>
      </c>
      <c r="B150" t="s">
        <v>913</v>
      </c>
      <c r="C150">
        <v>125</v>
      </c>
      <c r="D150" t="s">
        <v>922</v>
      </c>
      <c r="E150" t="s">
        <v>923</v>
      </c>
      <c r="F150" s="811" t="s">
        <v>1124</v>
      </c>
      <c r="G150" t="s">
        <v>1125</v>
      </c>
      <c r="H150">
        <v>393</v>
      </c>
      <c r="I150">
        <v>421</v>
      </c>
      <c r="J150">
        <v>519</v>
      </c>
      <c r="K150">
        <v>681</v>
      </c>
      <c r="L150">
        <v>843</v>
      </c>
      <c r="M150">
        <v>1005</v>
      </c>
      <c r="N150">
        <v>1167</v>
      </c>
      <c r="O150">
        <v>393</v>
      </c>
      <c r="P150">
        <v>421</v>
      </c>
      <c r="Q150">
        <v>506</v>
      </c>
      <c r="R150">
        <v>583</v>
      </c>
      <c r="S150">
        <v>651</v>
      </c>
      <c r="T150">
        <v>718</v>
      </c>
      <c r="U150">
        <v>785</v>
      </c>
      <c r="V150">
        <v>303</v>
      </c>
      <c r="W150">
        <v>357</v>
      </c>
      <c r="X150">
        <v>519</v>
      </c>
      <c r="Y150">
        <v>681</v>
      </c>
      <c r="Z150">
        <v>843</v>
      </c>
      <c r="AA150">
        <v>1005</v>
      </c>
      <c r="AB150">
        <v>1167</v>
      </c>
    </row>
    <row r="151" spans="1:28" x14ac:dyDescent="0.2">
      <c r="A151">
        <v>22</v>
      </c>
      <c r="B151" t="s">
        <v>913</v>
      </c>
      <c r="C151">
        <v>127</v>
      </c>
      <c r="D151" t="s">
        <v>1126</v>
      </c>
      <c r="E151" t="s">
        <v>1127</v>
      </c>
      <c r="F151" s="811" t="s">
        <v>1128</v>
      </c>
      <c r="G151" t="s">
        <v>1129</v>
      </c>
      <c r="H151">
        <v>303</v>
      </c>
      <c r="I151">
        <v>357</v>
      </c>
      <c r="J151">
        <v>519</v>
      </c>
      <c r="K151">
        <v>681</v>
      </c>
      <c r="L151">
        <v>843</v>
      </c>
      <c r="M151">
        <v>1005</v>
      </c>
      <c r="N151">
        <v>1167</v>
      </c>
      <c r="O151">
        <v>260</v>
      </c>
      <c r="P151">
        <v>278</v>
      </c>
      <c r="Q151">
        <v>335</v>
      </c>
      <c r="R151">
        <v>386</v>
      </c>
      <c r="S151">
        <v>431</v>
      </c>
      <c r="T151">
        <v>476</v>
      </c>
      <c r="U151">
        <v>519</v>
      </c>
      <c r="V151">
        <v>303</v>
      </c>
      <c r="W151">
        <v>357</v>
      </c>
      <c r="X151">
        <v>519</v>
      </c>
      <c r="Y151">
        <v>681</v>
      </c>
      <c r="Z151">
        <v>843</v>
      </c>
      <c r="AA151">
        <v>1005</v>
      </c>
      <c r="AB151">
        <v>1167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25"/>
  <sheetViews>
    <sheetView topLeftCell="A34" workbookViewId="0">
      <selection activeCell="Q82" sqref="Q82"/>
    </sheetView>
  </sheetViews>
  <sheetFormatPr defaultColWidth="8.85546875" defaultRowHeight="12.75" x14ac:dyDescent="0.2"/>
  <cols>
    <col min="1" max="1" width="24.42578125" customWidth="1"/>
    <col min="3" max="3" width="13.85546875" customWidth="1"/>
    <col min="4" max="4" width="43.42578125" customWidth="1"/>
    <col min="5" max="5" width="12.7109375" bestFit="1" customWidth="1"/>
    <col min="6" max="6" width="17.42578125" style="107" customWidth="1"/>
    <col min="7" max="7" width="12.42578125" customWidth="1"/>
    <col min="8" max="8" width="14.140625" customWidth="1"/>
    <col min="10" max="10" width="18.42578125" style="107" customWidth="1"/>
    <col min="12" max="12" width="17.42578125" style="107" customWidth="1"/>
    <col min="14" max="14" width="11" style="107" customWidth="1"/>
    <col min="15" max="15" width="3.7109375" customWidth="1"/>
    <col min="16" max="16" width="23.7109375" bestFit="1" customWidth="1"/>
    <col min="17" max="17" width="27" customWidth="1"/>
    <col min="18" max="21" width="16.42578125" bestFit="1" customWidth="1"/>
    <col min="22" max="22" width="27.140625" customWidth="1"/>
    <col min="24" max="24" width="16.42578125" customWidth="1"/>
    <col min="25" max="25" width="14.7109375" customWidth="1"/>
    <col min="27" max="27" width="18.140625" customWidth="1"/>
    <col min="30" max="30" width="20.85546875" customWidth="1"/>
    <col min="31" max="31" width="15" customWidth="1"/>
  </cols>
  <sheetData>
    <row r="1" spans="1:42" ht="38.25" x14ac:dyDescent="0.2">
      <c r="A1" s="825" t="s">
        <v>1178</v>
      </c>
      <c r="D1" s="825" t="s">
        <v>1179</v>
      </c>
      <c r="F1" s="827" t="s">
        <v>1180</v>
      </c>
      <c r="H1" s="825" t="s">
        <v>1181</v>
      </c>
      <c r="J1" s="827" t="s">
        <v>1182</v>
      </c>
      <c r="L1" s="831" t="s">
        <v>1183</v>
      </c>
      <c r="N1" s="831" t="s">
        <v>1184</v>
      </c>
      <c r="P1" s="1439" t="s">
        <v>1197</v>
      </c>
      <c r="Q1" s="1439"/>
      <c r="R1" s="1439"/>
      <c r="S1" s="1439"/>
      <c r="T1" s="1439"/>
      <c r="U1" s="1439"/>
      <c r="X1" s="1516" t="s">
        <v>1625</v>
      </c>
      <c r="Y1" s="1517"/>
      <c r="Z1" s="811"/>
      <c r="AA1" s="811"/>
      <c r="AD1" s="1521" t="s">
        <v>1645</v>
      </c>
      <c r="AE1" s="1522"/>
      <c r="AF1" s="811"/>
      <c r="AG1" s="811"/>
      <c r="AH1" s="952"/>
    </row>
    <row r="2" spans="1:42" ht="25.5" x14ac:dyDescent="0.2">
      <c r="D2" s="811"/>
      <c r="F2" s="828"/>
      <c r="H2" s="811"/>
      <c r="J2" s="828"/>
      <c r="L2" s="830"/>
      <c r="N2" s="828"/>
      <c r="P2" s="509"/>
      <c r="Q2" s="833" t="s">
        <v>683</v>
      </c>
      <c r="R2" s="515" t="s">
        <v>684</v>
      </c>
      <c r="S2" s="515" t="s">
        <v>686</v>
      </c>
      <c r="T2" s="515" t="s">
        <v>687</v>
      </c>
      <c r="U2" s="516" t="s">
        <v>688</v>
      </c>
      <c r="X2" s="953" t="s">
        <v>1626</v>
      </c>
      <c r="Y2" s="1002">
        <f>+'Loan Information'!E8</f>
        <v>0</v>
      </c>
      <c r="Z2" s="811"/>
      <c r="AA2" s="811"/>
      <c r="AD2" s="953" t="s">
        <v>1626</v>
      </c>
      <c r="AE2" s="1002">
        <f>+Underwriting!H521</f>
        <v>0</v>
      </c>
      <c r="AF2" s="811"/>
      <c r="AG2" s="811"/>
      <c r="AH2" s="811"/>
    </row>
    <row r="3" spans="1:42" ht="25.5" x14ac:dyDescent="0.2">
      <c r="A3" s="824" t="s">
        <v>478</v>
      </c>
      <c r="D3" s="826" t="s">
        <v>627</v>
      </c>
      <c r="F3" s="828" t="s">
        <v>25</v>
      </c>
      <c r="H3" s="829" t="s">
        <v>30</v>
      </c>
      <c r="J3" s="828" t="s">
        <v>650</v>
      </c>
      <c r="L3" s="830" t="s">
        <v>87</v>
      </c>
      <c r="N3" s="828" t="s">
        <v>20</v>
      </c>
      <c r="P3" t="s">
        <v>916</v>
      </c>
      <c r="Q3" s="735">
        <v>137882.25</v>
      </c>
      <c r="R3" s="735">
        <v>158062.5</v>
      </c>
      <c r="S3" s="735">
        <v>192204</v>
      </c>
      <c r="T3" s="735">
        <v>248652</v>
      </c>
      <c r="U3" s="735">
        <v>272940.75</v>
      </c>
      <c r="X3" s="953" t="s">
        <v>1627</v>
      </c>
      <c r="Y3" s="1003">
        <f>+'Loan Information'!E9</f>
        <v>0</v>
      </c>
      <c r="Z3" s="811"/>
      <c r="AA3" s="811"/>
      <c r="AD3" s="953" t="s">
        <v>1627</v>
      </c>
      <c r="AE3" s="1003">
        <f>+'Loan Information'!E9</f>
        <v>0</v>
      </c>
      <c r="AF3" s="811"/>
      <c r="AG3" s="811"/>
      <c r="AH3" s="811"/>
    </row>
    <row r="4" spans="1:42" ht="25.5" x14ac:dyDescent="0.2">
      <c r="A4" s="824" t="s">
        <v>479</v>
      </c>
      <c r="D4" s="826" t="s">
        <v>628</v>
      </c>
      <c r="F4" s="828" t="s">
        <v>31</v>
      </c>
      <c r="H4" s="829" t="s">
        <v>24</v>
      </c>
      <c r="J4" s="828" t="s">
        <v>68</v>
      </c>
      <c r="L4" s="830" t="s">
        <v>477</v>
      </c>
      <c r="N4" s="828" t="s">
        <v>27</v>
      </c>
      <c r="P4" t="s">
        <v>920</v>
      </c>
      <c r="Q4" s="735">
        <v>137882.25</v>
      </c>
      <c r="R4" s="735">
        <v>158062.5</v>
      </c>
      <c r="S4" s="735">
        <v>192204</v>
      </c>
      <c r="T4" s="735">
        <v>248652</v>
      </c>
      <c r="U4" s="735">
        <v>272940.75</v>
      </c>
      <c r="X4" s="953" t="s">
        <v>1628</v>
      </c>
      <c r="Y4" s="1004">
        <f>+'Loan Information'!E11</f>
        <v>0</v>
      </c>
      <c r="Z4" s="811"/>
      <c r="AA4" s="811"/>
      <c r="AD4" s="953" t="s">
        <v>1628</v>
      </c>
      <c r="AE4" s="1004">
        <f>+'Loan Information'!E11</f>
        <v>0</v>
      </c>
      <c r="AF4" s="811"/>
      <c r="AG4" s="811"/>
      <c r="AH4" s="811"/>
    </row>
    <row r="5" spans="1:42" ht="36" x14ac:dyDescent="0.2">
      <c r="A5" s="824" t="s">
        <v>480</v>
      </c>
      <c r="F5" s="828" t="s">
        <v>552</v>
      </c>
      <c r="J5" s="828" t="s">
        <v>69</v>
      </c>
      <c r="L5" s="562"/>
      <c r="N5" s="828" t="s">
        <v>33</v>
      </c>
      <c r="P5" t="s">
        <v>924</v>
      </c>
      <c r="Q5" s="735">
        <v>137882.25</v>
      </c>
      <c r="R5" s="735">
        <v>158062.5</v>
      </c>
      <c r="S5" s="735">
        <v>192204</v>
      </c>
      <c r="T5" s="735">
        <v>248652</v>
      </c>
      <c r="U5" s="735">
        <v>272940.75</v>
      </c>
      <c r="X5" s="953" t="s">
        <v>413</v>
      </c>
      <c r="Y5" s="1005">
        <f>+'Pro Forma'!D27</f>
        <v>0</v>
      </c>
      <c r="Z5" s="811"/>
      <c r="AA5" s="811"/>
      <c r="AD5" s="1007" t="s">
        <v>1650</v>
      </c>
      <c r="AE5" s="1008">
        <f>+'Pro Forma'!AP27</f>
        <v>0</v>
      </c>
      <c r="AF5" s="811"/>
      <c r="AG5" s="811"/>
      <c r="AH5" s="811"/>
    </row>
    <row r="6" spans="1:42" ht="25.5" x14ac:dyDescent="0.2">
      <c r="A6" s="824" t="s">
        <v>481</v>
      </c>
      <c r="F6" s="828" t="s">
        <v>42</v>
      </c>
      <c r="J6" s="828" t="s">
        <v>70</v>
      </c>
      <c r="N6" s="828" t="s">
        <v>38</v>
      </c>
      <c r="P6" t="s">
        <v>928</v>
      </c>
      <c r="Q6" s="735">
        <v>137882.25</v>
      </c>
      <c r="R6" s="735">
        <v>158062.5</v>
      </c>
      <c r="S6" s="735">
        <v>192204</v>
      </c>
      <c r="T6" s="735">
        <v>248652</v>
      </c>
      <c r="U6" s="735">
        <v>272940.75</v>
      </c>
      <c r="X6" s="953" t="s">
        <v>1629</v>
      </c>
      <c r="Y6" s="954">
        <f>+Y2</f>
        <v>0</v>
      </c>
      <c r="Z6" s="811"/>
      <c r="AA6" s="811"/>
      <c r="AD6" s="953" t="s">
        <v>1629</v>
      </c>
      <c r="AE6" s="954">
        <f>+AE2</f>
        <v>0</v>
      </c>
      <c r="AF6" s="811"/>
      <c r="AG6" s="811"/>
      <c r="AH6" s="811"/>
    </row>
    <row r="7" spans="1:42" ht="25.5" x14ac:dyDescent="0.2">
      <c r="A7" s="824" t="s">
        <v>482</v>
      </c>
      <c r="F7" s="828" t="s">
        <v>47</v>
      </c>
      <c r="J7" s="828" t="s">
        <v>71</v>
      </c>
      <c r="N7" s="828" t="s">
        <v>44</v>
      </c>
      <c r="P7" t="s">
        <v>932</v>
      </c>
      <c r="Q7" s="735">
        <v>137882.25</v>
      </c>
      <c r="R7" s="735">
        <v>158062.5</v>
      </c>
      <c r="S7" s="735">
        <v>192204</v>
      </c>
      <c r="T7" s="735">
        <v>248652</v>
      </c>
      <c r="U7" s="735">
        <v>272940.75</v>
      </c>
      <c r="X7" s="953" t="s">
        <v>1630</v>
      </c>
      <c r="Y7" s="955">
        <f>+Y3*12</f>
        <v>0</v>
      </c>
      <c r="Z7" s="811"/>
      <c r="AA7" s="811"/>
      <c r="AD7" s="953" t="s">
        <v>1630</v>
      </c>
      <c r="AE7" s="955">
        <f>+AE3*12</f>
        <v>0</v>
      </c>
      <c r="AF7" s="811"/>
      <c r="AG7" s="811"/>
      <c r="AH7" s="811"/>
    </row>
    <row r="8" spans="1:42" x14ac:dyDescent="0.2">
      <c r="A8" s="824" t="s">
        <v>483</v>
      </c>
      <c r="J8" s="828" t="s">
        <v>72</v>
      </c>
      <c r="P8" t="s">
        <v>936</v>
      </c>
      <c r="Q8" s="735">
        <v>137882.25</v>
      </c>
      <c r="R8" s="735">
        <v>158062.5</v>
      </c>
      <c r="S8" s="735">
        <v>192204</v>
      </c>
      <c r="T8" s="735">
        <v>248652</v>
      </c>
      <c r="U8" s="735">
        <v>272940.75</v>
      </c>
      <c r="X8" s="953" t="s">
        <v>1631</v>
      </c>
      <c r="Y8" s="956" t="e">
        <f>AF102</f>
        <v>#N/A</v>
      </c>
      <c r="Z8" s="811"/>
      <c r="AA8" s="811"/>
      <c r="AD8" s="953" t="s">
        <v>1631</v>
      </c>
      <c r="AE8" s="956" t="e">
        <f>+AO19</f>
        <v>#N/A</v>
      </c>
      <c r="AF8" s="811"/>
      <c r="AG8" s="811"/>
      <c r="AH8" s="811"/>
    </row>
    <row r="9" spans="1:42" x14ac:dyDescent="0.2">
      <c r="A9" s="824" t="s">
        <v>484</v>
      </c>
      <c r="P9" t="s">
        <v>940</v>
      </c>
      <c r="Q9" s="735">
        <v>137882.25</v>
      </c>
      <c r="R9" s="735">
        <v>158062.5</v>
      </c>
      <c r="S9" s="735">
        <v>192204</v>
      </c>
      <c r="T9" s="735">
        <v>248652</v>
      </c>
      <c r="U9" s="735">
        <v>272940.75</v>
      </c>
      <c r="X9" s="953" t="s">
        <v>1632</v>
      </c>
      <c r="Y9" s="957" t="e">
        <f>+Y5/Y4</f>
        <v>#DIV/0!</v>
      </c>
      <c r="Z9" s="811"/>
      <c r="AA9" s="811" t="s">
        <v>1633</v>
      </c>
      <c r="AD9" s="953" t="s">
        <v>1632</v>
      </c>
      <c r="AE9" s="957" t="e">
        <f>+AE5/AE4</f>
        <v>#DIV/0!</v>
      </c>
      <c r="AF9" s="811"/>
      <c r="AG9" s="811" t="s">
        <v>1633</v>
      </c>
      <c r="AH9" s="811"/>
    </row>
    <row r="10" spans="1:42" ht="39" x14ac:dyDescent="0.2">
      <c r="A10" s="824" t="s">
        <v>485</v>
      </c>
      <c r="P10" t="s">
        <v>944</v>
      </c>
      <c r="Q10" s="735">
        <v>137882.25</v>
      </c>
      <c r="R10" s="735">
        <v>158062.5</v>
      </c>
      <c r="S10" s="735">
        <v>192204</v>
      </c>
      <c r="T10" s="735">
        <v>248652</v>
      </c>
      <c r="U10" s="735">
        <v>272940.75</v>
      </c>
      <c r="X10" s="958" t="s">
        <v>1634</v>
      </c>
      <c r="Y10" s="959" t="e">
        <f>+Y9/Y8</f>
        <v>#DIV/0!</v>
      </c>
      <c r="Z10" s="811"/>
      <c r="AA10" s="960" t="s">
        <v>1635</v>
      </c>
      <c r="AD10" s="958" t="s">
        <v>1649</v>
      </c>
      <c r="AE10" s="959" t="e">
        <f>+AE9/AE8</f>
        <v>#DIV/0!</v>
      </c>
      <c r="AF10" s="811"/>
      <c r="AG10" s="960" t="s">
        <v>1635</v>
      </c>
      <c r="AH10" s="811"/>
    </row>
    <row r="11" spans="1:42" x14ac:dyDescent="0.2">
      <c r="A11" s="824" t="s">
        <v>486</v>
      </c>
      <c r="D11" s="825" t="s">
        <v>1185</v>
      </c>
      <c r="F11" s="831" t="s">
        <v>1186</v>
      </c>
      <c r="P11" t="s">
        <v>946</v>
      </c>
      <c r="Q11" s="834">
        <v>135431.01</v>
      </c>
      <c r="R11" s="834">
        <v>155252.5</v>
      </c>
      <c r="S11" s="834">
        <v>188787.04</v>
      </c>
      <c r="T11" s="834">
        <v>244231.52</v>
      </c>
      <c r="U11" s="834">
        <v>268088.46999999997</v>
      </c>
    </row>
    <row r="12" spans="1:42" ht="13.5" thickBot="1" x14ac:dyDescent="0.25">
      <c r="A12" s="824" t="s">
        <v>487</v>
      </c>
      <c r="D12" s="826"/>
      <c r="F12" s="826"/>
      <c r="P12" t="s">
        <v>950</v>
      </c>
      <c r="Q12" s="735">
        <v>137882.25</v>
      </c>
      <c r="R12" s="735">
        <v>158062.5</v>
      </c>
      <c r="S12" s="735">
        <v>192204</v>
      </c>
      <c r="T12" s="735">
        <v>248652</v>
      </c>
      <c r="U12" s="735">
        <v>272940.75</v>
      </c>
    </row>
    <row r="13" spans="1:42" ht="13.5" thickBot="1" x14ac:dyDescent="0.25">
      <c r="A13" s="824" t="s">
        <v>488</v>
      </c>
      <c r="D13" s="826" t="s">
        <v>1177</v>
      </c>
      <c r="F13" s="826" t="s">
        <v>1175</v>
      </c>
      <c r="P13" t="s">
        <v>954</v>
      </c>
      <c r="Q13" s="735">
        <v>137882.25</v>
      </c>
      <c r="R13" s="735">
        <v>158062.5</v>
      </c>
      <c r="S13" s="735">
        <v>192204</v>
      </c>
      <c r="T13" s="735">
        <v>248652</v>
      </c>
      <c r="U13" s="735">
        <v>272940.75</v>
      </c>
      <c r="X13" s="961" t="s">
        <v>1636</v>
      </c>
      <c r="Y13" s="962">
        <v>10</v>
      </c>
      <c r="Z13" s="962">
        <v>15</v>
      </c>
      <c r="AA13" s="962">
        <v>20</v>
      </c>
      <c r="AB13" s="962">
        <v>25</v>
      </c>
      <c r="AC13" s="963">
        <v>30</v>
      </c>
      <c r="AD13" s="964">
        <v>35</v>
      </c>
      <c r="AE13" s="965">
        <v>40</v>
      </c>
    </row>
    <row r="14" spans="1:42" x14ac:dyDescent="0.2">
      <c r="A14" s="824" t="s">
        <v>489</v>
      </c>
      <c r="D14" s="826" t="s">
        <v>23</v>
      </c>
      <c r="F14" s="826" t="s">
        <v>1176</v>
      </c>
      <c r="P14" t="s">
        <v>956</v>
      </c>
      <c r="Q14" s="735">
        <v>137882.25</v>
      </c>
      <c r="R14" s="735">
        <v>158062.5</v>
      </c>
      <c r="S14" s="735">
        <v>192204</v>
      </c>
      <c r="T14" s="735">
        <v>248652</v>
      </c>
      <c r="U14" s="735">
        <v>272940.75</v>
      </c>
      <c r="X14" s="966" t="s">
        <v>301</v>
      </c>
      <c r="Y14" s="967"/>
      <c r="Z14" s="967"/>
      <c r="AA14" s="967"/>
      <c r="AB14" s="967"/>
      <c r="AC14" s="968"/>
      <c r="AD14" s="969"/>
      <c r="AE14" s="970"/>
    </row>
    <row r="15" spans="1:42" ht="18.75" x14ac:dyDescent="0.3">
      <c r="A15" s="824" t="s">
        <v>490</v>
      </c>
      <c r="D15" s="826" t="s">
        <v>36</v>
      </c>
      <c r="P15" t="s">
        <v>960</v>
      </c>
      <c r="Q15" s="735">
        <v>137882.25</v>
      </c>
      <c r="R15" s="735">
        <v>158062.5</v>
      </c>
      <c r="S15" s="735">
        <v>192204</v>
      </c>
      <c r="T15" s="735">
        <v>248652</v>
      </c>
      <c r="U15" s="735">
        <v>272940.75</v>
      </c>
      <c r="X15" s="971">
        <v>0.02</v>
      </c>
      <c r="Y15" s="972">
        <v>0.11042</v>
      </c>
      <c r="Z15" s="972">
        <v>7.7219999999999997E-2</v>
      </c>
      <c r="AA15" s="972">
        <v>6.071E-2</v>
      </c>
      <c r="AB15" s="972">
        <v>5.0860000000000002E-2</v>
      </c>
      <c r="AC15" s="973">
        <v>4.4350000000000001E-2</v>
      </c>
      <c r="AD15" s="974">
        <v>3.9750000000000001E-2</v>
      </c>
      <c r="AE15" s="975">
        <v>3.6339999999999997E-2</v>
      </c>
      <c r="AG15" s="1518" t="s">
        <v>1646</v>
      </c>
      <c r="AH15" s="1519"/>
      <c r="AI15" s="1519"/>
      <c r="AJ15" s="1519"/>
      <c r="AK15" s="1519"/>
      <c r="AL15" s="1519"/>
      <c r="AM15" s="1519"/>
      <c r="AN15" s="1519"/>
      <c r="AO15" s="1519"/>
      <c r="AP15" s="1520"/>
    </row>
    <row r="16" spans="1:42" x14ac:dyDescent="0.2">
      <c r="A16" s="824" t="s">
        <v>491</v>
      </c>
      <c r="D16" s="826" t="s">
        <v>40</v>
      </c>
      <c r="P16" t="s">
        <v>964</v>
      </c>
      <c r="Q16" s="735">
        <v>137882.25</v>
      </c>
      <c r="R16" s="735">
        <v>158062.5</v>
      </c>
      <c r="S16" s="735">
        <v>192204</v>
      </c>
      <c r="T16" s="735">
        <v>248652</v>
      </c>
      <c r="U16" s="735">
        <v>272940.75</v>
      </c>
      <c r="X16" s="976">
        <v>2.1250000000000002E-2</v>
      </c>
      <c r="Y16" s="977">
        <v>0.11108999999999999</v>
      </c>
      <c r="Z16" s="977">
        <v>7.7909999999999993E-2</v>
      </c>
      <c r="AA16" s="977">
        <v>6.1420000000000002E-2</v>
      </c>
      <c r="AB16" s="977">
        <v>5.16E-2</v>
      </c>
      <c r="AC16" s="978">
        <v>4.5109999999999997E-2</v>
      </c>
      <c r="AD16" s="979">
        <v>4.0529999999999997E-2</v>
      </c>
      <c r="AE16" s="980">
        <v>3.7130000000000003E-2</v>
      </c>
      <c r="AG16" s="990"/>
      <c r="AH16" s="814" t="s">
        <v>1637</v>
      </c>
      <c r="AI16" s="814" t="s">
        <v>1638</v>
      </c>
      <c r="AJ16" s="814" t="s">
        <v>1639</v>
      </c>
      <c r="AK16" s="814" t="s">
        <v>1640</v>
      </c>
      <c r="AL16" s="991" t="s">
        <v>1641</v>
      </c>
      <c r="AM16" s="992" t="s">
        <v>1642</v>
      </c>
      <c r="AN16" s="992" t="s">
        <v>1643</v>
      </c>
      <c r="AO16" s="992"/>
      <c r="AP16" s="993"/>
    </row>
    <row r="17" spans="1:43" x14ac:dyDescent="0.2">
      <c r="A17" s="824" t="s">
        <v>492</v>
      </c>
      <c r="D17" s="826" t="s">
        <v>45</v>
      </c>
      <c r="P17" t="s">
        <v>968</v>
      </c>
      <c r="Q17" s="735">
        <v>137882.25</v>
      </c>
      <c r="R17" s="735">
        <v>158062.5</v>
      </c>
      <c r="S17" s="735">
        <v>192204</v>
      </c>
      <c r="T17" s="735">
        <v>248652</v>
      </c>
      <c r="U17" s="735">
        <v>272940.75</v>
      </c>
      <c r="X17" s="971">
        <v>2.2499999999999999E-2</v>
      </c>
      <c r="Y17" s="972">
        <v>0.11176</v>
      </c>
      <c r="Z17" s="972">
        <v>7.8609999999999999E-2</v>
      </c>
      <c r="AA17" s="972">
        <v>6.2140000000000001E-2</v>
      </c>
      <c r="AB17" s="972">
        <v>5.2339999999999998E-2</v>
      </c>
      <c r="AC17" s="973">
        <v>4.5870000000000001E-2</v>
      </c>
      <c r="AD17" s="974">
        <v>4.1309999999999999E-2</v>
      </c>
      <c r="AE17" s="975">
        <v>3.7940000000000002E-2</v>
      </c>
      <c r="AG17" s="994" t="s">
        <v>1631</v>
      </c>
      <c r="AH17" s="995" t="e">
        <f>IF($AE$2=" ",0, VLOOKUP($AE$2,$X$15:$AE$94, 2))</f>
        <v>#N/A</v>
      </c>
      <c r="AI17" s="995" t="e">
        <f>IF($AE$2=" ",0, VLOOKUP($AE$2,$X$15:$AE$94, 3))</f>
        <v>#N/A</v>
      </c>
      <c r="AJ17" s="995" t="e">
        <f>IF($AE$2=" ",0, VLOOKUP($AE$2,$X$15:$AE$94, 4))</f>
        <v>#N/A</v>
      </c>
      <c r="AK17" s="995" t="e">
        <f>IF($AE$2=" ",0, VLOOKUP($AE$2,$X$15:$AE$94, 5))</f>
        <v>#N/A</v>
      </c>
      <c r="AL17" s="995" t="e">
        <f>IF($AE$2=" ",0, VLOOKUP($AE$2,$X$15:$AE$94, 6))</f>
        <v>#N/A</v>
      </c>
      <c r="AM17" s="995" t="e">
        <f>IF($AE$2=" ",0, VLOOKUP($AE$2,$X$15:$AE$94, 7))</f>
        <v>#N/A</v>
      </c>
      <c r="AN17" s="995" t="e">
        <f>IF($AE$2=" ",0, VLOOKUP($AE$2,$X$15:$AE$94, 8))</f>
        <v>#N/A</v>
      </c>
      <c r="AO17" s="813"/>
      <c r="AP17" s="813"/>
    </row>
    <row r="18" spans="1:43" x14ac:dyDescent="0.2">
      <c r="A18" s="824" t="s">
        <v>1188</v>
      </c>
      <c r="D18" s="826" t="s">
        <v>39</v>
      </c>
      <c r="P18" t="s">
        <v>970</v>
      </c>
      <c r="Q18" s="735">
        <v>137882.25</v>
      </c>
      <c r="R18" s="735">
        <v>158062.5</v>
      </c>
      <c r="S18" s="735">
        <v>192204</v>
      </c>
      <c r="T18" s="735">
        <v>248652</v>
      </c>
      <c r="U18" s="735">
        <v>272940.75</v>
      </c>
      <c r="X18" s="976">
        <v>2.375E-2</v>
      </c>
      <c r="Y18" s="977">
        <v>0.11244</v>
      </c>
      <c r="Z18" s="977">
        <v>7.9310000000000005E-2</v>
      </c>
      <c r="AA18" s="977">
        <v>6.2859999999999999E-2</v>
      </c>
      <c r="AB18" s="977">
        <v>5.3080000000000002E-2</v>
      </c>
      <c r="AC18" s="978">
        <v>4.6640000000000001E-2</v>
      </c>
      <c r="AD18" s="979">
        <v>4.2099999999999999E-2</v>
      </c>
      <c r="AE18" s="980">
        <v>3.875E-2</v>
      </c>
      <c r="AG18" s="988"/>
      <c r="AL18" s="989"/>
    </row>
    <row r="19" spans="1:43" x14ac:dyDescent="0.2">
      <c r="A19" s="824" t="s">
        <v>494</v>
      </c>
      <c r="P19" t="s">
        <v>972</v>
      </c>
      <c r="Q19" s="735">
        <v>137882.25</v>
      </c>
      <c r="R19" s="735">
        <v>158062.5</v>
      </c>
      <c r="S19" s="735">
        <v>192204</v>
      </c>
      <c r="T19" s="735">
        <v>248652</v>
      </c>
      <c r="U19" s="735">
        <v>272940.75</v>
      </c>
      <c r="X19" s="971">
        <v>2.5000000000000001E-2</v>
      </c>
      <c r="Y19" s="972">
        <v>0.11312</v>
      </c>
      <c r="Z19" s="972">
        <v>8.0009999999999998E-2</v>
      </c>
      <c r="AA19" s="972">
        <v>6.3589999999999994E-2</v>
      </c>
      <c r="AB19" s="972">
        <v>5.3830000000000003E-2</v>
      </c>
      <c r="AC19" s="973">
        <v>4.7410000000000001E-2</v>
      </c>
      <c r="AD19" s="974">
        <v>4.2900000000000001E-2</v>
      </c>
      <c r="AE19" s="975">
        <v>3.9570000000000001E-2</v>
      </c>
      <c r="AG19" s="988"/>
      <c r="AL19" s="989"/>
      <c r="AN19" s="996" t="s">
        <v>1631</v>
      </c>
      <c r="AO19" s="996" t="e">
        <f>IF(AE3 = " ",0, VLOOKUP(AE3,AP19:AQ25, 2))</f>
        <v>#N/A</v>
      </c>
      <c r="AP19">
        <v>10</v>
      </c>
      <c r="AQ19" s="997" t="e">
        <f>+AH17</f>
        <v>#N/A</v>
      </c>
    </row>
    <row r="20" spans="1:43" x14ac:dyDescent="0.2">
      <c r="A20" s="824" t="s">
        <v>495</v>
      </c>
      <c r="P20" t="s">
        <v>976</v>
      </c>
      <c r="Q20" s="735">
        <v>137882.25</v>
      </c>
      <c r="R20" s="735">
        <v>158062.5</v>
      </c>
      <c r="S20" s="735">
        <v>192204</v>
      </c>
      <c r="T20" s="735">
        <v>248652</v>
      </c>
      <c r="U20" s="735">
        <v>272940.75</v>
      </c>
      <c r="X20" s="976">
        <v>2.6249999999999999E-2</v>
      </c>
      <c r="Y20" s="977">
        <v>0.11380999999999999</v>
      </c>
      <c r="Z20" s="977">
        <v>8.072E-2</v>
      </c>
      <c r="AA20" s="977">
        <v>6.4320000000000002E-2</v>
      </c>
      <c r="AB20" s="977">
        <v>5.459E-2</v>
      </c>
      <c r="AC20" s="978">
        <v>4.82E-2</v>
      </c>
      <c r="AD20" s="979">
        <v>4.3709999999999999E-2</v>
      </c>
      <c r="AE20" s="980">
        <v>4.0410000000000001E-2</v>
      </c>
      <c r="AG20" s="988"/>
      <c r="AL20" s="989"/>
      <c r="AP20">
        <v>15</v>
      </c>
      <c r="AQ20" s="997" t="e">
        <f>+AI17</f>
        <v>#N/A</v>
      </c>
    </row>
    <row r="21" spans="1:43" x14ac:dyDescent="0.2">
      <c r="A21" s="824" t="s">
        <v>496</v>
      </c>
      <c r="H21" s="824" t="s">
        <v>1566</v>
      </c>
      <c r="P21" t="s">
        <v>978</v>
      </c>
      <c r="Q21" s="735">
        <v>137882.25</v>
      </c>
      <c r="R21" s="735">
        <v>158062.5</v>
      </c>
      <c r="S21" s="735">
        <v>192204</v>
      </c>
      <c r="T21" s="735">
        <v>248652</v>
      </c>
      <c r="U21" s="735">
        <v>272940.75</v>
      </c>
      <c r="X21" s="971">
        <v>2.75E-2</v>
      </c>
      <c r="Y21" s="972">
        <v>0.11448999999999999</v>
      </c>
      <c r="Z21" s="972">
        <v>8.1430000000000002E-2</v>
      </c>
      <c r="AA21" s="972">
        <v>6.5060000000000007E-2</v>
      </c>
      <c r="AB21" s="972">
        <v>5.5359999999999999E-2</v>
      </c>
      <c r="AC21" s="973">
        <v>4.8989999999999999E-2</v>
      </c>
      <c r="AD21" s="974">
        <v>4.4519999999999997E-2</v>
      </c>
      <c r="AE21" s="975">
        <v>4.1250000000000002E-2</v>
      </c>
      <c r="AG21" s="988"/>
      <c r="AL21" s="989"/>
      <c r="AP21">
        <v>20</v>
      </c>
      <c r="AQ21" s="997" t="e">
        <f>+AJ17</f>
        <v>#N/A</v>
      </c>
    </row>
    <row r="22" spans="1:43" x14ac:dyDescent="0.2">
      <c r="A22" s="824" t="s">
        <v>497</v>
      </c>
      <c r="P22" t="s">
        <v>982</v>
      </c>
      <c r="Q22" s="735">
        <v>137882.25</v>
      </c>
      <c r="R22" s="735">
        <v>158062.5</v>
      </c>
      <c r="S22" s="735">
        <v>192204</v>
      </c>
      <c r="T22" s="735">
        <v>248652</v>
      </c>
      <c r="U22" s="735">
        <v>272940.75</v>
      </c>
      <c r="X22" s="976">
        <v>2.8750000000000001E-2</v>
      </c>
      <c r="Y22" s="977">
        <v>0.11518</v>
      </c>
      <c r="Z22" s="977">
        <v>8.2150000000000001E-2</v>
      </c>
      <c r="AA22" s="977">
        <v>6.5799999999999997E-2</v>
      </c>
      <c r="AB22" s="977">
        <v>5.6129999999999999E-2</v>
      </c>
      <c r="AC22" s="978">
        <v>4.9790000000000001E-2</v>
      </c>
      <c r="AD22" s="979">
        <v>4.5350000000000001E-2</v>
      </c>
      <c r="AE22" s="980">
        <v>4.2099999999999999E-2</v>
      </c>
      <c r="AG22" s="988"/>
      <c r="AL22" s="989"/>
      <c r="AP22">
        <v>25</v>
      </c>
      <c r="AQ22" s="997" t="e">
        <f>+AK17</f>
        <v>#N/A</v>
      </c>
    </row>
    <row r="23" spans="1:43" x14ac:dyDescent="0.2">
      <c r="A23" s="824" t="s">
        <v>694</v>
      </c>
      <c r="H23" s="824" t="s">
        <v>1567</v>
      </c>
      <c r="I23">
        <v>1</v>
      </c>
      <c r="J23" s="107">
        <v>2018</v>
      </c>
      <c r="P23" t="s">
        <v>986</v>
      </c>
      <c r="Q23" s="735">
        <v>137882.25</v>
      </c>
      <c r="R23" s="735">
        <v>158062.5</v>
      </c>
      <c r="S23" s="735">
        <v>192204</v>
      </c>
      <c r="T23" s="735">
        <v>248652</v>
      </c>
      <c r="U23" s="735">
        <v>272940.75</v>
      </c>
      <c r="X23" s="971">
        <v>0.03</v>
      </c>
      <c r="Y23" s="972">
        <v>0.11587</v>
      </c>
      <c r="Z23" s="972">
        <v>8.2869999999999999E-2</v>
      </c>
      <c r="AA23" s="972">
        <v>6.6549999999999998E-2</v>
      </c>
      <c r="AB23" s="972">
        <v>5.6910000000000002E-2</v>
      </c>
      <c r="AC23" s="973">
        <v>5.0590000000000003E-2</v>
      </c>
      <c r="AD23" s="974">
        <v>4.6179999999999999E-2</v>
      </c>
      <c r="AE23" s="975">
        <v>4.2959999999999998E-2</v>
      </c>
      <c r="AG23" s="988"/>
      <c r="AL23" s="989"/>
      <c r="AP23">
        <v>30</v>
      </c>
      <c r="AQ23" s="997" t="e">
        <f>+AL17</f>
        <v>#N/A</v>
      </c>
    </row>
    <row r="24" spans="1:43" x14ac:dyDescent="0.2">
      <c r="A24" s="824" t="s">
        <v>498</v>
      </c>
      <c r="H24" t="s">
        <v>1568</v>
      </c>
      <c r="I24">
        <v>2</v>
      </c>
      <c r="J24" s="107">
        <v>2019</v>
      </c>
      <c r="P24" t="s">
        <v>990</v>
      </c>
      <c r="Q24" s="735">
        <v>137882.25</v>
      </c>
      <c r="R24" s="735">
        <v>158062.5</v>
      </c>
      <c r="S24" s="735">
        <v>192204</v>
      </c>
      <c r="T24" s="735">
        <v>248652</v>
      </c>
      <c r="U24" s="735">
        <v>272940.75</v>
      </c>
      <c r="X24" s="976">
        <v>3.125E-2</v>
      </c>
      <c r="Y24" s="977">
        <v>0.11656999999999999</v>
      </c>
      <c r="Z24" s="977">
        <v>8.3589999999999998E-2</v>
      </c>
      <c r="AA24" s="977">
        <v>6.7309999999999995E-2</v>
      </c>
      <c r="AB24" s="977">
        <v>5.7689999999999998E-2</v>
      </c>
      <c r="AC24" s="978">
        <v>5.1409999999999997E-2</v>
      </c>
      <c r="AD24" s="979">
        <v>4.7019999999999999E-2</v>
      </c>
      <c r="AE24" s="980">
        <v>4.3830000000000001E-2</v>
      </c>
      <c r="AG24" s="988"/>
      <c r="AL24" s="989"/>
      <c r="AP24">
        <v>35</v>
      </c>
      <c r="AQ24" s="997" t="e">
        <f>+AM17</f>
        <v>#N/A</v>
      </c>
    </row>
    <row r="25" spans="1:43" x14ac:dyDescent="0.2">
      <c r="A25" s="824" t="s">
        <v>499</v>
      </c>
      <c r="H25" t="s">
        <v>1569</v>
      </c>
      <c r="I25">
        <v>3</v>
      </c>
      <c r="J25" s="107">
        <v>2020</v>
      </c>
      <c r="P25" t="s">
        <v>994</v>
      </c>
      <c r="Q25" s="735">
        <v>137882.25</v>
      </c>
      <c r="R25" s="735">
        <v>158062.5</v>
      </c>
      <c r="S25" s="735">
        <v>192204</v>
      </c>
      <c r="T25" s="735">
        <v>248652</v>
      </c>
      <c r="U25" s="735">
        <v>272940.75</v>
      </c>
      <c r="X25" s="971">
        <v>3.2500000000000001E-2</v>
      </c>
      <c r="Y25" s="972">
        <v>0.11726</v>
      </c>
      <c r="Z25" s="972">
        <v>8.4320000000000006E-2</v>
      </c>
      <c r="AA25" s="972">
        <v>6.8059999999999996E-2</v>
      </c>
      <c r="AB25" s="972">
        <v>5.8479999999999997E-2</v>
      </c>
      <c r="AC25" s="973">
        <v>5.2220000000000003E-2</v>
      </c>
      <c r="AD25" s="974">
        <v>4.7870000000000003E-2</v>
      </c>
      <c r="AE25" s="975">
        <v>4.4699999999999997E-2</v>
      </c>
      <c r="AG25" s="988"/>
      <c r="AL25" s="989"/>
      <c r="AP25">
        <v>40</v>
      </c>
      <c r="AQ25" s="997" t="e">
        <f>+AN17</f>
        <v>#N/A</v>
      </c>
    </row>
    <row r="26" spans="1:43" x14ac:dyDescent="0.2">
      <c r="A26" s="824" t="s">
        <v>500</v>
      </c>
      <c r="H26" t="s">
        <v>1570</v>
      </c>
      <c r="I26">
        <v>4</v>
      </c>
      <c r="J26" s="107">
        <v>2021</v>
      </c>
      <c r="P26" t="s">
        <v>998</v>
      </c>
      <c r="Q26" s="735">
        <v>137882.25</v>
      </c>
      <c r="R26" s="735">
        <v>158062.5</v>
      </c>
      <c r="S26" s="735">
        <v>192204</v>
      </c>
      <c r="T26" s="735">
        <v>248652</v>
      </c>
      <c r="U26" s="735">
        <v>272940.75</v>
      </c>
      <c r="X26" s="976">
        <v>3.3750000000000002E-2</v>
      </c>
      <c r="Y26" s="977">
        <v>0.11796</v>
      </c>
      <c r="Z26" s="977">
        <v>8.5050000000000001E-2</v>
      </c>
      <c r="AA26" s="977">
        <v>6.8830000000000002E-2</v>
      </c>
      <c r="AB26" s="977">
        <v>5.9270000000000003E-2</v>
      </c>
      <c r="AC26" s="978">
        <v>5.305E-2</v>
      </c>
      <c r="AD26" s="979">
        <v>4.8730000000000002E-2</v>
      </c>
      <c r="AE26" s="980">
        <v>4.5589999999999999E-2</v>
      </c>
    </row>
    <row r="27" spans="1:43" x14ac:dyDescent="0.2">
      <c r="A27" s="824" t="s">
        <v>501</v>
      </c>
      <c r="H27" t="s">
        <v>1571</v>
      </c>
      <c r="I27">
        <v>5</v>
      </c>
      <c r="J27" s="107">
        <v>2022</v>
      </c>
      <c r="P27" t="s">
        <v>1002</v>
      </c>
      <c r="Q27" s="735">
        <v>137882.25</v>
      </c>
      <c r="R27" s="735">
        <v>158062.5</v>
      </c>
      <c r="S27" s="735">
        <v>192204</v>
      </c>
      <c r="T27" s="735">
        <v>248652</v>
      </c>
      <c r="U27" s="735">
        <v>272940.75</v>
      </c>
      <c r="X27" s="971">
        <v>3.5000000000000003E-2</v>
      </c>
      <c r="Y27" s="972">
        <v>0.11866</v>
      </c>
      <c r="Z27" s="972">
        <v>8.5790000000000005E-2</v>
      </c>
      <c r="AA27" s="972">
        <v>6.9599999999999995E-2</v>
      </c>
      <c r="AB27" s="972">
        <v>6.0069999999999998E-2</v>
      </c>
      <c r="AC27" s="973">
        <v>5.389E-2</v>
      </c>
      <c r="AD27" s="974">
        <v>4.9590000000000002E-2</v>
      </c>
      <c r="AE27" s="975">
        <v>4.6489999999999997E-2</v>
      </c>
    </row>
    <row r="28" spans="1:43" x14ac:dyDescent="0.2">
      <c r="A28" s="824" t="s">
        <v>502</v>
      </c>
      <c r="H28" t="s">
        <v>1572</v>
      </c>
      <c r="I28">
        <v>6</v>
      </c>
      <c r="J28" s="107">
        <v>2023</v>
      </c>
      <c r="P28" t="s">
        <v>1006</v>
      </c>
      <c r="Q28" s="735">
        <v>137882.25</v>
      </c>
      <c r="R28" s="735">
        <v>158062.5</v>
      </c>
      <c r="S28" s="735">
        <v>192204</v>
      </c>
      <c r="T28" s="735">
        <v>248652</v>
      </c>
      <c r="U28" s="735">
        <v>272940.75</v>
      </c>
      <c r="X28" s="976">
        <v>3.6249999999999998E-2</v>
      </c>
      <c r="Y28" s="977">
        <v>0.11937</v>
      </c>
      <c r="Z28" s="977">
        <v>8.652E-2</v>
      </c>
      <c r="AA28" s="977">
        <v>7.0370000000000002E-2</v>
      </c>
      <c r="AB28" s="977">
        <v>6.0879999999999997E-2</v>
      </c>
      <c r="AC28" s="978">
        <v>5.4730000000000001E-2</v>
      </c>
      <c r="AD28" s="979">
        <v>5.0470000000000001E-2</v>
      </c>
      <c r="AE28" s="980">
        <v>4.7390000000000002E-2</v>
      </c>
    </row>
    <row r="29" spans="1:43" x14ac:dyDescent="0.2">
      <c r="A29" s="824" t="s">
        <v>503</v>
      </c>
      <c r="H29" t="s">
        <v>1573</v>
      </c>
      <c r="I29">
        <v>7</v>
      </c>
      <c r="J29" s="107">
        <v>2024</v>
      </c>
      <c r="P29" t="s">
        <v>1010</v>
      </c>
      <c r="Q29" s="735">
        <v>137882.25</v>
      </c>
      <c r="R29" s="735">
        <v>158062.5</v>
      </c>
      <c r="S29" s="735">
        <v>192204</v>
      </c>
      <c r="T29" s="735">
        <v>248652</v>
      </c>
      <c r="U29" s="735">
        <v>272940.75</v>
      </c>
      <c r="X29" s="971">
        <v>3.7499999999999999E-2</v>
      </c>
      <c r="Y29" s="972">
        <v>0.12007</v>
      </c>
      <c r="Z29" s="972">
        <v>8.727E-2</v>
      </c>
      <c r="AA29" s="972">
        <v>7.1150000000000005E-2</v>
      </c>
      <c r="AB29" s="972">
        <v>6.1699999999999998E-2</v>
      </c>
      <c r="AC29" s="973">
        <v>5.5570000000000001E-2</v>
      </c>
      <c r="AD29" s="974">
        <v>5.135E-2</v>
      </c>
      <c r="AE29" s="975">
        <v>4.8300000000000003E-2</v>
      </c>
    </row>
    <row r="30" spans="1:43" x14ac:dyDescent="0.2">
      <c r="A30" s="824" t="s">
        <v>504</v>
      </c>
      <c r="H30" t="s">
        <v>1574</v>
      </c>
      <c r="I30">
        <v>8</v>
      </c>
      <c r="J30" s="107">
        <v>2025</v>
      </c>
      <c r="P30" t="s">
        <v>1014</v>
      </c>
      <c r="Q30" s="735">
        <v>137882.25</v>
      </c>
      <c r="R30" s="735">
        <v>158062.5</v>
      </c>
      <c r="S30" s="735">
        <v>192204</v>
      </c>
      <c r="T30" s="735">
        <v>248652</v>
      </c>
      <c r="U30" s="735">
        <v>272940.75</v>
      </c>
      <c r="X30" s="976">
        <v>3.875E-2</v>
      </c>
      <c r="Y30" s="977">
        <v>0.12078</v>
      </c>
      <c r="Z30" s="977">
        <v>8.8010000000000005E-2</v>
      </c>
      <c r="AA30" s="977">
        <v>7.1929999999999994E-2</v>
      </c>
      <c r="AB30" s="977">
        <v>6.2520000000000006E-2</v>
      </c>
      <c r="AC30" s="978">
        <v>5.6430000000000001E-2</v>
      </c>
      <c r="AD30" s="979">
        <v>5.2240000000000002E-2</v>
      </c>
      <c r="AE30" s="980">
        <v>4.922E-2</v>
      </c>
    </row>
    <row r="31" spans="1:43" x14ac:dyDescent="0.2">
      <c r="A31" s="824" t="s">
        <v>505</v>
      </c>
      <c r="H31" t="s">
        <v>1575</v>
      </c>
      <c r="I31">
        <v>9</v>
      </c>
      <c r="J31" s="107">
        <v>2026</v>
      </c>
      <c r="P31" t="s">
        <v>1018</v>
      </c>
      <c r="Q31" s="735">
        <v>137882.25</v>
      </c>
      <c r="R31" s="735">
        <v>158062.5</v>
      </c>
      <c r="S31" s="735">
        <v>192204</v>
      </c>
      <c r="T31" s="735">
        <v>248652</v>
      </c>
      <c r="U31" s="735">
        <v>272940.75</v>
      </c>
      <c r="X31" s="971">
        <v>0.04</v>
      </c>
      <c r="Y31" s="972">
        <v>0.12149</v>
      </c>
      <c r="Z31" s="972">
        <v>8.8760000000000006E-2</v>
      </c>
      <c r="AA31" s="972">
        <v>7.2720000000000007E-2</v>
      </c>
      <c r="AB31" s="972">
        <v>6.3339999999999994E-2</v>
      </c>
      <c r="AC31" s="973">
        <v>5.7290000000000001E-2</v>
      </c>
      <c r="AD31" s="974">
        <v>5.3129999999999997E-2</v>
      </c>
      <c r="AE31" s="975">
        <v>5.015E-2</v>
      </c>
    </row>
    <row r="32" spans="1:43" x14ac:dyDescent="0.2">
      <c r="A32" s="824" t="s">
        <v>506</v>
      </c>
      <c r="D32" s="4" t="s">
        <v>1941</v>
      </c>
      <c r="H32" t="s">
        <v>1576</v>
      </c>
      <c r="I32">
        <v>10</v>
      </c>
      <c r="J32" s="107">
        <v>2027</v>
      </c>
      <c r="P32" t="s">
        <v>1022</v>
      </c>
      <c r="Q32" s="735">
        <v>137882.25</v>
      </c>
      <c r="R32" s="735">
        <v>158062.5</v>
      </c>
      <c r="S32" s="735">
        <v>192204</v>
      </c>
      <c r="T32" s="735">
        <v>248652</v>
      </c>
      <c r="U32" s="735">
        <v>272940.75</v>
      </c>
      <c r="X32" s="976">
        <v>4.1250000000000002E-2</v>
      </c>
      <c r="Y32" s="977">
        <v>0.12221</v>
      </c>
      <c r="Z32" s="977">
        <v>8.9520000000000002E-2</v>
      </c>
      <c r="AA32" s="977">
        <v>7.3510000000000006E-2</v>
      </c>
      <c r="AB32" s="977">
        <v>6.4170000000000005E-2</v>
      </c>
      <c r="AC32" s="978">
        <v>5.8160000000000003E-2</v>
      </c>
      <c r="AD32" s="979">
        <v>5.4039999999999998E-2</v>
      </c>
      <c r="AE32" s="980">
        <v>5.1090000000000003E-2</v>
      </c>
    </row>
    <row r="33" spans="1:31" x14ac:dyDescent="0.2">
      <c r="A33" s="824" t="s">
        <v>507</v>
      </c>
      <c r="D33" s="4" t="s">
        <v>1942</v>
      </c>
      <c r="H33" t="s">
        <v>1577</v>
      </c>
      <c r="I33">
        <v>11</v>
      </c>
      <c r="J33" s="107">
        <v>2028</v>
      </c>
      <c r="P33" t="s">
        <v>1026</v>
      </c>
      <c r="Q33" s="735">
        <v>137882.25</v>
      </c>
      <c r="R33" s="735">
        <v>158062.5</v>
      </c>
      <c r="S33" s="735">
        <v>192204</v>
      </c>
      <c r="T33" s="735">
        <v>248652</v>
      </c>
      <c r="U33" s="735">
        <v>272940.75</v>
      </c>
      <c r="X33" s="971">
        <v>4.2500000000000003E-2</v>
      </c>
      <c r="Y33" s="972">
        <v>0.12293</v>
      </c>
      <c r="Z33" s="972">
        <v>9.0270000000000003E-2</v>
      </c>
      <c r="AA33" s="972">
        <v>7.4310000000000001E-2</v>
      </c>
      <c r="AB33" s="972">
        <v>6.5009999999999998E-2</v>
      </c>
      <c r="AC33" s="973">
        <v>5.9029999999999999E-2</v>
      </c>
      <c r="AD33" s="974">
        <v>5.4949999999999999E-2</v>
      </c>
      <c r="AE33" s="975">
        <v>5.203E-2</v>
      </c>
    </row>
    <row r="34" spans="1:31" x14ac:dyDescent="0.2">
      <c r="A34" s="824" t="s">
        <v>508</v>
      </c>
      <c r="D34" s="4" t="s">
        <v>1943</v>
      </c>
      <c r="H34" t="s">
        <v>1578</v>
      </c>
      <c r="I34">
        <v>12</v>
      </c>
      <c r="P34" t="s">
        <v>1028</v>
      </c>
      <c r="Q34" s="735">
        <v>137882.25</v>
      </c>
      <c r="R34" s="735">
        <v>158062.5</v>
      </c>
      <c r="S34" s="735">
        <v>192204</v>
      </c>
      <c r="T34" s="735">
        <v>248652</v>
      </c>
      <c r="U34" s="735">
        <v>272940.75</v>
      </c>
      <c r="X34" s="976">
        <v>4.3749999999999997E-2</v>
      </c>
      <c r="Y34" s="977">
        <v>0.12364</v>
      </c>
      <c r="Z34" s="977">
        <v>9.103E-2</v>
      </c>
      <c r="AA34" s="977">
        <v>7.5109999999999996E-2</v>
      </c>
      <c r="AB34" s="977">
        <v>6.5850000000000006E-2</v>
      </c>
      <c r="AC34" s="978">
        <v>5.9909999999999998E-2</v>
      </c>
      <c r="AD34" s="979">
        <v>5.5870000000000003E-2</v>
      </c>
      <c r="AE34" s="980">
        <v>5.2990000000000002E-2</v>
      </c>
    </row>
    <row r="35" spans="1:31" x14ac:dyDescent="0.2">
      <c r="A35" s="824" t="s">
        <v>509</v>
      </c>
      <c r="D35" s="4" t="s">
        <v>1944</v>
      </c>
      <c r="I35">
        <v>13</v>
      </c>
      <c r="P35" t="s">
        <v>1032</v>
      </c>
      <c r="Q35" s="735">
        <v>137882.25</v>
      </c>
      <c r="R35" s="735">
        <v>158062.5</v>
      </c>
      <c r="S35" s="735">
        <v>192204</v>
      </c>
      <c r="T35" s="735">
        <v>248652</v>
      </c>
      <c r="U35" s="735">
        <v>272940.75</v>
      </c>
      <c r="X35" s="971">
        <v>4.4999999999999998E-2</v>
      </c>
      <c r="Y35" s="972">
        <v>0.12436999999999999</v>
      </c>
      <c r="Z35" s="972">
        <v>9.1800000000000007E-2</v>
      </c>
      <c r="AA35" s="972">
        <v>7.5920000000000001E-2</v>
      </c>
      <c r="AB35" s="972">
        <v>6.6699999999999995E-2</v>
      </c>
      <c r="AC35" s="973">
        <v>6.08E-2</v>
      </c>
      <c r="AD35" s="974">
        <v>5.679E-2</v>
      </c>
      <c r="AE35" s="975">
        <v>5.3949999999999998E-2</v>
      </c>
    </row>
    <row r="36" spans="1:31" x14ac:dyDescent="0.2">
      <c r="A36" s="824" t="s">
        <v>510</v>
      </c>
      <c r="D36" s="4" t="str">
        <f>IF('Primary Input'!E38=0,"Ok",IF('Primary Input'!E6=Lists!D43,Lists!D32,IF('Primary Input'!E6=Lists!D40,Lists!D33,IF('Primary Input'!E6=Lists!D41,Lists!D34,IF('Primary Input'!E6=Lists!D42,Lists!D35)))))</f>
        <v>Ok</v>
      </c>
      <c r="I36">
        <v>14</v>
      </c>
      <c r="P36" t="s">
        <v>1036</v>
      </c>
      <c r="Q36" s="735">
        <v>137882.25</v>
      </c>
      <c r="R36" s="735">
        <v>158062.5</v>
      </c>
      <c r="S36" s="735">
        <v>192204</v>
      </c>
      <c r="T36" s="735">
        <v>248652</v>
      </c>
      <c r="U36" s="735">
        <v>272940.75</v>
      </c>
      <c r="X36" s="976">
        <v>4.6249999999999999E-2</v>
      </c>
      <c r="Y36" s="977">
        <v>0.12509000000000001</v>
      </c>
      <c r="Z36" s="977">
        <v>9.257E-2</v>
      </c>
      <c r="AA36" s="977">
        <v>7.6730000000000007E-2</v>
      </c>
      <c r="AB36" s="977">
        <v>6.7549999999999999E-2</v>
      </c>
      <c r="AC36" s="978">
        <v>6.1699999999999998E-2</v>
      </c>
      <c r="AD36" s="979">
        <v>5.772E-2</v>
      </c>
      <c r="AE36" s="980">
        <v>5.4919999999999997E-2</v>
      </c>
    </row>
    <row r="37" spans="1:31" ht="13.5" thickBot="1" x14ac:dyDescent="0.25">
      <c r="A37" s="824" t="s">
        <v>511</v>
      </c>
      <c r="I37">
        <v>15</v>
      </c>
      <c r="P37" t="s">
        <v>1040</v>
      </c>
      <c r="Q37" s="735">
        <v>137882.25</v>
      </c>
      <c r="R37" s="735">
        <v>158062.5</v>
      </c>
      <c r="S37" s="735">
        <v>192204</v>
      </c>
      <c r="T37" s="735">
        <v>248652</v>
      </c>
      <c r="U37" s="735">
        <v>272940.75</v>
      </c>
      <c r="X37" s="971">
        <v>4.7500000000000001E-2</v>
      </c>
      <c r="Y37" s="972">
        <v>0.12581999999999999</v>
      </c>
      <c r="Z37" s="972">
        <v>9.3340000000000006E-2</v>
      </c>
      <c r="AA37" s="972">
        <v>7.7549999999999994E-2</v>
      </c>
      <c r="AB37" s="972">
        <v>6.8409999999999999E-2</v>
      </c>
      <c r="AC37" s="973">
        <v>6.2600000000000003E-2</v>
      </c>
      <c r="AD37" s="974">
        <v>5.8659999999999997E-2</v>
      </c>
      <c r="AE37" s="975">
        <v>5.5890000000000002E-2</v>
      </c>
    </row>
    <row r="38" spans="1:31" ht="13.5" thickTop="1" x14ac:dyDescent="0.2">
      <c r="A38" s="824" t="s">
        <v>1189</v>
      </c>
      <c r="D38" s="1010" t="s">
        <v>1559</v>
      </c>
      <c r="E38" s="1011" t="s">
        <v>1808</v>
      </c>
      <c r="F38" s="1010" t="s">
        <v>1564</v>
      </c>
      <c r="G38" s="1011" t="s">
        <v>1623</v>
      </c>
      <c r="H38" s="1010" t="s">
        <v>1753</v>
      </c>
      <c r="I38">
        <v>16</v>
      </c>
      <c r="P38" t="s">
        <v>1042</v>
      </c>
      <c r="Q38" s="834">
        <v>140333.49</v>
      </c>
      <c r="R38" s="834">
        <v>160872.5</v>
      </c>
      <c r="S38" s="834">
        <v>195620.96</v>
      </c>
      <c r="T38" s="834">
        <v>253072.48</v>
      </c>
      <c r="U38" s="834">
        <v>277793.03000000003</v>
      </c>
      <c r="X38" s="976">
        <v>4.8750000000000002E-2</v>
      </c>
      <c r="Y38" s="977">
        <v>0.12655</v>
      </c>
      <c r="Z38" s="977">
        <v>9.4119999999999995E-2</v>
      </c>
      <c r="AA38" s="977">
        <v>7.8369999999999995E-2</v>
      </c>
      <c r="AB38" s="977">
        <v>6.9279999999999994E-2</v>
      </c>
      <c r="AC38" s="978">
        <v>6.3500000000000001E-2</v>
      </c>
      <c r="AD38" s="979">
        <v>5.9610000000000003E-2</v>
      </c>
      <c r="AE38" s="980">
        <v>5.6869999999999997E-2</v>
      </c>
    </row>
    <row r="39" spans="1:31" x14ac:dyDescent="0.2">
      <c r="A39" s="824" t="s">
        <v>513</v>
      </c>
      <c r="D39" s="1012"/>
      <c r="E39" s="1012"/>
      <c r="F39" s="1012"/>
      <c r="G39" s="1012"/>
      <c r="H39" s="1012"/>
      <c r="I39">
        <v>17</v>
      </c>
      <c r="P39" t="s">
        <v>1046</v>
      </c>
      <c r="Q39" s="735">
        <v>137882.25</v>
      </c>
      <c r="R39" s="735">
        <v>158062.5</v>
      </c>
      <c r="S39" s="735">
        <v>192204</v>
      </c>
      <c r="T39" s="735">
        <v>248652</v>
      </c>
      <c r="U39" s="735">
        <v>272940.75</v>
      </c>
      <c r="X39" s="971">
        <v>0.05</v>
      </c>
      <c r="Y39" s="972">
        <v>0.12728</v>
      </c>
      <c r="Z39" s="972">
        <v>9.4899999999999998E-2</v>
      </c>
      <c r="AA39" s="972">
        <v>7.9189999999999997E-2</v>
      </c>
      <c r="AB39" s="972">
        <v>7.0150000000000004E-2</v>
      </c>
      <c r="AC39" s="973">
        <v>6.4420000000000005E-2</v>
      </c>
      <c r="AD39" s="974">
        <v>6.0560000000000003E-2</v>
      </c>
      <c r="AE39" s="975">
        <v>5.7860000000000002E-2</v>
      </c>
    </row>
    <row r="40" spans="1:31" x14ac:dyDescent="0.2">
      <c r="A40" s="824" t="s">
        <v>514</v>
      </c>
      <c r="D40" s="1013" t="s">
        <v>1560</v>
      </c>
      <c r="E40" s="1014">
        <f>IF('Primary Input'!$E$6 = "NOAH", "234 Limit", 0)</f>
        <v>0</v>
      </c>
      <c r="F40" s="1014">
        <f>IF('Primary Input'!E6 = "NOAH", 400000, 0)</f>
        <v>0</v>
      </c>
      <c r="G40" s="1012">
        <f>IF('Primary Input'!E6="NOAH", 4, 0)</f>
        <v>0</v>
      </c>
      <c r="H40" s="1014">
        <v>0</v>
      </c>
      <c r="I40">
        <v>18</v>
      </c>
      <c r="P40" t="s">
        <v>1048</v>
      </c>
      <c r="Q40" s="735">
        <v>137882.25</v>
      </c>
      <c r="R40" s="735">
        <v>158062.5</v>
      </c>
      <c r="S40" s="735">
        <v>192204</v>
      </c>
      <c r="T40" s="735">
        <v>248652</v>
      </c>
      <c r="U40" s="735">
        <v>272940.75</v>
      </c>
      <c r="X40" s="976">
        <v>5.1249999999999997E-2</v>
      </c>
      <c r="Y40" s="977">
        <v>0.12801000000000001</v>
      </c>
      <c r="Z40" s="977">
        <v>9.5680000000000001E-2</v>
      </c>
      <c r="AA40" s="977">
        <v>8.0030000000000004E-2</v>
      </c>
      <c r="AB40" s="977">
        <v>7.1029999999999996E-2</v>
      </c>
      <c r="AC40" s="978">
        <v>6.5339999999999995E-2</v>
      </c>
      <c r="AD40" s="979">
        <v>6.1519999999999998E-2</v>
      </c>
      <c r="AE40" s="980">
        <v>5.8860000000000003E-2</v>
      </c>
    </row>
    <row r="41" spans="1:31" x14ac:dyDescent="0.2">
      <c r="A41" s="824" t="s">
        <v>515</v>
      </c>
      <c r="D41" s="1013" t="s">
        <v>1561</v>
      </c>
      <c r="E41" s="1014" t="s">
        <v>1698</v>
      </c>
      <c r="F41" s="1014" t="b">
        <f>IF('Primary Input'!E6="CHAAP",IF(Eligibility!E6="NO",600000,0))</f>
        <v>0</v>
      </c>
      <c r="G41" s="1012">
        <f>+IF('Primary Input'!E6="CHAAP", 999999, 0)</f>
        <v>0</v>
      </c>
      <c r="H41" s="1014">
        <v>0</v>
      </c>
      <c r="I41">
        <v>19</v>
      </c>
      <c r="P41" t="s">
        <v>1050</v>
      </c>
      <c r="Q41" s="735">
        <v>137882.25</v>
      </c>
      <c r="R41" s="735">
        <v>158062.5</v>
      </c>
      <c r="S41" s="735">
        <v>192204</v>
      </c>
      <c r="T41" s="735">
        <v>248652</v>
      </c>
      <c r="U41" s="735">
        <v>272940.75</v>
      </c>
      <c r="X41" s="971">
        <v>5.2499999999999998E-2</v>
      </c>
      <c r="Y41" s="972">
        <v>0.12875</v>
      </c>
      <c r="Z41" s="972">
        <v>9.647E-2</v>
      </c>
      <c r="AA41" s="972">
        <v>8.0860000000000001E-2</v>
      </c>
      <c r="AB41" s="972">
        <v>7.1910000000000002E-2</v>
      </c>
      <c r="AC41" s="973">
        <v>6.6259999999999999E-2</v>
      </c>
      <c r="AD41" s="974">
        <v>6.2489999999999997E-2</v>
      </c>
      <c r="AE41" s="975">
        <v>5.9859999999999997E-2</v>
      </c>
    </row>
    <row r="42" spans="1:31" x14ac:dyDescent="0.2">
      <c r="A42" s="824" t="s">
        <v>516</v>
      </c>
      <c r="D42" s="1013" t="s">
        <v>1562</v>
      </c>
      <c r="E42" s="1014" t="s">
        <v>1698</v>
      </c>
      <c r="F42" s="1014">
        <f>IF('Primary Input'!E6 = "Small Project Continuation", 1000000, 0)</f>
        <v>0</v>
      </c>
      <c r="G42" s="1012">
        <f>IF('Primary Input'!E6="Small Project Continuation", 999999, 0)</f>
        <v>0</v>
      </c>
      <c r="H42" s="1014">
        <v>0</v>
      </c>
      <c r="I42">
        <v>20</v>
      </c>
      <c r="P42" t="s">
        <v>1052</v>
      </c>
      <c r="Q42" s="735">
        <v>137882.25</v>
      </c>
      <c r="R42" s="735">
        <v>158062.5</v>
      </c>
      <c r="S42" s="735">
        <v>192204</v>
      </c>
      <c r="T42" s="735">
        <v>248652</v>
      </c>
      <c r="U42" s="735">
        <v>272940.75</v>
      </c>
      <c r="X42" s="976">
        <v>5.3749999999999999E-2</v>
      </c>
      <c r="Y42" s="977">
        <v>0.12948999999999999</v>
      </c>
      <c r="Z42" s="977">
        <v>9.7259999999999999E-2</v>
      </c>
      <c r="AA42" s="977">
        <v>8.1699999999999995E-2</v>
      </c>
      <c r="AB42" s="977">
        <v>7.2800000000000004E-2</v>
      </c>
      <c r="AC42" s="978">
        <v>6.7199999999999996E-2</v>
      </c>
      <c r="AD42" s="979">
        <v>6.3460000000000003E-2</v>
      </c>
      <c r="AE42" s="980">
        <v>6.0879999999999997E-2</v>
      </c>
    </row>
    <row r="43" spans="1:31" x14ac:dyDescent="0.2">
      <c r="A43" s="824" t="s">
        <v>517</v>
      </c>
      <c r="D43" s="1015" t="s">
        <v>1807</v>
      </c>
      <c r="E43" s="1014">
        <v>100000</v>
      </c>
      <c r="F43" s="1014">
        <f>IF('Primary Input'!E6 = D43,1000000, 0)</f>
        <v>0</v>
      </c>
      <c r="G43" s="1012">
        <f>IF('Primary Input'!E6=Lists!D43, 999999, 0)</f>
        <v>0</v>
      </c>
      <c r="H43" s="1014">
        <v>200000</v>
      </c>
      <c r="I43">
        <v>21</v>
      </c>
      <c r="P43" t="s">
        <v>1056</v>
      </c>
      <c r="Q43" s="735">
        <v>137882.25</v>
      </c>
      <c r="R43" s="735">
        <v>158062.5</v>
      </c>
      <c r="S43" s="735">
        <v>192204</v>
      </c>
      <c r="T43" s="735">
        <v>248652</v>
      </c>
      <c r="U43" s="735">
        <v>272940.75</v>
      </c>
      <c r="X43" s="971">
        <v>5.5E-2</v>
      </c>
      <c r="Y43" s="972">
        <v>0.13023000000000001</v>
      </c>
      <c r="Z43" s="972">
        <v>9.8049999999999998E-2</v>
      </c>
      <c r="AA43" s="972">
        <v>8.2549999999999998E-2</v>
      </c>
      <c r="AB43" s="972">
        <v>7.3690000000000005E-2</v>
      </c>
      <c r="AC43" s="973">
        <v>6.8129999999999996E-2</v>
      </c>
      <c r="AD43" s="974">
        <v>6.4439999999999997E-2</v>
      </c>
      <c r="AE43" s="975">
        <v>6.1890000000000001E-2</v>
      </c>
    </row>
    <row r="44" spans="1:31" x14ac:dyDescent="0.2">
      <c r="A44" s="824" t="s">
        <v>518</v>
      </c>
      <c r="D44" s="1012" t="s">
        <v>2018</v>
      </c>
      <c r="E44" s="1014">
        <v>1000000</v>
      </c>
      <c r="F44" s="1016" t="b">
        <f>IF('Primary Input'!E6="CHAAP",IF(Eligibility!E6="YES",Lists!E44,0))</f>
        <v>0</v>
      </c>
      <c r="G44" s="1012"/>
      <c r="H44" s="1014">
        <v>2000000</v>
      </c>
      <c r="I44">
        <v>22</v>
      </c>
      <c r="P44" t="s">
        <v>1060</v>
      </c>
      <c r="Q44" s="735">
        <v>137882.25</v>
      </c>
      <c r="R44" s="735">
        <v>158062.5</v>
      </c>
      <c r="S44" s="735">
        <v>192204</v>
      </c>
      <c r="T44" s="735">
        <v>248652</v>
      </c>
      <c r="U44" s="735">
        <v>272940.75</v>
      </c>
      <c r="X44" s="976">
        <v>5.6250000000000001E-2</v>
      </c>
      <c r="Y44" s="977">
        <v>0.13098000000000001</v>
      </c>
      <c r="Z44" s="977">
        <v>9.8849999999999993E-2</v>
      </c>
      <c r="AA44" s="977">
        <v>8.3400000000000002E-2</v>
      </c>
      <c r="AB44" s="977">
        <v>7.4590000000000004E-2</v>
      </c>
      <c r="AC44" s="978">
        <v>6.9080000000000003E-2</v>
      </c>
      <c r="AD44" s="979">
        <v>6.5430000000000002E-2</v>
      </c>
      <c r="AE44" s="980">
        <v>6.2920000000000004E-2</v>
      </c>
    </row>
    <row r="45" spans="1:31" x14ac:dyDescent="0.2">
      <c r="A45" s="824" t="s">
        <v>519</v>
      </c>
      <c r="D45" s="1013" t="s">
        <v>1565</v>
      </c>
      <c r="E45" s="1014">
        <f>MAX(E40:E43)</f>
        <v>100000</v>
      </c>
      <c r="F45" s="1016">
        <f>MAX(F40:F44)</f>
        <v>0</v>
      </c>
      <c r="G45" s="1012"/>
      <c r="H45" s="1014">
        <v>2000000</v>
      </c>
      <c r="I45">
        <v>23</v>
      </c>
      <c r="P45" t="s">
        <v>1064</v>
      </c>
      <c r="Q45" s="735">
        <v>137882.25</v>
      </c>
      <c r="R45" s="735">
        <v>158062.5</v>
      </c>
      <c r="S45" s="735">
        <v>192204</v>
      </c>
      <c r="T45" s="735">
        <v>248652</v>
      </c>
      <c r="U45" s="735">
        <v>272940.75</v>
      </c>
      <c r="X45" s="971">
        <v>5.7500000000000002E-2</v>
      </c>
      <c r="Y45" s="972">
        <v>0.13172</v>
      </c>
      <c r="Z45" s="972">
        <v>9.9650000000000002E-2</v>
      </c>
      <c r="AA45" s="972">
        <v>8.4250000000000005E-2</v>
      </c>
      <c r="AB45" s="972">
        <v>7.5490000000000002E-2</v>
      </c>
      <c r="AC45" s="973">
        <v>7.0029999999999995E-2</v>
      </c>
      <c r="AD45" s="974">
        <v>6.6420000000000007E-2</v>
      </c>
      <c r="AE45" s="975">
        <v>6.3950000000000007E-2</v>
      </c>
    </row>
    <row r="46" spans="1:31" ht="13.5" thickBot="1" x14ac:dyDescent="0.25">
      <c r="A46" s="824" t="s">
        <v>520</v>
      </c>
      <c r="D46" s="1017" t="s">
        <v>1622</v>
      </c>
      <c r="E46" s="1018"/>
      <c r="F46" s="1019">
        <f>MAX(G40:G43)</f>
        <v>0</v>
      </c>
      <c r="G46" s="1018"/>
      <c r="H46" s="1018"/>
      <c r="I46">
        <v>24</v>
      </c>
      <c r="P46" t="s">
        <v>1066</v>
      </c>
      <c r="Q46" s="735">
        <v>137882.25</v>
      </c>
      <c r="R46" s="735">
        <v>158062.5</v>
      </c>
      <c r="S46" s="735">
        <v>192204</v>
      </c>
      <c r="T46" s="735">
        <v>248652</v>
      </c>
      <c r="U46" s="735">
        <v>272940.75</v>
      </c>
      <c r="X46" s="976">
        <v>5.8749999999999997E-2</v>
      </c>
      <c r="Y46" s="977">
        <v>0.13247</v>
      </c>
      <c r="Z46" s="977">
        <v>0.10045</v>
      </c>
      <c r="AA46" s="977">
        <v>8.5110000000000005E-2</v>
      </c>
      <c r="AB46" s="977">
        <v>7.6399999999999996E-2</v>
      </c>
      <c r="AC46" s="978">
        <v>7.0980000000000001E-2</v>
      </c>
      <c r="AD46" s="979">
        <v>6.7419999999999994E-2</v>
      </c>
      <c r="AE46" s="980">
        <v>6.4979999999999996E-2</v>
      </c>
    </row>
    <row r="47" spans="1:31" ht="13.5" thickTop="1" x14ac:dyDescent="0.2">
      <c r="A47" s="824" t="s">
        <v>521</v>
      </c>
      <c r="I47">
        <v>25</v>
      </c>
      <c r="P47" t="s">
        <v>1068</v>
      </c>
      <c r="Q47" s="735">
        <v>137882.25</v>
      </c>
      <c r="R47" s="735">
        <v>158062.5</v>
      </c>
      <c r="S47" s="735">
        <v>192204</v>
      </c>
      <c r="T47" s="735">
        <v>248652</v>
      </c>
      <c r="U47" s="735">
        <v>272940.75</v>
      </c>
      <c r="X47" s="971">
        <v>0.06</v>
      </c>
      <c r="Y47" s="972">
        <v>0.13322000000000001</v>
      </c>
      <c r="Z47" s="972">
        <v>0.10126</v>
      </c>
      <c r="AA47" s="972">
        <v>8.5970000000000005E-2</v>
      </c>
      <c r="AB47" s="972">
        <v>7.732E-2</v>
      </c>
      <c r="AC47" s="973">
        <v>7.195E-2</v>
      </c>
      <c r="AD47" s="974">
        <v>6.8419999999999995E-2</v>
      </c>
      <c r="AE47" s="975">
        <v>6.6030000000000005E-2</v>
      </c>
    </row>
    <row r="48" spans="1:31" x14ac:dyDescent="0.2">
      <c r="A48" s="824" t="s">
        <v>522</v>
      </c>
      <c r="I48">
        <v>26</v>
      </c>
      <c r="P48" t="s">
        <v>1070</v>
      </c>
      <c r="Q48" s="735">
        <v>137882.25</v>
      </c>
      <c r="R48" s="735">
        <v>158062.5</v>
      </c>
      <c r="S48" s="735">
        <v>192204</v>
      </c>
      <c r="T48" s="735">
        <v>248652</v>
      </c>
      <c r="U48" s="735">
        <v>272940.75</v>
      </c>
      <c r="X48" s="976">
        <v>6.1249999999999999E-2</v>
      </c>
      <c r="Y48" s="977">
        <v>0.13397999999999999</v>
      </c>
      <c r="Z48" s="977">
        <v>0.10206999999999999</v>
      </c>
      <c r="AA48" s="977">
        <v>8.6840000000000001E-2</v>
      </c>
      <c r="AB48" s="977">
        <v>7.8240000000000004E-2</v>
      </c>
      <c r="AC48" s="978">
        <v>7.2910000000000003E-2</v>
      </c>
      <c r="AD48" s="979">
        <v>6.9430000000000006E-2</v>
      </c>
      <c r="AE48" s="980">
        <v>6.7070000000000005E-2</v>
      </c>
    </row>
    <row r="49" spans="1:31" x14ac:dyDescent="0.2">
      <c r="A49" s="824" t="s">
        <v>523</v>
      </c>
      <c r="D49" s="824" t="s">
        <v>1654</v>
      </c>
      <c r="I49">
        <v>27</v>
      </c>
      <c r="P49" t="s">
        <v>1074</v>
      </c>
      <c r="Q49" s="735">
        <v>137882.25</v>
      </c>
      <c r="R49" s="735">
        <v>158062.5</v>
      </c>
      <c r="S49" s="735">
        <v>192204</v>
      </c>
      <c r="T49" s="735">
        <v>248652</v>
      </c>
      <c r="U49" s="735">
        <v>272940.75</v>
      </c>
      <c r="X49" s="971">
        <v>6.25E-2</v>
      </c>
      <c r="Y49" s="972">
        <v>0.13474</v>
      </c>
      <c r="Z49" s="972">
        <v>0.10289</v>
      </c>
      <c r="AA49" s="972">
        <v>8.7709999999999996E-2</v>
      </c>
      <c r="AB49" s="972">
        <v>7.9159999999999994E-2</v>
      </c>
      <c r="AC49" s="973">
        <v>7.3889999999999997E-2</v>
      </c>
      <c r="AD49" s="974">
        <v>7.0449999999999999E-2</v>
      </c>
      <c r="AE49" s="975">
        <v>6.8129999999999996E-2</v>
      </c>
    </row>
    <row r="50" spans="1:31" x14ac:dyDescent="0.2">
      <c r="A50" s="824" t="s">
        <v>524</v>
      </c>
      <c r="D50" s="1024">
        <f>MIN('Pro Forma'!D27,'Pro Forma'!F27,'Pro Forma'!H27,'Pro Forma'!J27,'Pro Forma'!L27,'Pro Forma'!N27,'Pro Forma'!P27,'Pro Forma'!R27,'Pro Forma'!T27,'Pro Forma'!V27,'Pro Forma'!X27,'Pro Forma'!Z27,'Pro Forma'!AB27,'Pro Forma'!AD27,'Pro Forma'!AF27,'Pro Forma'!AH27,'Pro Forma'!AJ27,'Pro Forma'!AL27,'Pro Forma'!AN27,'Pro Forma'!AP27)</f>
        <v>0</v>
      </c>
      <c r="I50">
        <v>28</v>
      </c>
      <c r="P50" t="s">
        <v>1076</v>
      </c>
      <c r="Q50" s="735">
        <v>137882.25</v>
      </c>
      <c r="R50" s="735">
        <v>158062.5</v>
      </c>
      <c r="S50" s="735">
        <v>192204</v>
      </c>
      <c r="T50" s="735">
        <v>248652</v>
      </c>
      <c r="U50" s="735">
        <v>272940.75</v>
      </c>
      <c r="X50" s="976">
        <v>6.3750000000000001E-2</v>
      </c>
      <c r="Y50" s="977">
        <v>0.13550000000000001</v>
      </c>
      <c r="Z50" s="977">
        <v>0.10371</v>
      </c>
      <c r="AA50" s="977">
        <v>8.8590000000000002E-2</v>
      </c>
      <c r="AB50" s="977">
        <v>8.0089999999999995E-2</v>
      </c>
      <c r="AC50" s="978">
        <v>7.4859999999999996E-2</v>
      </c>
      <c r="AD50" s="979">
        <v>7.1470000000000006E-2</v>
      </c>
      <c r="AE50" s="980">
        <v>6.9190000000000002E-2</v>
      </c>
    </row>
    <row r="51" spans="1:31" x14ac:dyDescent="0.2">
      <c r="A51" s="824" t="s">
        <v>525</v>
      </c>
      <c r="I51">
        <v>29</v>
      </c>
      <c r="P51" t="s">
        <v>1080</v>
      </c>
      <c r="Q51" s="735">
        <v>137882.25</v>
      </c>
      <c r="R51" s="735">
        <v>158062.5</v>
      </c>
      <c r="S51" s="735">
        <v>192204</v>
      </c>
      <c r="T51" s="735">
        <v>248652</v>
      </c>
      <c r="U51" s="735">
        <v>272940.75</v>
      </c>
      <c r="X51" s="971">
        <v>6.5000000000000002E-2</v>
      </c>
      <c r="Y51" s="972">
        <v>0.13625999999999999</v>
      </c>
      <c r="Z51" s="972">
        <v>0.10453</v>
      </c>
      <c r="AA51" s="972">
        <v>8.9469999999999994E-2</v>
      </c>
      <c r="AB51" s="972">
        <v>8.1019999999999995E-2</v>
      </c>
      <c r="AC51" s="973">
        <v>7.5850000000000001E-2</v>
      </c>
      <c r="AD51" s="974">
        <v>7.2499999999999995E-2</v>
      </c>
      <c r="AE51" s="975">
        <v>7.0250000000000007E-2</v>
      </c>
    </row>
    <row r="52" spans="1:31" x14ac:dyDescent="0.2">
      <c r="A52" s="824" t="s">
        <v>526</v>
      </c>
      <c r="D52" t="s">
        <v>1657</v>
      </c>
      <c r="I52">
        <v>30</v>
      </c>
      <c r="P52" t="s">
        <v>1082</v>
      </c>
      <c r="Q52" s="735">
        <v>137882.25</v>
      </c>
      <c r="R52" s="735">
        <v>158062.5</v>
      </c>
      <c r="S52" s="735">
        <v>192204</v>
      </c>
      <c r="T52" s="735">
        <v>248652</v>
      </c>
      <c r="U52" s="735">
        <v>272940.75</v>
      </c>
      <c r="X52" s="976">
        <v>6.6250000000000003E-2</v>
      </c>
      <c r="Y52" s="977">
        <v>0.13702</v>
      </c>
      <c r="Z52" s="977">
        <v>0.10536</v>
      </c>
      <c r="AA52" s="977">
        <v>9.035E-2</v>
      </c>
      <c r="AB52" s="977">
        <v>8.1960000000000005E-2</v>
      </c>
      <c r="AC52" s="978">
        <v>7.6840000000000006E-2</v>
      </c>
      <c r="AD52" s="979">
        <v>7.3529999999999998E-2</v>
      </c>
      <c r="AE52" s="980">
        <v>7.1330000000000005E-2</v>
      </c>
    </row>
    <row r="53" spans="1:31" x14ac:dyDescent="0.2">
      <c r="A53" s="824" t="s">
        <v>527</v>
      </c>
      <c r="D53" s="1025">
        <f>MAX('Pro Forma'!D42:AQ42)</f>
        <v>0</v>
      </c>
      <c r="E53" t="s">
        <v>1659</v>
      </c>
      <c r="P53" t="s">
        <v>1086</v>
      </c>
      <c r="Q53" s="735">
        <v>137882.25</v>
      </c>
      <c r="R53" s="735">
        <v>158062.5</v>
      </c>
      <c r="S53" s="735">
        <v>192204</v>
      </c>
      <c r="T53" s="735">
        <v>248652</v>
      </c>
      <c r="U53" s="735">
        <v>272940.75</v>
      </c>
      <c r="X53" s="971">
        <v>6.7500000000000004E-2</v>
      </c>
      <c r="Y53" s="972">
        <v>0.13779</v>
      </c>
      <c r="Z53" s="972">
        <v>0.10619000000000001</v>
      </c>
      <c r="AA53" s="972">
        <v>9.1240000000000002E-2</v>
      </c>
      <c r="AB53" s="972">
        <v>8.2909999999999998E-2</v>
      </c>
      <c r="AC53" s="973">
        <v>7.7829999999999996E-2</v>
      </c>
      <c r="AD53" s="974">
        <v>7.4569999999999997E-2</v>
      </c>
      <c r="AE53" s="975">
        <v>7.2400000000000006E-2</v>
      </c>
    </row>
    <row r="54" spans="1:31" ht="13.5" thickBot="1" x14ac:dyDescent="0.25">
      <c r="A54" s="824" t="s">
        <v>528</v>
      </c>
      <c r="D54" s="1025">
        <f>MIN('Pro Forma'!D42:AQ42)</f>
        <v>0</v>
      </c>
      <c r="E54" t="s">
        <v>1658</v>
      </c>
      <c r="P54" t="s">
        <v>1088</v>
      </c>
      <c r="Q54" s="735">
        <v>137882.25</v>
      </c>
      <c r="R54" s="735">
        <v>158062.5</v>
      </c>
      <c r="S54" s="735">
        <v>192204</v>
      </c>
      <c r="T54" s="735">
        <v>248652</v>
      </c>
      <c r="U54" s="735">
        <v>272940.75</v>
      </c>
      <c r="X54" s="976">
        <v>6.8750000000000006E-2</v>
      </c>
      <c r="Y54" s="981">
        <v>0.13855999999999999</v>
      </c>
      <c r="Z54" s="981">
        <v>0.10702</v>
      </c>
      <c r="AA54" s="981">
        <v>9.214E-2</v>
      </c>
      <c r="AB54" s="981">
        <v>8.3860000000000004E-2</v>
      </c>
      <c r="AC54" s="978">
        <v>7.8829999999999997E-2</v>
      </c>
      <c r="AD54" s="982">
        <v>7.5609999999999997E-2</v>
      </c>
      <c r="AE54" s="983">
        <v>7.3480000000000004E-2</v>
      </c>
    </row>
    <row r="55" spans="1:31" x14ac:dyDescent="0.2">
      <c r="A55" s="824" t="s">
        <v>529</v>
      </c>
      <c r="H55" s="824" t="s">
        <v>1813</v>
      </c>
      <c r="P55" t="s">
        <v>1092</v>
      </c>
      <c r="Q55" s="735">
        <v>137882.25</v>
      </c>
      <c r="R55" s="735">
        <v>158062.5</v>
      </c>
      <c r="S55" s="735">
        <v>192204</v>
      </c>
      <c r="T55" s="735">
        <v>248652</v>
      </c>
      <c r="U55" s="735">
        <v>272940.75</v>
      </c>
      <c r="X55" s="971">
        <v>7.0000000000000007E-2</v>
      </c>
      <c r="Y55" s="975">
        <v>0.13933000000000001</v>
      </c>
      <c r="Z55" s="975">
        <v>0.10786</v>
      </c>
      <c r="AA55" s="975">
        <v>9.3039999999999998E-2</v>
      </c>
      <c r="AB55" s="975">
        <v>8.4809999999999997E-2</v>
      </c>
      <c r="AC55" s="973">
        <v>7.9839999999999994E-2</v>
      </c>
      <c r="AD55" s="974">
        <v>7.6660000000000006E-2</v>
      </c>
      <c r="AE55" s="975">
        <v>7.4569999999999997E-2</v>
      </c>
    </row>
    <row r="56" spans="1:31" x14ac:dyDescent="0.2">
      <c r="A56" s="824" t="s">
        <v>530</v>
      </c>
      <c r="D56" s="824" t="s">
        <v>1661</v>
      </c>
      <c r="E56">
        <f>+'Rehab or New Construction'!F19</f>
        <v>0</v>
      </c>
      <c r="H56" s="824" t="s">
        <v>1711</v>
      </c>
      <c r="I56" s="824" t="s">
        <v>1712</v>
      </c>
      <c r="J56" s="1088" t="s">
        <v>1713</v>
      </c>
      <c r="K56" s="824" t="s">
        <v>1737</v>
      </c>
      <c r="L56" s="824" t="s">
        <v>1733</v>
      </c>
      <c r="M56" s="824" t="s">
        <v>1722</v>
      </c>
      <c r="P56" t="s">
        <v>1096</v>
      </c>
      <c r="Q56" s="735">
        <v>137882.25</v>
      </c>
      <c r="R56" s="735">
        <v>158062.5</v>
      </c>
      <c r="S56" s="735">
        <v>192204</v>
      </c>
      <c r="T56" s="735">
        <v>248652</v>
      </c>
      <c r="U56" s="735">
        <v>272940.75</v>
      </c>
      <c r="X56" s="976">
        <v>7.1249999999999994E-2</v>
      </c>
      <c r="Y56" s="980">
        <v>0.1401</v>
      </c>
      <c r="Z56" s="980">
        <v>0.1087</v>
      </c>
      <c r="AA56" s="980">
        <v>9.3939999999999996E-2</v>
      </c>
      <c r="AB56" s="980">
        <v>8.5769999999999999E-2</v>
      </c>
      <c r="AC56" s="978">
        <v>8.0850000000000005E-2</v>
      </c>
      <c r="AD56" s="979">
        <v>7.7719999999999997E-2</v>
      </c>
      <c r="AE56" s="980">
        <v>7.5660000000000005E-2</v>
      </c>
    </row>
    <row r="57" spans="1:31" x14ac:dyDescent="0.2">
      <c r="A57" s="824" t="s">
        <v>531</v>
      </c>
      <c r="D57" s="824" t="s">
        <v>1662</v>
      </c>
      <c r="E57">
        <f>+'Rehab or New Construction'!F47</f>
        <v>0</v>
      </c>
      <c r="G57" s="824" t="s">
        <v>683</v>
      </c>
      <c r="H57" t="e">
        <f>+Underwriting!H95</f>
        <v>#DIV/0!</v>
      </c>
      <c r="I57" t="e">
        <f>+Underwriting!H136</f>
        <v>#DIV/0!</v>
      </c>
      <c r="J57" s="107" t="e">
        <f>+Underwriting!H179</f>
        <v>#DIV/0!</v>
      </c>
      <c r="K57" t="e">
        <f>MIN(H57:J57)</f>
        <v>#DIV/0!</v>
      </c>
      <c r="L57" t="e">
        <f>+Underwriting!H171</f>
        <v>#DIV/0!</v>
      </c>
      <c r="M57" s="824" t="e">
        <f>+I74</f>
        <v>#DIV/0!</v>
      </c>
      <c r="P57" t="s">
        <v>1098</v>
      </c>
      <c r="Q57" s="735">
        <v>137882.25</v>
      </c>
      <c r="R57" s="735">
        <v>158062.5</v>
      </c>
      <c r="S57" s="735">
        <v>192204</v>
      </c>
      <c r="T57" s="735">
        <v>248652</v>
      </c>
      <c r="U57" s="735">
        <v>272940.75</v>
      </c>
      <c r="X57" s="971">
        <v>7.2499999999999995E-2</v>
      </c>
      <c r="Y57" s="975">
        <v>0.14088000000000001</v>
      </c>
      <c r="Z57" s="975">
        <v>0.10954</v>
      </c>
      <c r="AA57" s="975">
        <v>9.4850000000000004E-2</v>
      </c>
      <c r="AB57" s="975">
        <v>8.6739999999999998E-2</v>
      </c>
      <c r="AC57" s="973">
        <v>8.1860000000000002E-2</v>
      </c>
      <c r="AD57" s="974">
        <v>7.8780000000000003E-2</v>
      </c>
      <c r="AE57" s="975">
        <v>7.6759999999999995E-2</v>
      </c>
    </row>
    <row r="58" spans="1:31" x14ac:dyDescent="0.2">
      <c r="A58" s="824" t="s">
        <v>532</v>
      </c>
      <c r="G58" s="824" t="s">
        <v>684</v>
      </c>
      <c r="H58" t="e">
        <f>+Underwriting!H96</f>
        <v>#DIV/0!</v>
      </c>
      <c r="I58" t="e">
        <f>+Underwriting!H137</f>
        <v>#DIV/0!</v>
      </c>
      <c r="J58" s="107" t="e">
        <f>+Underwriting!H180</f>
        <v>#DIV/0!</v>
      </c>
      <c r="K58" t="e">
        <f t="shared" ref="K58:K62" si="0">MIN(H58:J58)</f>
        <v>#DIV/0!</v>
      </c>
      <c r="L58" t="e">
        <f>+Underwriting!H172</f>
        <v>#DIV/0!</v>
      </c>
      <c r="M58" s="824" t="e">
        <f>+I75</f>
        <v>#DIV/0!</v>
      </c>
      <c r="P58" t="s">
        <v>1100</v>
      </c>
      <c r="Q58" s="735">
        <v>137882.25</v>
      </c>
      <c r="R58" s="735">
        <v>158062.5</v>
      </c>
      <c r="S58" s="735">
        <v>192204</v>
      </c>
      <c r="T58" s="735">
        <v>248652</v>
      </c>
      <c r="U58" s="735">
        <v>272940.75</v>
      </c>
      <c r="X58" s="976">
        <v>7.3749999999999996E-2</v>
      </c>
      <c r="Y58" s="980">
        <v>0.14166000000000001</v>
      </c>
      <c r="Z58" s="980">
        <v>0.11039</v>
      </c>
      <c r="AA58" s="980">
        <v>9.5759999999999998E-2</v>
      </c>
      <c r="AB58" s="980">
        <v>8.7709999999999996E-2</v>
      </c>
      <c r="AC58" s="978">
        <v>8.2879999999999995E-2</v>
      </c>
      <c r="AD58" s="979">
        <v>7.9839999999999994E-2</v>
      </c>
      <c r="AE58" s="980">
        <v>7.7859999999999999E-2</v>
      </c>
    </row>
    <row r="59" spans="1:31" x14ac:dyDescent="0.2">
      <c r="A59" s="835" t="s">
        <v>533</v>
      </c>
      <c r="D59" s="824" t="s">
        <v>1663</v>
      </c>
      <c r="E59">
        <f>+E56+E57</f>
        <v>0</v>
      </c>
      <c r="G59" s="824" t="s">
        <v>685</v>
      </c>
      <c r="H59" t="e">
        <f>+Underwriting!H97</f>
        <v>#DIV/0!</v>
      </c>
      <c r="I59" t="e">
        <f>+Underwriting!H138</f>
        <v>#DIV/0!</v>
      </c>
      <c r="J59" s="107" t="e">
        <f>+Underwriting!H181</f>
        <v>#DIV/0!</v>
      </c>
      <c r="K59" t="e">
        <f t="shared" si="0"/>
        <v>#DIV/0!</v>
      </c>
      <c r="L59" t="e">
        <f>+Underwriting!H173</f>
        <v>#DIV/0!</v>
      </c>
      <c r="M59" s="824" t="e">
        <f>+I76</f>
        <v>#DIV/0!</v>
      </c>
      <c r="P59" s="832" t="s">
        <v>1104</v>
      </c>
      <c r="Q59" s="735">
        <v>137882.25</v>
      </c>
      <c r="R59" s="735">
        <v>158062.5</v>
      </c>
      <c r="S59" s="735">
        <v>192204</v>
      </c>
      <c r="T59" s="735">
        <v>248652</v>
      </c>
      <c r="U59" s="735">
        <v>272940.75</v>
      </c>
      <c r="X59" s="971">
        <v>7.4999999999999997E-2</v>
      </c>
      <c r="Y59" s="975">
        <v>0.14244000000000001</v>
      </c>
      <c r="Z59" s="975">
        <v>0.11124000000000001</v>
      </c>
      <c r="AA59" s="975">
        <v>9.6670000000000006E-2</v>
      </c>
      <c r="AB59" s="975">
        <v>8.8679999999999995E-2</v>
      </c>
      <c r="AC59" s="973">
        <v>8.3909999999999998E-2</v>
      </c>
      <c r="AD59" s="974">
        <v>8.0909999999999996E-2</v>
      </c>
      <c r="AE59" s="975">
        <v>7.8969999999999999E-2</v>
      </c>
    </row>
    <row r="60" spans="1:31" x14ac:dyDescent="0.2">
      <c r="A60" s="824" t="s">
        <v>534</v>
      </c>
      <c r="G60" s="824" t="s">
        <v>687</v>
      </c>
      <c r="H60" t="e">
        <f>+Underwriting!H98</f>
        <v>#DIV/0!</v>
      </c>
      <c r="I60" t="e">
        <f>+Underwriting!H139</f>
        <v>#DIV/0!</v>
      </c>
      <c r="J60" s="107" t="e">
        <f>+Underwriting!H182</f>
        <v>#DIV/0!</v>
      </c>
      <c r="K60" t="e">
        <f t="shared" si="0"/>
        <v>#DIV/0!</v>
      </c>
      <c r="L60" t="e">
        <f>+Underwriting!H174</f>
        <v>#DIV/0!</v>
      </c>
      <c r="M60" s="824" t="e">
        <f>+I77</f>
        <v>#DIV/0!</v>
      </c>
      <c r="P60" t="s">
        <v>1108</v>
      </c>
      <c r="Q60" s="735">
        <v>137882.25</v>
      </c>
      <c r="R60" s="735">
        <v>158062.5</v>
      </c>
      <c r="S60" s="735">
        <v>192204</v>
      </c>
      <c r="T60" s="735">
        <v>248652</v>
      </c>
      <c r="U60" s="735">
        <v>272940.75</v>
      </c>
      <c r="X60" s="976">
        <v>7.6249999999999998E-2</v>
      </c>
      <c r="Y60" s="980">
        <v>0.14323</v>
      </c>
      <c r="Z60" s="980">
        <v>0.11210000000000001</v>
      </c>
      <c r="AA60" s="980">
        <v>9.7589999999999996E-2</v>
      </c>
      <c r="AB60" s="980">
        <v>8.9660000000000004E-2</v>
      </c>
      <c r="AC60" s="978">
        <v>8.4940000000000002E-2</v>
      </c>
      <c r="AD60" s="979">
        <v>8.1979999999999997E-2</v>
      </c>
      <c r="AE60" s="980">
        <v>8.0079999999999998E-2</v>
      </c>
    </row>
    <row r="61" spans="1:31" x14ac:dyDescent="0.2">
      <c r="A61" s="824" t="s">
        <v>535</v>
      </c>
      <c r="D61" s="824" t="s">
        <v>1664</v>
      </c>
      <c r="E61">
        <f>+'Rehab or New Construction'!F30</f>
        <v>0</v>
      </c>
      <c r="G61" s="824" t="s">
        <v>1714</v>
      </c>
      <c r="H61" t="e">
        <f>+Underwriting!H99</f>
        <v>#DIV/0!</v>
      </c>
      <c r="I61" t="e">
        <f>+Underwriting!H140</f>
        <v>#DIV/0!</v>
      </c>
      <c r="J61" s="107" t="e">
        <f>+Underwriting!H183</f>
        <v>#DIV/0!</v>
      </c>
      <c r="K61" t="e">
        <f t="shared" si="0"/>
        <v>#DIV/0!</v>
      </c>
      <c r="L61" t="e">
        <f>+Underwriting!H175</f>
        <v>#DIV/0!</v>
      </c>
      <c r="M61" s="824" t="e">
        <f>+I78</f>
        <v>#DIV/0!</v>
      </c>
      <c r="P61" t="s">
        <v>1112</v>
      </c>
      <c r="Q61" s="735">
        <v>137882.25</v>
      </c>
      <c r="R61" s="735">
        <v>158062.5</v>
      </c>
      <c r="S61" s="735">
        <v>192204</v>
      </c>
      <c r="T61" s="735">
        <v>248652</v>
      </c>
      <c r="U61" s="735">
        <v>272940.75</v>
      </c>
      <c r="X61" s="971">
        <v>7.7499999999999999E-2</v>
      </c>
      <c r="Y61" s="975">
        <v>0.14401</v>
      </c>
      <c r="Z61" s="975">
        <v>0.11294999999999999</v>
      </c>
      <c r="AA61" s="975">
        <v>9.851E-2</v>
      </c>
      <c r="AB61" s="975">
        <v>9.0639999999999998E-2</v>
      </c>
      <c r="AC61" s="973">
        <v>8.5970000000000005E-2</v>
      </c>
      <c r="AD61" s="974">
        <v>8.3059999999999995E-2</v>
      </c>
      <c r="AE61" s="975">
        <v>8.1189999999999998E-2</v>
      </c>
    </row>
    <row r="62" spans="1:31" x14ac:dyDescent="0.2">
      <c r="A62" s="824" t="s">
        <v>536</v>
      </c>
      <c r="D62" s="824" t="s">
        <v>1458</v>
      </c>
      <c r="E62">
        <f>+'Rehab or New Construction'!F58</f>
        <v>0</v>
      </c>
      <c r="G62" s="824" t="s">
        <v>1715</v>
      </c>
      <c r="H62" t="e">
        <f>+Underwriting!H100</f>
        <v>#DIV/0!</v>
      </c>
      <c r="I62" t="e">
        <f>+Underwriting!H141</f>
        <v>#DIV/0!</v>
      </c>
      <c r="J62" s="107" t="e">
        <f>+Underwriting!H184</f>
        <v>#DIV/0!</v>
      </c>
      <c r="K62" t="e">
        <f t="shared" si="0"/>
        <v>#DIV/0!</v>
      </c>
      <c r="L62" t="e">
        <f>+Underwriting!H176</f>
        <v>#DIV/0!</v>
      </c>
      <c r="M62" s="824" t="e">
        <f t="shared" ref="M62" si="1">MAX(H62:J62)</f>
        <v>#DIV/0!</v>
      </c>
      <c r="P62" t="s">
        <v>1116</v>
      </c>
      <c r="Q62" s="735">
        <v>137882.25</v>
      </c>
      <c r="R62" s="735">
        <v>158062.5</v>
      </c>
      <c r="S62" s="735">
        <v>192204</v>
      </c>
      <c r="T62" s="735">
        <v>248652</v>
      </c>
      <c r="U62" s="735">
        <v>272940.75</v>
      </c>
      <c r="X62" s="976">
        <v>7.8750000000000001E-2</v>
      </c>
      <c r="Y62" s="980">
        <v>0.14480000000000001</v>
      </c>
      <c r="Z62" s="980">
        <v>0.11380999999999999</v>
      </c>
      <c r="AA62" s="980">
        <v>9.9440000000000001E-2</v>
      </c>
      <c r="AB62" s="980">
        <v>9.1630000000000003E-2</v>
      </c>
      <c r="AC62" s="978">
        <v>8.7010000000000004E-2</v>
      </c>
      <c r="AD62" s="979">
        <v>8.4140000000000006E-2</v>
      </c>
      <c r="AE62" s="980">
        <v>8.2309999999999994E-2</v>
      </c>
    </row>
    <row r="63" spans="1:31" x14ac:dyDescent="0.2">
      <c r="A63" s="824" t="s">
        <v>1190</v>
      </c>
      <c r="D63" s="824" t="s">
        <v>1665</v>
      </c>
      <c r="E63">
        <f>+E61+E62</f>
        <v>0</v>
      </c>
      <c r="P63" t="s">
        <v>1118</v>
      </c>
      <c r="Q63" s="735">
        <v>137882.25</v>
      </c>
      <c r="R63" s="735">
        <v>158062.5</v>
      </c>
      <c r="S63" s="735">
        <v>192204</v>
      </c>
      <c r="T63" s="735">
        <v>248652</v>
      </c>
      <c r="U63" s="735">
        <v>272940.75</v>
      </c>
      <c r="X63" s="971">
        <v>0.08</v>
      </c>
      <c r="Y63" s="975">
        <v>0.14559</v>
      </c>
      <c r="Z63" s="975">
        <v>0.11468</v>
      </c>
      <c r="AA63" s="975">
        <v>0.10037</v>
      </c>
      <c r="AB63" s="975">
        <v>9.2619999999999994E-2</v>
      </c>
      <c r="AC63" s="984">
        <v>8.8050000000000003E-2</v>
      </c>
      <c r="AD63" s="974">
        <v>8.523E-2</v>
      </c>
      <c r="AE63" s="975">
        <v>8.344E-2</v>
      </c>
    </row>
    <row r="64" spans="1:31" x14ac:dyDescent="0.2">
      <c r="A64" s="824" t="s">
        <v>538</v>
      </c>
      <c r="P64" t="s">
        <v>1122</v>
      </c>
      <c r="Q64" s="735">
        <v>137882.25</v>
      </c>
      <c r="R64" s="735">
        <v>158062.5</v>
      </c>
      <c r="S64" s="735">
        <v>192204</v>
      </c>
      <c r="T64" s="735">
        <v>248652</v>
      </c>
      <c r="U64" s="735">
        <v>272940.75</v>
      </c>
      <c r="X64" s="976">
        <v>8.1250000000000003E-2</v>
      </c>
      <c r="Y64" s="980">
        <v>0.14638999999999999</v>
      </c>
      <c r="Z64" s="980">
        <v>0.11555</v>
      </c>
      <c r="AA64" s="980">
        <v>0.10131</v>
      </c>
      <c r="AB64" s="980">
        <v>9.3609999999999999E-2</v>
      </c>
      <c r="AC64" s="985">
        <v>8.9099999999999999E-2</v>
      </c>
      <c r="AD64" s="979">
        <v>8.6319999999999994E-2</v>
      </c>
      <c r="AE64" s="980">
        <v>8.4570000000000006E-2</v>
      </c>
    </row>
    <row r="65" spans="1:31" x14ac:dyDescent="0.2">
      <c r="A65" s="836" t="s">
        <v>1191</v>
      </c>
      <c r="P65" t="s">
        <v>1124</v>
      </c>
      <c r="Q65" s="735">
        <v>137882.25</v>
      </c>
      <c r="R65" s="735">
        <v>158062.5</v>
      </c>
      <c r="S65" s="735">
        <v>192204</v>
      </c>
      <c r="T65" s="735">
        <v>248652</v>
      </c>
      <c r="U65" s="735">
        <v>272940.75</v>
      </c>
      <c r="X65" s="971">
        <v>8.2500000000000004E-2</v>
      </c>
      <c r="Y65" s="975">
        <v>0.14718000000000001</v>
      </c>
      <c r="Z65" s="975">
        <v>0.11642</v>
      </c>
      <c r="AA65" s="975">
        <v>0.10224999999999999</v>
      </c>
      <c r="AB65" s="975">
        <v>9.461E-2</v>
      </c>
      <c r="AC65" s="984">
        <v>9.0149999999999994E-2</v>
      </c>
      <c r="AD65" s="974">
        <v>8.7419999999999998E-2</v>
      </c>
      <c r="AE65" s="975">
        <v>8.5699999999999998E-2</v>
      </c>
    </row>
    <row r="66" spans="1:31" x14ac:dyDescent="0.2">
      <c r="A66" s="836" t="s">
        <v>540</v>
      </c>
      <c r="D66" s="824" t="s">
        <v>1666</v>
      </c>
      <c r="P66" t="s">
        <v>1128</v>
      </c>
      <c r="Q66" s="735">
        <v>137882.25</v>
      </c>
      <c r="R66" s="735">
        <v>158062.5</v>
      </c>
      <c r="S66" s="735">
        <v>192204</v>
      </c>
      <c r="T66" s="735">
        <v>248652</v>
      </c>
      <c r="U66" s="735">
        <v>272940.75</v>
      </c>
      <c r="X66" s="976">
        <v>8.3750000000000005E-2</v>
      </c>
      <c r="Y66" s="980">
        <v>0.14798</v>
      </c>
      <c r="Z66" s="980">
        <v>0.11729000000000001</v>
      </c>
      <c r="AA66" s="980">
        <v>0.10319</v>
      </c>
      <c r="AB66" s="980">
        <v>9.5619999999999997E-2</v>
      </c>
      <c r="AC66" s="985">
        <v>9.1209999999999999E-2</v>
      </c>
      <c r="AD66" s="979">
        <v>8.8520000000000001E-2</v>
      </c>
      <c r="AE66" s="980">
        <v>8.6830000000000004E-2</v>
      </c>
    </row>
    <row r="67" spans="1:31" x14ac:dyDescent="0.2">
      <c r="D67" s="824" t="s">
        <v>1667</v>
      </c>
      <c r="E67">
        <f>+'Primary Input'!E32:G32*2250</f>
        <v>0</v>
      </c>
      <c r="Q67" s="735"/>
      <c r="R67" s="735"/>
      <c r="S67" s="735"/>
      <c r="T67" s="735"/>
      <c r="U67" s="735"/>
      <c r="X67" s="971">
        <v>8.5000000000000006E-2</v>
      </c>
      <c r="Y67" s="975">
        <v>0.14878</v>
      </c>
      <c r="Z67" s="975">
        <v>0.11817</v>
      </c>
      <c r="AA67" s="975">
        <v>0.10414</v>
      </c>
      <c r="AB67" s="975">
        <v>9.6629999999999994E-2</v>
      </c>
      <c r="AC67" s="984">
        <v>9.2270000000000005E-2</v>
      </c>
      <c r="AD67" s="974">
        <v>8.9620000000000005E-2</v>
      </c>
      <c r="AE67" s="975">
        <v>8.7970000000000007E-2</v>
      </c>
    </row>
    <row r="68" spans="1:31" x14ac:dyDescent="0.2">
      <c r="D68" s="824" t="s">
        <v>1668</v>
      </c>
      <c r="E68">
        <f>+'Primary Input'!E32:G32*7200</f>
        <v>0</v>
      </c>
      <c r="Q68" s="735"/>
      <c r="R68" s="735"/>
      <c r="S68" s="735"/>
      <c r="T68" s="735"/>
      <c r="U68" s="735"/>
      <c r="X68" s="976">
        <v>8.6249999999999993E-2</v>
      </c>
      <c r="Y68" s="980">
        <v>0.14959</v>
      </c>
      <c r="Z68" s="980">
        <v>0.11905</v>
      </c>
      <c r="AA68" s="980">
        <v>0.10509</v>
      </c>
      <c r="AB68" s="980">
        <v>9.7640000000000005E-2</v>
      </c>
      <c r="AC68" s="985">
        <v>9.3329999999999996E-2</v>
      </c>
      <c r="AD68" s="979">
        <v>9.0730000000000005E-2</v>
      </c>
      <c r="AE68" s="980">
        <v>8.9109999999999995E-2</v>
      </c>
    </row>
    <row r="69" spans="1:31" x14ac:dyDescent="0.2">
      <c r="Q69" s="735"/>
      <c r="R69" s="735"/>
      <c r="S69" s="735"/>
      <c r="T69" s="735"/>
      <c r="U69" s="735"/>
      <c r="X69" s="971">
        <v>8.7499999999999994E-2</v>
      </c>
      <c r="Y69" s="975">
        <v>0.15039</v>
      </c>
      <c r="Z69" s="975">
        <v>0.11992999999999999</v>
      </c>
      <c r="AA69" s="975">
        <v>0.10605000000000001</v>
      </c>
      <c r="AB69" s="975">
        <v>9.8659999999999998E-2</v>
      </c>
      <c r="AC69" s="984">
        <v>9.4399999999999998E-2</v>
      </c>
      <c r="AD69" s="974">
        <v>9.1840000000000005E-2</v>
      </c>
      <c r="AE69" s="975">
        <v>9.0260000000000007E-2</v>
      </c>
    </row>
    <row r="70" spans="1:31" x14ac:dyDescent="0.2">
      <c r="D70" s="824" t="s">
        <v>1669</v>
      </c>
      <c r="E70">
        <f>IF('Sources and Uses'!F43&gt;=Lists!E67, 1, 0)</f>
        <v>1</v>
      </c>
      <c r="Q70" s="735"/>
      <c r="R70" s="735"/>
      <c r="S70" s="735"/>
      <c r="T70" s="735"/>
      <c r="U70" s="735"/>
      <c r="X70" s="976">
        <v>8.8749999999999996E-2</v>
      </c>
      <c r="Y70" s="980">
        <v>0.1512</v>
      </c>
      <c r="Z70" s="980">
        <v>0.12082</v>
      </c>
      <c r="AA70" s="980">
        <v>0.107</v>
      </c>
      <c r="AB70" s="980">
        <v>9.9680000000000005E-2</v>
      </c>
      <c r="AC70" s="985">
        <v>9.5479999999999995E-2</v>
      </c>
      <c r="AD70" s="979">
        <v>9.2960000000000001E-2</v>
      </c>
      <c r="AE70" s="980">
        <v>9.1410000000000005E-2</v>
      </c>
    </row>
    <row r="71" spans="1:31" ht="13.5" thickBot="1" x14ac:dyDescent="0.25">
      <c r="D71" s="824" t="s">
        <v>1670</v>
      </c>
      <c r="E71">
        <f>IF('Sources and Uses'!F43&lt;=Lists!E68, 1, 0)</f>
        <v>1</v>
      </c>
      <c r="P71" s="4"/>
      <c r="Q71" s="4"/>
      <c r="R71" s="4"/>
      <c r="S71" s="4"/>
      <c r="T71" s="4"/>
      <c r="U71" s="4"/>
      <c r="X71" s="971">
        <v>0.09</v>
      </c>
      <c r="Y71" s="975">
        <v>0.15201000000000001</v>
      </c>
      <c r="Z71" s="975">
        <v>0.12171</v>
      </c>
      <c r="AA71" s="975">
        <v>0.10797</v>
      </c>
      <c r="AB71" s="975">
        <v>0.1007</v>
      </c>
      <c r="AC71" s="984">
        <v>9.6549999999999997E-2</v>
      </c>
      <c r="AD71" s="974">
        <v>9.4079999999999997E-2</v>
      </c>
      <c r="AE71" s="975">
        <v>9.2560000000000003E-2</v>
      </c>
    </row>
    <row r="72" spans="1:31" ht="19.5" thickTop="1" x14ac:dyDescent="0.3">
      <c r="D72" s="824" t="s">
        <v>1671</v>
      </c>
      <c r="E72">
        <f>+E70+E71</f>
        <v>2</v>
      </c>
      <c r="G72" s="824" t="s">
        <v>1827</v>
      </c>
      <c r="L72" s="1175"/>
      <c r="P72" s="1523" t="s">
        <v>1792</v>
      </c>
      <c r="Q72" s="1524"/>
      <c r="R72" s="1524"/>
      <c r="S72" s="1524"/>
      <c r="T72" s="1524"/>
      <c r="U72" s="1525"/>
      <c r="X72" s="976">
        <v>9.1249999999999998E-2</v>
      </c>
      <c r="Y72" s="980">
        <v>0.15282000000000001</v>
      </c>
      <c r="Z72" s="980">
        <v>0.12261</v>
      </c>
      <c r="AA72" s="980">
        <v>0.10893</v>
      </c>
      <c r="AB72" s="980">
        <v>0.10173</v>
      </c>
      <c r="AC72" s="985">
        <v>9.7640000000000005E-2</v>
      </c>
      <c r="AD72" s="979">
        <v>9.5200000000000007E-2</v>
      </c>
      <c r="AE72" s="980">
        <v>9.3719999999999998E-2</v>
      </c>
    </row>
    <row r="73" spans="1:31" ht="61.5" customHeight="1" x14ac:dyDescent="0.2">
      <c r="G73" s="1152" t="s">
        <v>1828</v>
      </c>
      <c r="H73" s="1152" t="s">
        <v>1825</v>
      </c>
      <c r="I73" s="1152" t="s">
        <v>1826</v>
      </c>
      <c r="P73" s="1124"/>
      <c r="Q73" s="826"/>
      <c r="R73" s="826"/>
      <c r="S73" s="826"/>
      <c r="T73" s="826"/>
      <c r="U73" s="1125"/>
      <c r="X73" s="971">
        <v>9.2499999999999999E-2</v>
      </c>
      <c r="Y73" s="975">
        <v>0.15364</v>
      </c>
      <c r="Z73" s="975">
        <v>0.1235</v>
      </c>
      <c r="AA73" s="975">
        <v>0.1099</v>
      </c>
      <c r="AB73" s="975">
        <v>0.10277</v>
      </c>
      <c r="AC73" s="984">
        <v>9.8720000000000002E-2</v>
      </c>
      <c r="AD73" s="974">
        <v>9.6329999999999999E-2</v>
      </c>
      <c r="AE73" s="975">
        <v>9.4880000000000006E-2</v>
      </c>
    </row>
    <row r="74" spans="1:31" x14ac:dyDescent="0.2">
      <c r="G74" s="824" t="s">
        <v>683</v>
      </c>
      <c r="H74" t="e">
        <f>MAX('Funding and Units Worksheet'!H13:J13)</f>
        <v>#DIV/0!</v>
      </c>
      <c r="I74" t="e">
        <f>MIN('Funding and Units Worksheet'!F13,H74)</f>
        <v>#DIV/0!</v>
      </c>
      <c r="P74" s="1126"/>
      <c r="Q74" s="1513" t="s">
        <v>1136</v>
      </c>
      <c r="R74" s="1514"/>
      <c r="S74" s="1514"/>
      <c r="T74" s="1514"/>
      <c r="U74" s="1515"/>
      <c r="X74" s="976">
        <v>9.375E-2</v>
      </c>
      <c r="Y74" s="980">
        <v>0.15445999999999999</v>
      </c>
      <c r="Z74" s="980">
        <v>0.1244</v>
      </c>
      <c r="AA74" s="980">
        <v>0.11088000000000001</v>
      </c>
      <c r="AB74" s="980">
        <v>0.1038</v>
      </c>
      <c r="AC74" s="985">
        <v>9.9809999999999996E-2</v>
      </c>
      <c r="AD74" s="979">
        <v>9.7460000000000005E-2</v>
      </c>
      <c r="AE74" s="980">
        <v>9.604E-2</v>
      </c>
    </row>
    <row r="75" spans="1:31" x14ac:dyDescent="0.2">
      <c r="G75" s="824" t="s">
        <v>684</v>
      </c>
      <c r="H75" t="e">
        <f>MAX('Funding and Units Worksheet'!H14:J14)</f>
        <v>#DIV/0!</v>
      </c>
      <c r="I75" t="e">
        <f>MIN('Funding and Units Worksheet'!F14,H75)</f>
        <v>#DIV/0!</v>
      </c>
      <c r="P75" s="1126" t="e">
        <f>IF('Primary Input'!$E$10= " ",0, VLOOKUP('Primary Input'!$E$10,Lists!$P$3:$U$66,1))</f>
        <v>#N/A</v>
      </c>
      <c r="Q75" s="814" t="s">
        <v>143</v>
      </c>
      <c r="R75" s="814" t="s">
        <v>144</v>
      </c>
      <c r="S75" s="814" t="s">
        <v>145</v>
      </c>
      <c r="T75" s="814" t="s">
        <v>146</v>
      </c>
      <c r="U75" s="1127" t="s">
        <v>147</v>
      </c>
      <c r="X75" s="971">
        <v>9.5000000000000001E-2</v>
      </c>
      <c r="Y75" s="975">
        <v>0.15528</v>
      </c>
      <c r="Z75" s="975">
        <v>0.12531</v>
      </c>
      <c r="AA75" s="975">
        <v>0.11186</v>
      </c>
      <c r="AB75" s="975">
        <v>0.10484</v>
      </c>
      <c r="AC75" s="984">
        <v>0.1009</v>
      </c>
      <c r="AD75" s="974">
        <v>9.8589999999999997E-2</v>
      </c>
      <c r="AE75" s="975">
        <v>9.7210000000000005E-2</v>
      </c>
    </row>
    <row r="76" spans="1:31" ht="25.5" x14ac:dyDescent="0.2">
      <c r="G76" s="824" t="s">
        <v>685</v>
      </c>
      <c r="H76" t="e">
        <f>MAX('Funding and Units Worksheet'!H15:J15)</f>
        <v>#DIV/0!</v>
      </c>
      <c r="I76" t="e">
        <f>MIN('Funding and Units Worksheet'!F15,H76)</f>
        <v>#DIV/0!</v>
      </c>
      <c r="P76" s="1128" t="s">
        <v>1137</v>
      </c>
      <c r="Q76" s="1129">
        <f>IF('Primary Input'!$E$10="",0, VLOOKUP('Primary Input'!$E$10,$P$3:$U$64,2))</f>
        <v>0</v>
      </c>
      <c r="R76" s="1129">
        <f>IF('Primary Input'!$E$10="",0, VLOOKUP('Primary Input'!$E$10,$P$3:$U$64,3))</f>
        <v>0</v>
      </c>
      <c r="S76" s="1129">
        <f>IF('Primary Input'!$E$10="",0, VLOOKUP('Primary Input'!$E$10,$P$3:$U$64,4))</f>
        <v>0</v>
      </c>
      <c r="T76" s="1129">
        <f>IF('Primary Input'!$E$10="",0, VLOOKUP('Primary Input'!$E$10,$P$3:$U$64,5))</f>
        <v>0</v>
      </c>
      <c r="U76" s="1130">
        <f>IF('Primary Input'!$E$10="",0, VLOOKUP('Primary Input'!$E$10,$P$3:$U$64,6))</f>
        <v>0</v>
      </c>
      <c r="X76" s="976">
        <v>9.6250000000000002E-2</v>
      </c>
      <c r="Y76" s="980">
        <v>0.15609999999999999</v>
      </c>
      <c r="Z76" s="980">
        <v>0.12620999999999999</v>
      </c>
      <c r="AA76" s="980">
        <v>0.11284</v>
      </c>
      <c r="AB76" s="980">
        <v>0.10589</v>
      </c>
      <c r="AC76" s="985">
        <v>0.10199999999999999</v>
      </c>
      <c r="AD76" s="979">
        <v>9.9729999999999999E-2</v>
      </c>
      <c r="AE76" s="980">
        <v>9.8379999999999995E-2</v>
      </c>
    </row>
    <row r="77" spans="1:31" x14ac:dyDescent="0.2">
      <c r="G77" s="824" t="s">
        <v>687</v>
      </c>
      <c r="H77" t="e">
        <f>MAX('Funding and Units Worksheet'!H16:J16)</f>
        <v>#DIV/0!</v>
      </c>
      <c r="I77" t="e">
        <f>MIN('Funding and Units Worksheet'!F16,H77)</f>
        <v>#DIV/0!</v>
      </c>
      <c r="P77" s="1131"/>
      <c r="Q77" s="811"/>
      <c r="R77" s="811"/>
      <c r="S77" s="811"/>
      <c r="T77" s="811"/>
      <c r="U77" s="1089"/>
      <c r="X77" s="971">
        <v>9.7500000000000003E-2</v>
      </c>
      <c r="Y77" s="975">
        <v>0.15692</v>
      </c>
      <c r="Z77" s="975">
        <v>0.12712000000000001</v>
      </c>
      <c r="AA77" s="975">
        <v>0.11382</v>
      </c>
      <c r="AB77" s="975">
        <v>0.10693999999999999</v>
      </c>
      <c r="AC77" s="984">
        <v>0.1031</v>
      </c>
      <c r="AD77" s="974">
        <v>0.10087</v>
      </c>
      <c r="AE77" s="975">
        <v>9.955E-2</v>
      </c>
    </row>
    <row r="78" spans="1:31" x14ac:dyDescent="0.2">
      <c r="G78" s="824" t="s">
        <v>1714</v>
      </c>
      <c r="H78" t="e">
        <f>MAX('Funding and Units Worksheet'!H17:J17)</f>
        <v>#DIV/0!</v>
      </c>
      <c r="I78" t="e">
        <f>MIN('Funding and Units Worksheet'!F17,H78)</f>
        <v>#DIV/0!</v>
      </c>
      <c r="P78" s="1136" t="s">
        <v>1832</v>
      </c>
      <c r="Q78" s="1171" t="e">
        <f>+Underwriting!H127</f>
        <v>#DIV/0!</v>
      </c>
      <c r="R78" s="1171" t="e">
        <f>+Underwriting!H128</f>
        <v>#DIV/0!</v>
      </c>
      <c r="S78" s="1171" t="e">
        <f>+Underwriting!H129</f>
        <v>#DIV/0!</v>
      </c>
      <c r="T78" s="1171" t="e">
        <f>+Underwriting!H130</f>
        <v>#DIV/0!</v>
      </c>
      <c r="U78" s="1172" t="e">
        <f>+Underwriting!H131</f>
        <v>#DIV/0!</v>
      </c>
      <c r="V78" s="1198" t="e">
        <f>SUM(R78:U78)</f>
        <v>#DIV/0!</v>
      </c>
      <c r="X78" s="976">
        <v>9.8750000000000004E-2</v>
      </c>
      <c r="Y78" s="980">
        <v>0.15775</v>
      </c>
      <c r="Z78" s="980">
        <v>0.12803999999999999</v>
      </c>
      <c r="AA78" s="980">
        <v>0.11481</v>
      </c>
      <c r="AB78" s="980">
        <v>0.10799</v>
      </c>
      <c r="AC78" s="985">
        <v>0.1042</v>
      </c>
      <c r="AD78" s="979">
        <v>0.10201</v>
      </c>
      <c r="AE78" s="980">
        <v>0.10072</v>
      </c>
    </row>
    <row r="79" spans="1:31" x14ac:dyDescent="0.2">
      <c r="G79" s="824" t="s">
        <v>1715</v>
      </c>
      <c r="H79" t="e">
        <f>MAX('Funding and Units Worksheet'!H18:J18)</f>
        <v>#DIV/0!</v>
      </c>
      <c r="I79" t="e">
        <f>MIN('Funding and Units Worksheet'!F18,H79)</f>
        <v>#DIV/0!</v>
      </c>
      <c r="P79" s="1132" t="s">
        <v>1743</v>
      </c>
      <c r="Q79" s="1133">
        <f>+'Funding and Units Worksheet'!T13*Lists!Q76</f>
        <v>0</v>
      </c>
      <c r="R79" s="1133">
        <f>+'Funding and Units Worksheet'!T14*Lists!R76</f>
        <v>0</v>
      </c>
      <c r="S79" s="1133">
        <f>+'Funding and Units Worksheet'!T15*S76</f>
        <v>0</v>
      </c>
      <c r="T79" s="1133">
        <f>+'Funding and Units Worksheet'!T16*Lists!T76</f>
        <v>0</v>
      </c>
      <c r="U79" s="1134">
        <f>+'Funding and Units Worksheet'!T17*Lists!U76</f>
        <v>0</v>
      </c>
      <c r="V79" s="1098">
        <f>SUM(Q79:U79)</f>
        <v>0</v>
      </c>
      <c r="X79" s="971">
        <v>0.1</v>
      </c>
      <c r="Y79" s="975">
        <v>0.15858</v>
      </c>
      <c r="Z79" s="975">
        <v>0.12895000000000001</v>
      </c>
      <c r="AA79" s="975">
        <v>0.1158</v>
      </c>
      <c r="AB79" s="975">
        <v>0.10904</v>
      </c>
      <c r="AC79" s="984">
        <v>0.10531</v>
      </c>
      <c r="AD79" s="974">
        <v>0.10316</v>
      </c>
      <c r="AE79" s="975">
        <v>0.1019</v>
      </c>
    </row>
    <row r="80" spans="1:31" ht="25.5" x14ac:dyDescent="0.2">
      <c r="I80" t="e">
        <f>SUM(I75:I79)</f>
        <v>#DIV/0!</v>
      </c>
      <c r="P80" s="1135" t="s">
        <v>1745</v>
      </c>
      <c r="Q80" s="1133">
        <f>+'Funding and Units Worksheet'!T13*Lists!E43</f>
        <v>0</v>
      </c>
      <c r="R80" s="1133">
        <f>+'Funding and Units Worksheet'!T14*Lists!E43</f>
        <v>0</v>
      </c>
      <c r="S80" s="1133">
        <f>+'Funding and Units Worksheet'!T15*Lists!E43</f>
        <v>0</v>
      </c>
      <c r="T80" s="1133">
        <f>+'Funding and Units Worksheet'!T16*Lists!E43</f>
        <v>0</v>
      </c>
      <c r="U80" s="1134">
        <f>+'Funding and Units Worksheet'!T17*Lists!E43</f>
        <v>0</v>
      </c>
      <c r="V80" s="1098">
        <f t="shared" ref="V80:V81" si="2">SUM(Q80:U80)</f>
        <v>0</v>
      </c>
      <c r="X80" s="976">
        <v>0.10125000000000001</v>
      </c>
      <c r="Y80" s="980">
        <v>0.15941</v>
      </c>
      <c r="Z80" s="980">
        <v>0.12987000000000001</v>
      </c>
      <c r="AA80" s="980">
        <v>0.1168</v>
      </c>
      <c r="AB80" s="980">
        <v>0.1101</v>
      </c>
      <c r="AC80" s="985">
        <v>0.10642</v>
      </c>
      <c r="AD80" s="979">
        <v>0.10431</v>
      </c>
      <c r="AE80" s="980">
        <v>0.10308</v>
      </c>
    </row>
    <row r="81" spans="7:31" x14ac:dyDescent="0.2">
      <c r="P81" s="1136" t="s">
        <v>1744</v>
      </c>
      <c r="Q81" s="1133" t="e">
        <f>+'Funding and Units Worksheet'!T13*Underwriting!$H$112</f>
        <v>#DIV/0!</v>
      </c>
      <c r="R81" s="1133" t="e">
        <f>+'Funding and Units Worksheet'!T14*Underwriting!$H$113</f>
        <v>#DIV/0!</v>
      </c>
      <c r="S81" s="1133" t="e">
        <f>+'Funding and Units Worksheet'!T15*Underwriting!$H$114</f>
        <v>#DIV/0!</v>
      </c>
      <c r="T81" s="1133" t="e">
        <f>+'Funding and Units Worksheet'!T16*Underwriting!$H$115</f>
        <v>#DIV/0!</v>
      </c>
      <c r="U81" s="1134" t="e">
        <f>+'Funding and Units Worksheet'!T17*Underwriting!$H$116</f>
        <v>#DIV/0!</v>
      </c>
      <c r="V81" s="1098" t="e">
        <f t="shared" si="2"/>
        <v>#DIV/0!</v>
      </c>
      <c r="X81" s="971">
        <v>0.10249999999999999</v>
      </c>
      <c r="Y81" s="975">
        <v>0.16025</v>
      </c>
      <c r="Z81" s="975">
        <v>0.13078999999999999</v>
      </c>
      <c r="AA81" s="975">
        <v>0.1178</v>
      </c>
      <c r="AB81" s="975">
        <v>0.11117</v>
      </c>
      <c r="AC81" s="984">
        <v>0.10753</v>
      </c>
      <c r="AD81" s="974">
        <v>0.10546</v>
      </c>
      <c r="AE81" s="975">
        <v>0.10426000000000001</v>
      </c>
    </row>
    <row r="82" spans="7:31" ht="38.25" x14ac:dyDescent="0.2">
      <c r="G82" s="824" t="s">
        <v>1829</v>
      </c>
      <c r="P82" s="1135" t="s">
        <v>1746</v>
      </c>
      <c r="Q82" s="813" t="e">
        <f>MIN(Q78:Q81)</f>
        <v>#DIV/0!</v>
      </c>
      <c r="R82" s="813" t="e">
        <f>MIN(R78:R81)</f>
        <v>#DIV/0!</v>
      </c>
      <c r="S82" s="813" t="e">
        <f>MIN(S78:S81)</f>
        <v>#DIV/0!</v>
      </c>
      <c r="T82" s="813" t="e">
        <f>MIN(T78:T81)</f>
        <v>#DIV/0!</v>
      </c>
      <c r="U82" s="1137" t="e">
        <f>MIN(U78:U81)</f>
        <v>#DIV/0!</v>
      </c>
      <c r="X82" s="976">
        <v>0.10375</v>
      </c>
      <c r="Y82" s="980">
        <v>0.16108</v>
      </c>
      <c r="Z82" s="980">
        <v>0.13172</v>
      </c>
      <c r="AA82" s="980">
        <v>0.1188</v>
      </c>
      <c r="AB82" s="980">
        <v>0.11223</v>
      </c>
      <c r="AC82" s="985">
        <v>0.10865</v>
      </c>
      <c r="AD82" s="979">
        <v>0.10662000000000001</v>
      </c>
      <c r="AE82" s="980">
        <v>0.10544000000000001</v>
      </c>
    </row>
    <row r="83" spans="7:31" ht="63.75" x14ac:dyDescent="0.2">
      <c r="G83" s="1152" t="s">
        <v>1828</v>
      </c>
      <c r="H83" s="1152" t="s">
        <v>1825</v>
      </c>
      <c r="I83" s="1152" t="s">
        <v>1826</v>
      </c>
      <c r="J83" s="1088" t="s">
        <v>1843</v>
      </c>
      <c r="P83" s="1135" t="s">
        <v>1747</v>
      </c>
      <c r="Q83" s="813" t="e">
        <f>MIN(Q79,Q81)</f>
        <v>#DIV/0!</v>
      </c>
      <c r="R83" s="813" t="e">
        <f t="shared" ref="R83:U83" si="3">MIN(R79,R81)</f>
        <v>#DIV/0!</v>
      </c>
      <c r="S83" s="813" t="e">
        <f t="shared" si="3"/>
        <v>#DIV/0!</v>
      </c>
      <c r="T83" s="813" t="e">
        <f t="shared" si="3"/>
        <v>#DIV/0!</v>
      </c>
      <c r="U83" s="1137" t="e">
        <f t="shared" si="3"/>
        <v>#DIV/0!</v>
      </c>
      <c r="X83" s="971">
        <v>0.105</v>
      </c>
      <c r="Y83" s="975">
        <v>0.16192000000000001</v>
      </c>
      <c r="Z83" s="975">
        <v>0.13264999999999999</v>
      </c>
      <c r="AA83" s="975">
        <v>0.11981</v>
      </c>
      <c r="AB83" s="975">
        <v>0.1133</v>
      </c>
      <c r="AC83" s="984">
        <v>0.10977000000000001</v>
      </c>
      <c r="AD83" s="974">
        <v>0.10778</v>
      </c>
      <c r="AE83" s="975">
        <v>0.10663</v>
      </c>
    </row>
    <row r="84" spans="7:31" x14ac:dyDescent="0.2">
      <c r="G84" s="824" t="s">
        <v>683</v>
      </c>
      <c r="H84" s="1153" t="e">
        <f>MAX('Funding and Units Worksheet'!H23:J23)</f>
        <v>#DIV/0!</v>
      </c>
      <c r="I84" s="1153" t="e">
        <f>MIN('Funding and Units Worksheet'!F23,H84)</f>
        <v>#DIV/0!</v>
      </c>
      <c r="J84" s="1160"/>
      <c r="P84" s="1131"/>
      <c r="Q84" s="811"/>
      <c r="R84" s="811"/>
      <c r="S84" s="811"/>
      <c r="T84" s="811"/>
      <c r="U84" s="1089"/>
      <c r="X84" s="976">
        <v>0.10625</v>
      </c>
      <c r="Y84" s="980">
        <v>0.16275999999999999</v>
      </c>
      <c r="Z84" s="980">
        <v>0.13358</v>
      </c>
      <c r="AA84" s="980">
        <v>0.12081</v>
      </c>
      <c r="AB84" s="980">
        <v>0.11437</v>
      </c>
      <c r="AC84" s="985">
        <v>0.11089</v>
      </c>
      <c r="AD84" s="979">
        <v>0.10894</v>
      </c>
      <c r="AE84" s="980">
        <v>0.10782</v>
      </c>
    </row>
    <row r="85" spans="7:31" ht="38.25" x14ac:dyDescent="0.2">
      <c r="G85" s="824" t="s">
        <v>684</v>
      </c>
      <c r="H85" s="1153" t="e">
        <f>MAX('Funding and Units Worksheet'!H24:J24)</f>
        <v>#DIV/0!</v>
      </c>
      <c r="I85" s="1153" t="e">
        <f>MIN('Funding and Units Worksheet'!F24,H85)</f>
        <v>#DIV/0!</v>
      </c>
      <c r="P85" s="1135" t="s">
        <v>1748</v>
      </c>
      <c r="Q85" s="813" t="e">
        <f>IF(SUM(Q82:U82)&lt;2000000,SUM(Q82:U82),2000000)</f>
        <v>#DIV/0!</v>
      </c>
      <c r="R85" s="811"/>
      <c r="S85" s="811"/>
      <c r="T85" s="811"/>
      <c r="U85" s="1089"/>
      <c r="X85" s="971">
        <v>0.1075</v>
      </c>
      <c r="Y85" s="975">
        <v>0.16361000000000001</v>
      </c>
      <c r="Z85" s="975">
        <v>0.13450999999999999</v>
      </c>
      <c r="AA85" s="975">
        <v>0.12182999999999999</v>
      </c>
      <c r="AB85" s="975">
        <v>0.11545</v>
      </c>
      <c r="AC85" s="984">
        <v>0.11201999999999999</v>
      </c>
      <c r="AD85" s="974">
        <v>0.1101</v>
      </c>
      <c r="AE85" s="975">
        <v>0.10901</v>
      </c>
    </row>
    <row r="86" spans="7:31" ht="25.5" x14ac:dyDescent="0.2">
      <c r="G86" s="824" t="s">
        <v>685</v>
      </c>
      <c r="H86" s="1153" t="e">
        <f>MAX('Funding and Units Worksheet'!H25:J25)</f>
        <v>#DIV/0!</v>
      </c>
      <c r="I86" s="1153" t="e">
        <f>MIN('Funding and Units Worksheet'!F25,H86)</f>
        <v>#DIV/0!</v>
      </c>
      <c r="P86" s="1135" t="s">
        <v>1749</v>
      </c>
      <c r="Q86" s="813" t="e">
        <f>IF(SUM(Q83:U83)&lt;2000000,SUM(Q83:U83),2000000)</f>
        <v>#DIV/0!</v>
      </c>
      <c r="R86" s="811"/>
      <c r="S86" s="811"/>
      <c r="T86" s="811"/>
      <c r="U86" s="1089"/>
      <c r="X86" s="976">
        <v>0.10875</v>
      </c>
      <c r="Y86" s="980">
        <v>0.16445000000000001</v>
      </c>
      <c r="Z86" s="980">
        <v>0.13544999999999999</v>
      </c>
      <c r="AA86" s="980">
        <v>0.12284</v>
      </c>
      <c r="AB86" s="980">
        <v>0.11652999999999999</v>
      </c>
      <c r="AC86" s="985">
        <v>0.11315</v>
      </c>
      <c r="AD86" s="979">
        <v>0.11126999999999999</v>
      </c>
      <c r="AE86" s="980">
        <v>0.11020000000000001</v>
      </c>
    </row>
    <row r="87" spans="7:31" x14ac:dyDescent="0.2">
      <c r="G87" s="824" t="s">
        <v>687</v>
      </c>
      <c r="H87" s="1153" t="e">
        <f>MAX('Funding and Units Worksheet'!H26:J26)</f>
        <v>#DIV/0!</v>
      </c>
      <c r="I87" s="1153" t="e">
        <f>MIN('Funding and Units Worksheet'!F26,H87)</f>
        <v>#DIV/0!</v>
      </c>
      <c r="P87" s="1131"/>
      <c r="Q87" s="811"/>
      <c r="R87" s="811"/>
      <c r="S87" s="811"/>
      <c r="T87" s="811"/>
      <c r="U87" s="1089"/>
      <c r="X87" s="971">
        <v>0.11</v>
      </c>
      <c r="Y87" s="975">
        <v>0.1653</v>
      </c>
      <c r="Z87" s="975">
        <v>0.13639000000000001</v>
      </c>
      <c r="AA87" s="975">
        <v>0.12386</v>
      </c>
      <c r="AB87" s="975">
        <v>0.11761000000000001</v>
      </c>
      <c r="AC87" s="984">
        <v>0.11428000000000001</v>
      </c>
      <c r="AD87" s="974">
        <v>0.11243</v>
      </c>
      <c r="AE87" s="975">
        <v>0.1114</v>
      </c>
    </row>
    <row r="88" spans="7:31" x14ac:dyDescent="0.2">
      <c r="G88" s="824" t="s">
        <v>1714</v>
      </c>
      <c r="H88" s="1153" t="e">
        <f>MAX('Funding and Units Worksheet'!H27:J27)</f>
        <v>#DIV/0!</v>
      </c>
      <c r="I88" s="1153" t="e">
        <f>MIN('Funding and Units Worksheet'!F27,H88)</f>
        <v>#DIV/0!</v>
      </c>
      <c r="P88" s="1131"/>
      <c r="Q88" s="811"/>
      <c r="R88" s="811"/>
      <c r="S88" s="811"/>
      <c r="T88" s="811"/>
      <c r="U88" s="1089"/>
      <c r="X88" s="976">
        <v>0.11125</v>
      </c>
      <c r="Y88" s="980">
        <v>0.16614999999999999</v>
      </c>
      <c r="Z88" s="980">
        <v>0.13733999999999999</v>
      </c>
      <c r="AA88" s="980">
        <v>0.12489</v>
      </c>
      <c r="AB88" s="980">
        <v>0.1187</v>
      </c>
      <c r="AC88" s="985">
        <v>0.11541</v>
      </c>
      <c r="AD88" s="979">
        <v>0.11361</v>
      </c>
      <c r="AE88" s="980">
        <v>0.11259</v>
      </c>
    </row>
    <row r="89" spans="7:31" x14ac:dyDescent="0.2">
      <c r="G89" s="824" t="s">
        <v>1715</v>
      </c>
      <c r="H89" s="1153" t="e">
        <f>MAX('Funding and Units Worksheet'!H28:J28)</f>
        <v>#DIV/0!</v>
      </c>
      <c r="I89" s="1153" t="e">
        <f>MIN('Funding and Units Worksheet'!F28,H89)</f>
        <v>#DIV/0!</v>
      </c>
      <c r="P89" s="1126"/>
      <c r="Q89" s="1513" t="s">
        <v>1136</v>
      </c>
      <c r="R89" s="1514"/>
      <c r="S89" s="1514"/>
      <c r="T89" s="1514"/>
      <c r="U89" s="1515"/>
      <c r="X89" s="971">
        <v>0.1125</v>
      </c>
      <c r="Y89" s="975">
        <v>0.16700000000000001</v>
      </c>
      <c r="Z89" s="975">
        <v>0.13827999999999999</v>
      </c>
      <c r="AA89" s="975">
        <v>0.12590999999999999</v>
      </c>
      <c r="AB89" s="975">
        <v>0.11978999999999999</v>
      </c>
      <c r="AC89" s="984">
        <v>0.11655</v>
      </c>
      <c r="AD89" s="974">
        <v>0.11477999999999999</v>
      </c>
      <c r="AE89" s="975">
        <v>0.11379</v>
      </c>
    </row>
    <row r="90" spans="7:31" x14ac:dyDescent="0.2">
      <c r="I90" t="e">
        <f>SUM(I85:I89)</f>
        <v>#DIV/0!</v>
      </c>
      <c r="P90" s="1126" t="e">
        <f>IF('Primary Input'!$E$10= " ",0, VLOOKUP('Primary Input'!$E$10,Lists!$P$3:$U$66,1))</f>
        <v>#N/A</v>
      </c>
      <c r="Q90" s="814" t="s">
        <v>143</v>
      </c>
      <c r="R90" s="814" t="s">
        <v>144</v>
      </c>
      <c r="S90" s="814" t="s">
        <v>145</v>
      </c>
      <c r="T90" s="814" t="s">
        <v>146</v>
      </c>
      <c r="U90" s="1127" t="s">
        <v>147</v>
      </c>
      <c r="X90" s="976">
        <v>0.11375</v>
      </c>
      <c r="Y90" s="980">
        <v>0.16786000000000001</v>
      </c>
      <c r="Z90" s="980">
        <v>0.13922999999999999</v>
      </c>
      <c r="AA90" s="980">
        <v>0.12694</v>
      </c>
      <c r="AB90" s="980">
        <v>0.12088</v>
      </c>
      <c r="AC90" s="985">
        <v>0.11769</v>
      </c>
      <c r="AD90" s="979">
        <v>0.11595</v>
      </c>
      <c r="AE90" s="980">
        <v>0.11498999999999999</v>
      </c>
    </row>
    <row r="91" spans="7:31" ht="25.5" x14ac:dyDescent="0.2">
      <c r="P91" s="1128" t="s">
        <v>1137</v>
      </c>
      <c r="Q91" s="1129">
        <f>IF('Primary Input'!$E$10="",0, VLOOKUP('Primary Input'!$E$10,$P$3:$U$64,2))</f>
        <v>0</v>
      </c>
      <c r="R91" s="1129">
        <f>IF('Primary Input'!$E$10="",0, VLOOKUP('Primary Input'!$E$10,$P$3:$U$64,3))</f>
        <v>0</v>
      </c>
      <c r="S91" s="1129">
        <f>IF('Primary Input'!$E$10="",0, VLOOKUP('Primary Input'!$E$10,$P$3:$U$64,4))</f>
        <v>0</v>
      </c>
      <c r="T91" s="1129">
        <f>IF('Primary Input'!$E$10="",0, VLOOKUP('Primary Input'!$E$10,$P$3:$U$64,5))</f>
        <v>0</v>
      </c>
      <c r="U91" s="1130">
        <f>IF('Primary Input'!$E$10="",0, VLOOKUP('Primary Input'!$E$10,$P$3:$U$64,6))</f>
        <v>0</v>
      </c>
      <c r="X91" s="971">
        <v>0.115</v>
      </c>
      <c r="Y91" s="975">
        <v>0.16871</v>
      </c>
      <c r="Z91" s="975">
        <v>0.14018</v>
      </c>
      <c r="AA91" s="975">
        <v>0.12797</v>
      </c>
      <c r="AB91" s="975">
        <v>0.12198000000000001</v>
      </c>
      <c r="AC91" s="984">
        <v>0.11883000000000001</v>
      </c>
      <c r="AD91" s="974">
        <v>0.11713</v>
      </c>
      <c r="AE91" s="975">
        <v>0.11619</v>
      </c>
    </row>
    <row r="92" spans="7:31" x14ac:dyDescent="0.2">
      <c r="P92" s="1131"/>
      <c r="Q92" s="811"/>
      <c r="R92" s="811"/>
      <c r="S92" s="811"/>
      <c r="T92" s="811"/>
      <c r="U92" s="1089"/>
      <c r="X92" s="976">
        <v>0.11625000000000001</v>
      </c>
      <c r="Y92" s="980">
        <v>0.16957</v>
      </c>
      <c r="Z92" s="980">
        <v>0.14113999999999999</v>
      </c>
      <c r="AA92" s="980">
        <v>0.12901000000000001</v>
      </c>
      <c r="AB92" s="980">
        <v>0.12307</v>
      </c>
      <c r="AC92" s="985">
        <v>0.11998</v>
      </c>
      <c r="AD92" s="979">
        <v>0.11831</v>
      </c>
      <c r="AE92" s="980">
        <v>0.1174</v>
      </c>
    </row>
    <row r="93" spans="7:31" x14ac:dyDescent="0.2">
      <c r="P93" s="1131"/>
      <c r="Q93" s="811"/>
      <c r="R93" s="811"/>
      <c r="S93" s="811"/>
      <c r="T93" s="811"/>
      <c r="U93" s="1089"/>
      <c r="X93" s="971">
        <v>0.11749999999999999</v>
      </c>
      <c r="Y93" s="975">
        <v>0.17044000000000001</v>
      </c>
      <c r="Z93" s="975">
        <v>0.1421</v>
      </c>
      <c r="AA93" s="975">
        <v>0.13003999999999999</v>
      </c>
      <c r="AB93" s="975">
        <v>0.12418</v>
      </c>
      <c r="AC93" s="984">
        <v>0.12113</v>
      </c>
      <c r="AD93" s="974">
        <v>0.1195</v>
      </c>
      <c r="AE93" s="975">
        <v>0.1186</v>
      </c>
    </row>
    <row r="94" spans="7:31" ht="13.5" thickBot="1" x14ac:dyDescent="0.25">
      <c r="P94" s="1132" t="s">
        <v>1743</v>
      </c>
      <c r="Q94" s="1133">
        <f>+'Funding and Units Worksheet'!U13*Lists!Q91</f>
        <v>0</v>
      </c>
      <c r="R94" s="1133">
        <f>+'Funding and Units Worksheet'!U14*Lists!R91</f>
        <v>0</v>
      </c>
      <c r="S94" s="1133">
        <f>+'Funding and Units Worksheet'!U15*S91</f>
        <v>0</v>
      </c>
      <c r="T94" s="1133">
        <f>+'Funding and Units Worksheet'!U16*Lists!T91</f>
        <v>0</v>
      </c>
      <c r="U94" s="1134">
        <f>+'Funding and Units Worksheet'!U17*Lists!U91</f>
        <v>0</v>
      </c>
      <c r="X94" s="986">
        <v>0.11874999999999999</v>
      </c>
      <c r="Y94" s="983">
        <v>0.17130000000000001</v>
      </c>
      <c r="Z94" s="983">
        <v>0.14305999999999999</v>
      </c>
      <c r="AA94" s="983">
        <v>0.13109000000000001</v>
      </c>
      <c r="AB94" s="983">
        <v>0.12528</v>
      </c>
      <c r="AC94" s="987">
        <v>0.12228</v>
      </c>
      <c r="AD94" s="982">
        <v>0.12068</v>
      </c>
      <c r="AE94" s="983">
        <v>0.11981</v>
      </c>
    </row>
    <row r="95" spans="7:31" ht="25.5" x14ac:dyDescent="0.2">
      <c r="G95" s="824" t="s">
        <v>1844</v>
      </c>
      <c r="P95" s="1135" t="s">
        <v>1745</v>
      </c>
      <c r="Q95" s="1133">
        <f>+'Funding and Units Worksheet'!U13*Lists!H43</f>
        <v>0</v>
      </c>
      <c r="R95" s="1133">
        <f>+'Funding and Units Worksheet'!U14*Lists!H43</f>
        <v>0</v>
      </c>
      <c r="S95" s="1133">
        <f>+'Funding and Units Worksheet'!U15*Lists!H43</f>
        <v>0</v>
      </c>
      <c r="T95" s="1133">
        <f>+'Funding and Units Worksheet'!U16*Lists!H43</f>
        <v>0</v>
      </c>
      <c r="U95" s="1134">
        <f>+'Funding and Units Worksheet'!U17*Lists!H43</f>
        <v>0</v>
      </c>
      <c r="X95" s="988"/>
      <c r="AC95" s="989"/>
    </row>
    <row r="96" spans="7:31" x14ac:dyDescent="0.2">
      <c r="G96" s="824" t="s">
        <v>1845</v>
      </c>
      <c r="H96" s="824" t="s">
        <v>1846</v>
      </c>
      <c r="P96" s="1136" t="s">
        <v>1744</v>
      </c>
      <c r="Q96" s="1133" t="e">
        <f>+'Funding and Units Worksheet'!U13*Underwriting!$H$112</f>
        <v>#DIV/0!</v>
      </c>
      <c r="R96" s="1133" t="e">
        <f>+'Funding and Units Worksheet'!U14*Underwriting!$H$113</f>
        <v>#DIV/0!</v>
      </c>
      <c r="S96" s="1133" t="e">
        <f>+'Funding and Units Worksheet'!U15*Underwriting!$H$114</f>
        <v>#DIV/0!</v>
      </c>
      <c r="T96" s="1133" t="e">
        <f>+'Funding and Units Worksheet'!U16*Underwriting!$H$130</f>
        <v>#DIV/0!</v>
      </c>
      <c r="U96" s="1134" t="e">
        <f>+'Funding and Units Worksheet'!U17*Underwriting!$H$116</f>
        <v>#DIV/0!</v>
      </c>
      <c r="X96" s="988"/>
      <c r="AC96" s="989"/>
    </row>
    <row r="97" spans="7:34" ht="38.25" x14ac:dyDescent="0.2">
      <c r="G97" s="1161" t="e">
        <f>MAX('Funding and Units Worksheet'!D23,'Funding and Units Worksheet'!H23,'Funding and Units Worksheet'!J23)</f>
        <v>#DIV/0!</v>
      </c>
      <c r="H97" s="1161" t="e">
        <f>MAX('Funding and Units Worksheet'!F23,'Funding and Units Worksheet'!H23,'Funding and Units Worksheet'!J23)</f>
        <v>#DIV/0!</v>
      </c>
      <c r="P97" s="1135" t="s">
        <v>1746</v>
      </c>
      <c r="Q97" s="813" t="e">
        <f>MIN(Q94:Q96)</f>
        <v>#DIV/0!</v>
      </c>
      <c r="R97" s="813" t="e">
        <f t="shared" ref="R97:U97" si="4">MIN(R94:R96)</f>
        <v>#DIV/0!</v>
      </c>
      <c r="S97" s="813" t="e">
        <f t="shared" si="4"/>
        <v>#DIV/0!</v>
      </c>
      <c r="T97" s="813" t="e">
        <f t="shared" si="4"/>
        <v>#DIV/0!</v>
      </c>
      <c r="U97" s="1137" t="e">
        <f t="shared" si="4"/>
        <v>#DIV/0!</v>
      </c>
      <c r="X97" s="988"/>
      <c r="AC97" s="989"/>
    </row>
    <row r="98" spans="7:34" ht="27" x14ac:dyDescent="0.3">
      <c r="G98" s="1161" t="e">
        <f>MAX('Funding and Units Worksheet'!D24,'Funding and Units Worksheet'!H24,'Funding and Units Worksheet'!J24)</f>
        <v>#DIV/0!</v>
      </c>
      <c r="H98" s="1161" t="e">
        <f>MAX('Funding and Units Worksheet'!F24,'Funding and Units Worksheet'!H24,'Funding and Units Worksheet'!J24)</f>
        <v>#DIV/0!</v>
      </c>
      <c r="P98" s="1135" t="s">
        <v>1747</v>
      </c>
      <c r="Q98" s="813" t="e">
        <f>MIN(Q94,Q96)</f>
        <v>#DIV/0!</v>
      </c>
      <c r="R98" s="813" t="e">
        <f t="shared" ref="R98:U98" si="5">MIN(R94,R96)</f>
        <v>#DIV/0!</v>
      </c>
      <c r="S98" s="813" t="e">
        <f t="shared" si="5"/>
        <v>#DIV/0!</v>
      </c>
      <c r="T98" s="813" t="e">
        <f t="shared" si="5"/>
        <v>#DIV/0!</v>
      </c>
      <c r="U98" s="1137" t="e">
        <f t="shared" si="5"/>
        <v>#DIV/0!</v>
      </c>
      <c r="X98" s="1518" t="s">
        <v>1631</v>
      </c>
      <c r="Y98" s="1519"/>
      <c r="Z98" s="1519"/>
      <c r="AA98" s="1519"/>
      <c r="AB98" s="1519"/>
      <c r="AC98" s="1519"/>
      <c r="AD98" s="1519"/>
      <c r="AE98" s="1519"/>
      <c r="AF98" s="1519"/>
      <c r="AG98" s="1520"/>
    </row>
    <row r="99" spans="7:34" x14ac:dyDescent="0.2">
      <c r="G99" s="1161" t="e">
        <f>MAX('Funding and Units Worksheet'!D25,'Funding and Units Worksheet'!H25,'Funding and Units Worksheet'!J25)</f>
        <v>#DIV/0!</v>
      </c>
      <c r="H99" s="1161" t="e">
        <f>MAX('Funding and Units Worksheet'!F25,'Funding and Units Worksheet'!H25,'Funding and Units Worksheet'!J25)</f>
        <v>#DIV/0!</v>
      </c>
      <c r="P99" s="1131"/>
      <c r="Q99" s="811"/>
      <c r="R99" s="811"/>
      <c r="S99" s="811"/>
      <c r="T99" s="811"/>
      <c r="U99" s="1089"/>
      <c r="X99" s="990"/>
      <c r="Y99" s="814" t="s">
        <v>1637</v>
      </c>
      <c r="Z99" s="814" t="s">
        <v>1638</v>
      </c>
      <c r="AA99" s="814" t="s">
        <v>1639</v>
      </c>
      <c r="AB99" s="814" t="s">
        <v>1640</v>
      </c>
      <c r="AC99" s="991" t="s">
        <v>1641</v>
      </c>
      <c r="AD99" s="992" t="s">
        <v>1642</v>
      </c>
      <c r="AE99" s="992" t="s">
        <v>1643</v>
      </c>
      <c r="AF99" s="992"/>
      <c r="AG99" s="993"/>
    </row>
    <row r="100" spans="7:34" ht="38.25" x14ac:dyDescent="0.2">
      <c r="G100" s="1161" t="e">
        <f>MAX('Funding and Units Worksheet'!D26,'Funding and Units Worksheet'!H26,'Funding and Units Worksheet'!J26)</f>
        <v>#DIV/0!</v>
      </c>
      <c r="H100" s="1161" t="e">
        <f>MAX('Funding and Units Worksheet'!F26,'Funding and Units Worksheet'!H26,'Funding and Units Worksheet'!J26)</f>
        <v>#DIV/0!</v>
      </c>
      <c r="P100" s="1135" t="s">
        <v>1748</v>
      </c>
      <c r="Q100" s="813" t="e">
        <f>IF(SUM(Q97:U97)&lt;2000000,SUM(Q97:U97),2000000)</f>
        <v>#DIV/0!</v>
      </c>
      <c r="R100" s="811"/>
      <c r="S100" s="811"/>
      <c r="T100" s="811"/>
      <c r="U100" s="1089"/>
      <c r="X100" s="994" t="s">
        <v>1631</v>
      </c>
      <c r="Y100" s="995" t="e">
        <f>IF($Y$2=" ",0, VLOOKUP($Y$2,$X$15:$AE$94, 2))</f>
        <v>#N/A</v>
      </c>
      <c r="Z100" s="995" t="e">
        <f>IF($Y$2=" ",0, VLOOKUP($Y$2,$X$15:$AE$94, 3))</f>
        <v>#N/A</v>
      </c>
      <c r="AA100" s="995" t="e">
        <f>IF($Y$2=" ",0, VLOOKUP($Y$2,$X$15:$AE$94,4))</f>
        <v>#N/A</v>
      </c>
      <c r="AB100" s="995" t="e">
        <f>IF($Y$2=" ",0, VLOOKUP($Y$2,$X$15:$AE$94, 5))</f>
        <v>#N/A</v>
      </c>
      <c r="AC100" s="995" t="e">
        <f>IF($Y$2=" ",0, VLOOKUP($Y$2,$X$15:$AE$94, 6))</f>
        <v>#N/A</v>
      </c>
      <c r="AD100" s="995" t="e">
        <f>IF($Y$2=" ",0, VLOOKUP($Y$2,$X$15:$AE$94, 7))</f>
        <v>#N/A</v>
      </c>
      <c r="AE100" s="995" t="e">
        <f>IF($Y$2=" ",0, VLOOKUP($Y$2,$X$15:$AE$94, 8))</f>
        <v>#N/A</v>
      </c>
      <c r="AF100" s="813"/>
      <c r="AG100" s="813"/>
    </row>
    <row r="101" spans="7:34" ht="26.25" thickBot="1" x14ac:dyDescent="0.25">
      <c r="G101" s="1161" t="e">
        <f>MAX('Funding and Units Worksheet'!D27,'Funding and Units Worksheet'!H27,'Funding and Units Worksheet'!J27)</f>
        <v>#DIV/0!</v>
      </c>
      <c r="H101" s="1161" t="e">
        <f>MAX('Funding and Units Worksheet'!F27,'Funding and Units Worksheet'!H27,'Funding and Units Worksheet'!J27)</f>
        <v>#DIV/0!</v>
      </c>
      <c r="P101" s="1138" t="s">
        <v>1749</v>
      </c>
      <c r="Q101" s="1139" t="e">
        <f>IF(SUM(Q98:U98)&lt;2000000,SUM(Q98:U98),2000000)</f>
        <v>#DIV/0!</v>
      </c>
      <c r="R101" s="1092"/>
      <c r="S101" s="1092"/>
      <c r="T101" s="1092"/>
      <c r="U101" s="1093"/>
      <c r="X101" s="988"/>
      <c r="AC101" s="989"/>
    </row>
    <row r="102" spans="7:34" ht="13.5" thickTop="1" x14ac:dyDescent="0.2">
      <c r="G102" s="1161" t="e">
        <f>MAX('Funding and Units Worksheet'!D28,'Funding and Units Worksheet'!H28,'Funding and Units Worksheet'!J28)</f>
        <v>#DIV/0!</v>
      </c>
      <c r="H102" s="1161" t="e">
        <f>MAX('Funding and Units Worksheet'!F28,'Funding and Units Worksheet'!H28,'Funding and Units Worksheet'!J28)</f>
        <v>#DIV/0!</v>
      </c>
      <c r="X102" s="988"/>
      <c r="AC102" s="989"/>
      <c r="AE102" s="996" t="s">
        <v>1631</v>
      </c>
      <c r="AF102" s="996" t="e">
        <f>IF(Y3 = " ",0, VLOOKUP(Y3,AG102:AH1087, 2))</f>
        <v>#N/A</v>
      </c>
      <c r="AG102">
        <v>10</v>
      </c>
      <c r="AH102" s="997" t="e">
        <f>+Y100</f>
        <v>#N/A</v>
      </c>
    </row>
    <row r="103" spans="7:34" x14ac:dyDescent="0.2">
      <c r="X103" s="988"/>
      <c r="AC103" s="989"/>
      <c r="AG103">
        <v>15</v>
      </c>
      <c r="AH103" s="997" t="e">
        <f>+Z100</f>
        <v>#N/A</v>
      </c>
    </row>
    <row r="104" spans="7:34" x14ac:dyDescent="0.2">
      <c r="P104" s="811"/>
      <c r="Q104" s="1508" t="s">
        <v>1899</v>
      </c>
      <c r="R104" s="1509"/>
      <c r="S104" s="1509"/>
      <c r="T104" s="1509"/>
      <c r="U104" s="1510"/>
      <c r="X104" s="988"/>
      <c r="AC104" s="989"/>
      <c r="AG104">
        <v>20</v>
      </c>
      <c r="AH104" s="997" t="e">
        <f>+AA100</f>
        <v>#N/A</v>
      </c>
    </row>
    <row r="105" spans="7:34" x14ac:dyDescent="0.2">
      <c r="P105" s="829" t="s">
        <v>1698</v>
      </c>
      <c r="Q105" s="813" t="str">
        <f>IF('Funding and Units Worksheet'!$T$5="YES",Q91," ")</f>
        <v xml:space="preserve"> </v>
      </c>
      <c r="R105" s="813" t="str">
        <f>IF('Funding and Units Worksheet'!$T$5="YES",R91," ")</f>
        <v xml:space="preserve"> </v>
      </c>
      <c r="S105" s="813" t="str">
        <f>IF('Funding and Units Worksheet'!$T$5="YES",S91," ")</f>
        <v xml:space="preserve"> </v>
      </c>
      <c r="T105" s="813" t="str">
        <f>IF('Funding and Units Worksheet'!$T$5="YES",T91," ")</f>
        <v xml:space="preserve"> </v>
      </c>
      <c r="U105" s="813" t="str">
        <f>IF('Funding and Units Worksheet'!$T$5="YES",U91," ")</f>
        <v xml:space="preserve"> </v>
      </c>
      <c r="X105" s="988"/>
      <c r="AC105" s="989"/>
      <c r="AG105">
        <v>25</v>
      </c>
      <c r="AH105" s="997" t="e">
        <f>+AB100</f>
        <v>#N/A</v>
      </c>
    </row>
    <row r="106" spans="7:34" x14ac:dyDescent="0.2">
      <c r="P106" s="829" t="s">
        <v>1897</v>
      </c>
      <c r="Q106" s="813" t="e">
        <f>+'Funding and Units Worksheet'!$T$11*'Funding and Units Worksheet'!$U$3</f>
        <v>#DIV/0!</v>
      </c>
      <c r="R106" s="813" t="e">
        <f>+'Funding and Units Worksheet'!$T$11*'Funding and Units Worksheet'!V3</f>
        <v>#DIV/0!</v>
      </c>
      <c r="S106" s="813" t="e">
        <f>+'Funding and Units Worksheet'!$T$11*'Funding and Units Worksheet'!W3</f>
        <v>#DIV/0!</v>
      </c>
      <c r="T106" s="813" t="e">
        <f>+'Funding and Units Worksheet'!$T$11*'Funding and Units Worksheet'!X3</f>
        <v>#DIV/0!</v>
      </c>
      <c r="U106" s="813" t="e">
        <f>+'Funding and Units Worksheet'!$T$11*'Funding and Units Worksheet'!Y3</f>
        <v>#DIV/0!</v>
      </c>
      <c r="X106" s="988"/>
      <c r="AC106" s="989"/>
      <c r="AG106">
        <v>30</v>
      </c>
      <c r="AH106" s="997" t="e">
        <f>+AC100</f>
        <v>#N/A</v>
      </c>
    </row>
    <row r="107" spans="7:34" x14ac:dyDescent="0.2">
      <c r="P107" s="829" t="s">
        <v>1898</v>
      </c>
      <c r="Q107" s="813" t="str">
        <f>IF('Funding and Units Worksheet'!$T$5="NO",Lists!$E$43," ")</f>
        <v xml:space="preserve"> </v>
      </c>
      <c r="R107" s="813" t="str">
        <f>IF('Funding and Units Worksheet'!$T$5="NO",Lists!$E$43, " ")</f>
        <v xml:space="preserve"> </v>
      </c>
      <c r="S107" s="813" t="str">
        <f>IF('Funding and Units Worksheet'!$T$5="NO",Lists!$E$43, " ")</f>
        <v xml:space="preserve"> </v>
      </c>
      <c r="T107" s="813" t="str">
        <f>IF('Funding and Units Worksheet'!$T$5="NO",Lists!$E$43, " ")</f>
        <v xml:space="preserve"> </v>
      </c>
      <c r="U107" s="813" t="str">
        <f>IF('Funding and Units Worksheet'!$T$5="NO",Lists!$E$43, " ")</f>
        <v xml:space="preserve"> </v>
      </c>
      <c r="X107" s="988"/>
      <c r="AC107" s="989"/>
      <c r="AG107">
        <v>35</v>
      </c>
      <c r="AH107" s="997" t="e">
        <f>+AD100</f>
        <v>#N/A</v>
      </c>
    </row>
    <row r="108" spans="7:34" x14ac:dyDescent="0.2">
      <c r="P108" s="829" t="s">
        <v>1833</v>
      </c>
      <c r="Q108" s="813" t="e">
        <f>MIN(Q105:Q107)</f>
        <v>#DIV/0!</v>
      </c>
      <c r="R108" s="813" t="e">
        <f t="shared" ref="R108:U108" si="6">MIN(R105:R107)</f>
        <v>#DIV/0!</v>
      </c>
      <c r="S108" s="813" t="e">
        <f t="shared" si="6"/>
        <v>#DIV/0!</v>
      </c>
      <c r="T108" s="813" t="e">
        <f t="shared" si="6"/>
        <v>#DIV/0!</v>
      </c>
      <c r="U108" s="813" t="e">
        <f t="shared" si="6"/>
        <v>#DIV/0!</v>
      </c>
      <c r="X108" s="988"/>
      <c r="AC108" s="989"/>
      <c r="AG108">
        <v>40</v>
      </c>
      <c r="AH108" s="997" t="e">
        <f>+AE100</f>
        <v>#N/A</v>
      </c>
    </row>
    <row r="109" spans="7:34" x14ac:dyDescent="0.2">
      <c r="P109" s="1205" t="s">
        <v>1901</v>
      </c>
      <c r="Q109" s="1204" t="e">
        <f>IF('Funding and Units Worksheet'!$T$5="NO",MIN(Lists!Q106,Lists!Q107*'Funding and Units Worksheet'!$T13),MIN(Lists!Q105,Lists!Q106)*'Funding and Units Worksheet'!T13)</f>
        <v>#DIV/0!</v>
      </c>
      <c r="R109" s="1204" t="e">
        <f>IF('Funding and Units Worksheet'!$T$5="NO",MIN(Lists!R106,Lists!R107*'Funding and Units Worksheet'!$T14),MIN(Lists!R105,Lists!R106)*'Funding and Units Worksheet'!$T14)</f>
        <v>#DIV/0!</v>
      </c>
      <c r="S109" s="1204" t="e">
        <f>IF('Funding and Units Worksheet'!$T$5="NO",MIN(Lists!S106,Lists!S107*'Funding and Units Worksheet'!$T15),MIN(Lists!S105,Lists!S106)*'Funding and Units Worksheet'!$T15)</f>
        <v>#DIV/0!</v>
      </c>
      <c r="T109" s="1204" t="e">
        <f>IF('Funding and Units Worksheet'!$T$5="NO",MIN(Lists!T106,Lists!T107*'Funding and Units Worksheet'!$T16),MIN(Lists!T105,Lists!T106)*'Funding and Units Worksheet'!$T16)</f>
        <v>#DIV/0!</v>
      </c>
      <c r="U109" s="1204" t="e">
        <f>IF('Funding and Units Worksheet'!$T$5="NO",MIN(Lists!U106,Lists!U107*'Funding and Units Worksheet'!$T17),MIN(Lists!U105,Lists!U106)*'Funding and Units Worksheet'!$T17)</f>
        <v>#DIV/0!</v>
      </c>
      <c r="X109" s="988"/>
      <c r="AC109" s="989"/>
      <c r="AH109" s="997"/>
    </row>
    <row r="110" spans="7:34" x14ac:dyDescent="0.2">
      <c r="Q110" s="1508" t="s">
        <v>1900</v>
      </c>
      <c r="R110" s="1511"/>
      <c r="S110" s="1511"/>
      <c r="T110" s="1511"/>
      <c r="U110" s="1512"/>
      <c r="X110" s="988"/>
      <c r="AC110" s="989"/>
    </row>
    <row r="111" spans="7:34" x14ac:dyDescent="0.2">
      <c r="P111" s="829" t="s">
        <v>1698</v>
      </c>
      <c r="Q111" s="813">
        <f>+Q91</f>
        <v>0</v>
      </c>
      <c r="R111" s="813">
        <f t="shared" ref="R111:U111" si="7">+R91</f>
        <v>0</v>
      </c>
      <c r="S111" s="813">
        <f t="shared" si="7"/>
        <v>0</v>
      </c>
      <c r="T111" s="813">
        <f t="shared" si="7"/>
        <v>0</v>
      </c>
      <c r="U111" s="813">
        <f t="shared" si="7"/>
        <v>0</v>
      </c>
      <c r="X111" s="988"/>
      <c r="AC111" s="989"/>
    </row>
    <row r="112" spans="7:34" x14ac:dyDescent="0.2">
      <c r="P112" s="829" t="s">
        <v>1897</v>
      </c>
      <c r="Q112" s="813" t="e">
        <f>+'Funding and Units Worksheet'!$T$11*'Funding and Units Worksheet'!$V$3</f>
        <v>#DIV/0!</v>
      </c>
      <c r="R112" s="813" t="e">
        <f>+R106</f>
        <v>#DIV/0!</v>
      </c>
      <c r="S112" s="813" t="e">
        <f t="shared" ref="S112:U112" si="8">+S106</f>
        <v>#DIV/0!</v>
      </c>
      <c r="T112" s="813" t="e">
        <f t="shared" si="8"/>
        <v>#DIV/0!</v>
      </c>
      <c r="U112" s="813" t="e">
        <f t="shared" si="8"/>
        <v>#DIV/0!</v>
      </c>
    </row>
    <row r="113" spans="16:21" x14ac:dyDescent="0.2">
      <c r="P113" s="829" t="s">
        <v>1898</v>
      </c>
      <c r="Q113" s="813" t="str">
        <f>IF('Funding and Units Worksheet'!T5="NO",Lists!H43, " ")</f>
        <v xml:space="preserve"> </v>
      </c>
      <c r="R113" s="813" t="str">
        <f>+Q113</f>
        <v xml:space="preserve"> </v>
      </c>
      <c r="S113" s="813" t="str">
        <f>+Q113</f>
        <v xml:space="preserve"> </v>
      </c>
      <c r="T113" s="813" t="str">
        <f>+Q113</f>
        <v xml:space="preserve"> </v>
      </c>
      <c r="U113" s="813" t="str">
        <f>+Q113</f>
        <v xml:space="preserve"> </v>
      </c>
    </row>
    <row r="114" spans="16:21" x14ac:dyDescent="0.2">
      <c r="P114" s="829" t="s">
        <v>1833</v>
      </c>
      <c r="Q114" s="813" t="e">
        <f>MIN(Q111:Q113)</f>
        <v>#DIV/0!</v>
      </c>
      <c r="R114" s="813" t="e">
        <f t="shared" ref="R114:U114" si="9">MIN(R111:R113)</f>
        <v>#DIV/0!</v>
      </c>
      <c r="S114" s="813" t="e">
        <f t="shared" si="9"/>
        <v>#DIV/0!</v>
      </c>
      <c r="T114" s="813" t="e">
        <f t="shared" si="9"/>
        <v>#DIV/0!</v>
      </c>
      <c r="U114" s="813" t="e">
        <f t="shared" si="9"/>
        <v>#DIV/0!</v>
      </c>
    </row>
    <row r="115" spans="16:21" x14ac:dyDescent="0.2">
      <c r="Q115" s="1204" t="e">
        <f>IF('Funding and Units Worksheet'!$T$5="NO",MIN(Lists!Q112,Lists!Q113*'Funding and Units Worksheet'!$U13),MIN(Lists!Q111,Lists!Q112)*'Funding and Units Worksheet'!U13)</f>
        <v>#DIV/0!</v>
      </c>
      <c r="R115" s="1204" t="e">
        <f>IF('Funding and Units Worksheet'!$T$5="NO",MIN(Lists!R112,Lists!R113*'Funding and Units Worksheet'!$U14),MIN(Lists!R111,Lists!R112)*'Funding and Units Worksheet'!$U14)</f>
        <v>#DIV/0!</v>
      </c>
      <c r="S115" s="1204" t="e">
        <f>IF('Funding and Units Worksheet'!$T$5="NO",MIN(Lists!S112,Lists!S113*'Funding and Units Worksheet'!$U15),MIN(Lists!S111,Lists!S112)*'Funding and Units Worksheet'!$U15)</f>
        <v>#DIV/0!</v>
      </c>
      <c r="T115" s="1204" t="e">
        <f>IF('Funding and Units Worksheet'!$T$5="NO",MIN(Lists!T112,Lists!T113*'Funding and Units Worksheet'!$U16),MIN(Lists!T111,Lists!T112)*'Funding and Units Worksheet'!$U16)</f>
        <v>#DIV/0!</v>
      </c>
      <c r="U115" s="1204" t="e">
        <f>IF('Funding and Units Worksheet'!$T$5="NO",MIN(Lists!U112,Lists!U113*'Funding and Units Worksheet'!$U17),MIN(Lists!U111,Lists!U112)*'Funding and Units Worksheet'!$U17)</f>
        <v>#DIV/0!</v>
      </c>
    </row>
    <row r="117" spans="16:21" x14ac:dyDescent="0.2">
      <c r="P117" s="824" t="s">
        <v>157</v>
      </c>
    </row>
    <row r="118" spans="16:21" x14ac:dyDescent="0.2">
      <c r="P118" s="1203" t="s">
        <v>1902</v>
      </c>
      <c r="Q118" s="735" t="e">
        <f>SUM(Q109:U109)</f>
        <v>#DIV/0!</v>
      </c>
    </row>
    <row r="119" spans="16:21" x14ac:dyDescent="0.2">
      <c r="P119" s="1203" t="s">
        <v>1903</v>
      </c>
      <c r="Q119" s="735" t="e">
        <f>SUM(Q115:U115)</f>
        <v>#DIV/0!</v>
      </c>
    </row>
    <row r="120" spans="16:21" x14ac:dyDescent="0.2">
      <c r="P120" s="1203"/>
    </row>
    <row r="121" spans="16:21" x14ac:dyDescent="0.2">
      <c r="P121" s="1203"/>
    </row>
    <row r="122" spans="16:21" x14ac:dyDescent="0.2">
      <c r="P122" s="1203"/>
    </row>
    <row r="124" spans="16:21" x14ac:dyDescent="0.2">
      <c r="P124" s="824"/>
    </row>
    <row r="125" spans="16:21" x14ac:dyDescent="0.2">
      <c r="P125" s="824"/>
      <c r="Q125" s="824"/>
    </row>
  </sheetData>
  <sheetProtection password="CC14" sheet="1" objects="1" scenarios="1"/>
  <mergeCells count="10">
    <mergeCell ref="Q104:U104"/>
    <mergeCell ref="Q110:U110"/>
    <mergeCell ref="P1:U1"/>
    <mergeCell ref="Q74:U74"/>
    <mergeCell ref="X1:Y1"/>
    <mergeCell ref="X98:AG98"/>
    <mergeCell ref="AD1:AE1"/>
    <mergeCell ref="AG15:AP15"/>
    <mergeCell ref="Q89:U89"/>
    <mergeCell ref="P72:U7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89"/>
  <sheetViews>
    <sheetView topLeftCell="B1" workbookViewId="0">
      <selection activeCell="H10" sqref="H10"/>
    </sheetView>
  </sheetViews>
  <sheetFormatPr defaultColWidth="8.85546875" defaultRowHeight="12.75" x14ac:dyDescent="0.2"/>
  <cols>
    <col min="7" max="7" width="34" customWidth="1"/>
    <col min="8" max="8" width="41.42578125" customWidth="1"/>
    <col min="9" max="9" width="40.85546875" customWidth="1"/>
    <col min="10" max="10" width="12.7109375" bestFit="1" customWidth="1"/>
    <col min="11" max="11" width="33.28515625" bestFit="1" customWidth="1"/>
  </cols>
  <sheetData>
    <row r="1" spans="1:11" ht="19.5" thickTop="1" x14ac:dyDescent="0.25">
      <c r="A1" s="851"/>
      <c r="B1" s="1614"/>
      <c r="C1" s="1614"/>
      <c r="D1" s="1614"/>
      <c r="E1" s="1614"/>
      <c r="F1" s="1614"/>
      <c r="G1" s="1614"/>
      <c r="H1" s="1614"/>
      <c r="I1" s="852"/>
    </row>
    <row r="2" spans="1:11" ht="18.75" x14ac:dyDescent="0.3">
      <c r="A2" s="853"/>
      <c r="B2" s="1615" t="s">
        <v>1198</v>
      </c>
      <c r="C2" s="1615"/>
      <c r="D2" s="1615"/>
      <c r="E2" s="1615"/>
      <c r="F2" s="1615"/>
      <c r="G2" s="1615"/>
      <c r="H2" s="1615"/>
      <c r="I2" s="854"/>
    </row>
    <row r="3" spans="1:11" ht="15.75" x14ac:dyDescent="0.25">
      <c r="A3" s="853"/>
      <c r="B3" s="1616" t="s">
        <v>1199</v>
      </c>
      <c r="C3" s="1616"/>
      <c r="D3" s="1616"/>
      <c r="E3" s="1616"/>
      <c r="F3" s="1616"/>
      <c r="G3" s="1616"/>
      <c r="H3" s="1616"/>
      <c r="I3" s="854"/>
    </row>
    <row r="4" spans="1:11" ht="18.75" x14ac:dyDescent="0.3">
      <c r="A4" s="853"/>
      <c r="B4" s="1617">
        <f>+'Primary Input'!E7</f>
        <v>0</v>
      </c>
      <c r="C4" s="1617"/>
      <c r="D4" s="1617"/>
      <c r="E4" s="1617"/>
      <c r="F4" s="1617"/>
      <c r="G4" s="1617"/>
      <c r="H4" s="1617"/>
      <c r="I4" s="854"/>
    </row>
    <row r="5" spans="1:11" ht="15.75" thickBot="1" x14ac:dyDescent="0.3">
      <c r="A5" s="853"/>
      <c r="B5" s="855"/>
      <c r="C5" s="856"/>
      <c r="D5" s="856"/>
      <c r="E5" s="856"/>
      <c r="F5" s="856"/>
      <c r="G5" s="856"/>
      <c r="H5" s="856"/>
      <c r="I5" s="852"/>
    </row>
    <row r="6" spans="1:11" ht="16.5" thickTop="1" x14ac:dyDescent="0.25">
      <c r="A6" s="853"/>
      <c r="B6" s="1618"/>
      <c r="C6" s="1619"/>
      <c r="D6" s="1619"/>
      <c r="E6" s="1619"/>
      <c r="F6" s="857"/>
      <c r="G6" s="857"/>
      <c r="H6" s="858"/>
      <c r="I6" s="859"/>
    </row>
    <row r="7" spans="1:11" ht="60" x14ac:dyDescent="0.25">
      <c r="A7" s="853"/>
      <c r="B7" s="1620" t="s">
        <v>1200</v>
      </c>
      <c r="C7" s="1566"/>
      <c r="D7" s="860" t="s">
        <v>1201</v>
      </c>
      <c r="E7" s="861" t="s">
        <v>1202</v>
      </c>
      <c r="F7" s="862"/>
      <c r="G7" s="863"/>
      <c r="H7" s="864"/>
      <c r="I7" s="865"/>
    </row>
    <row r="8" spans="1:11" ht="15" x14ac:dyDescent="0.25">
      <c r="A8" s="853"/>
      <c r="B8" s="866"/>
      <c r="C8" s="867"/>
      <c r="D8" s="868" t="s">
        <v>1203</v>
      </c>
      <c r="E8" s="869" t="s">
        <v>1204</v>
      </c>
      <c r="F8" s="869" t="s">
        <v>432</v>
      </c>
      <c r="G8" s="869" t="s">
        <v>1205</v>
      </c>
      <c r="H8" s="864"/>
      <c r="I8" s="865"/>
    </row>
    <row r="9" spans="1:11" ht="18.75" x14ac:dyDescent="0.3">
      <c r="A9" s="853"/>
      <c r="B9" s="1621" t="s">
        <v>1206</v>
      </c>
      <c r="C9" s="1622"/>
      <c r="D9" s="870">
        <f>+'Primary Input'!E5</f>
        <v>0</v>
      </c>
      <c r="E9" s="870">
        <f>+'Primary Input'!F5</f>
        <v>0</v>
      </c>
      <c r="F9" s="870">
        <f>+'Primary Input'!G5</f>
        <v>0</v>
      </c>
      <c r="G9" s="871" t="s">
        <v>1207</v>
      </c>
      <c r="H9" s="864"/>
      <c r="I9" s="865"/>
    </row>
    <row r="10" spans="1:11" ht="15" x14ac:dyDescent="0.25">
      <c r="A10" s="853"/>
      <c r="B10" s="872">
        <v>1</v>
      </c>
      <c r="C10" s="1529" t="s">
        <v>1208</v>
      </c>
      <c r="D10" s="1529"/>
      <c r="E10" s="1529"/>
      <c r="F10" s="1529"/>
      <c r="G10" s="1529"/>
      <c r="H10" s="1079">
        <f>+'Primary Input'!E11</f>
        <v>0</v>
      </c>
      <c r="I10" s="1081"/>
    </row>
    <row r="11" spans="1:11" ht="15" x14ac:dyDescent="0.25">
      <c r="A11" s="853"/>
      <c r="B11" s="872">
        <v>2</v>
      </c>
      <c r="C11" s="1529" t="s">
        <v>111</v>
      </c>
      <c r="D11" s="1529"/>
      <c r="E11" s="1529"/>
      <c r="F11" s="1529"/>
      <c r="G11" s="1529"/>
      <c r="H11" s="1079">
        <f>+Cover!E11</f>
        <v>0</v>
      </c>
      <c r="I11" s="873" t="str">
        <f>IF(H11&gt;" ","", "Must Be Filled In")</f>
        <v>Must Be Filled In</v>
      </c>
      <c r="K11" s="1029"/>
    </row>
    <row r="12" spans="1:11" ht="15" x14ac:dyDescent="0.25">
      <c r="A12" s="853"/>
      <c r="B12" s="872">
        <v>3</v>
      </c>
      <c r="C12" s="1529" t="s">
        <v>1169</v>
      </c>
      <c r="D12" s="1529"/>
      <c r="E12" s="1529"/>
      <c r="F12" s="1529"/>
      <c r="G12" s="1529"/>
      <c r="H12" s="1082">
        <f>+'Primary Input'!E8</f>
        <v>0</v>
      </c>
      <c r="I12" s="873"/>
    </row>
    <row r="13" spans="1:11" ht="15" x14ac:dyDescent="0.25">
      <c r="A13" s="853"/>
      <c r="B13" s="872"/>
      <c r="C13" s="1529" t="s">
        <v>1209</v>
      </c>
      <c r="D13" s="1529"/>
      <c r="E13" s="1529"/>
      <c r="F13" s="1529"/>
      <c r="G13" s="1529"/>
      <c r="H13" s="941">
        <f>+'Primary Input'!E9</f>
        <v>0</v>
      </c>
      <c r="I13" s="873"/>
      <c r="K13" s="1029"/>
    </row>
    <row r="14" spans="1:11" ht="15" x14ac:dyDescent="0.25">
      <c r="A14" s="853"/>
      <c r="B14" s="872">
        <v>4</v>
      </c>
      <c r="C14" s="1529" t="s">
        <v>669</v>
      </c>
      <c r="D14" s="1529"/>
      <c r="E14" s="1529"/>
      <c r="F14" s="1529"/>
      <c r="G14" s="1529"/>
      <c r="H14" s="896">
        <f>+'Sources and Uses'!F48</f>
        <v>0</v>
      </c>
      <c r="I14" s="873"/>
    </row>
    <row r="15" spans="1:11" ht="15" x14ac:dyDescent="0.25">
      <c r="A15" s="853"/>
      <c r="B15" s="872">
        <v>16</v>
      </c>
      <c r="C15" s="1529" t="s">
        <v>1210</v>
      </c>
      <c r="D15" s="1529"/>
      <c r="E15" s="1529"/>
      <c r="F15" s="1529"/>
      <c r="G15" s="1529"/>
      <c r="H15" s="1083">
        <f>+'Sources and Uses'!F7</f>
        <v>0</v>
      </c>
      <c r="I15" s="873" t="str">
        <f>+IF(H15="","Must Be Filled In. If none put $0.00","Pass")</f>
        <v>Pass</v>
      </c>
    </row>
    <row r="16" spans="1:11" ht="15" x14ac:dyDescent="0.25">
      <c r="A16" s="853"/>
      <c r="B16" s="872">
        <v>17</v>
      </c>
      <c r="C16" s="1529" t="s">
        <v>1754</v>
      </c>
      <c r="D16" s="1529"/>
      <c r="E16" s="1529"/>
      <c r="F16" s="1529"/>
      <c r="G16" s="1529"/>
      <c r="H16" s="876">
        <f>+'Primary Input'!E38</f>
        <v>0</v>
      </c>
      <c r="I16" s="877"/>
    </row>
    <row r="17" spans="1:15" ht="15" x14ac:dyDescent="0.25">
      <c r="A17" s="853"/>
      <c r="B17" s="1108"/>
      <c r="C17" s="1526" t="s">
        <v>1211</v>
      </c>
      <c r="D17" s="1527"/>
      <c r="E17" s="1527"/>
      <c r="F17" s="1527"/>
      <c r="G17" s="1528"/>
      <c r="H17" s="876">
        <f>+H18-(H15+H16)</f>
        <v>0</v>
      </c>
      <c r="I17" s="1109"/>
    </row>
    <row r="18" spans="1:15" ht="15" x14ac:dyDescent="0.25">
      <c r="A18" s="853"/>
      <c r="B18" s="872"/>
      <c r="C18" s="1529" t="s">
        <v>1212</v>
      </c>
      <c r="D18" s="1529"/>
      <c r="E18" s="1529"/>
      <c r="F18" s="1529"/>
      <c r="G18" s="1529"/>
      <c r="H18" s="876">
        <f>+'Sources and Uses'!F24</f>
        <v>0</v>
      </c>
      <c r="I18" s="877" t="str">
        <f>IF(H18&lt;H14,"Need Additional Sources",IF(H18&gt;H14,"Project is over funded","Pass"))</f>
        <v>Pass</v>
      </c>
      <c r="K18" s="1197"/>
    </row>
    <row r="19" spans="1:15" ht="15" x14ac:dyDescent="0.25">
      <c r="A19" s="853"/>
      <c r="B19" s="872"/>
      <c r="C19" s="1529" t="s">
        <v>1213</v>
      </c>
      <c r="D19" s="1529"/>
      <c r="E19" s="1529"/>
      <c r="F19" s="1529"/>
      <c r="G19" s="1529"/>
      <c r="H19" s="878"/>
      <c r="I19" s="873" t="str">
        <f t="shared" ref="I19:I22" si="0">IF(H19&gt;" ","Pass", "Must Be Filled In")</f>
        <v>Must Be Filled In</v>
      </c>
    </row>
    <row r="20" spans="1:15" ht="15" x14ac:dyDescent="0.25">
      <c r="A20" s="853"/>
      <c r="B20" s="872"/>
      <c r="C20" s="1529" t="s">
        <v>1214</v>
      </c>
      <c r="D20" s="1529"/>
      <c r="E20" s="1529"/>
      <c r="F20" s="1529"/>
      <c r="G20" s="1529"/>
      <c r="H20" s="878"/>
      <c r="I20" s="873" t="str">
        <f t="shared" si="0"/>
        <v>Must Be Filled In</v>
      </c>
    </row>
    <row r="21" spans="1:15" ht="15" x14ac:dyDescent="0.25">
      <c r="A21" s="853"/>
      <c r="B21" s="872"/>
      <c r="C21" s="1526" t="s">
        <v>1697</v>
      </c>
      <c r="D21" s="1527"/>
      <c r="E21" s="1527"/>
      <c r="F21" s="1527"/>
      <c r="G21" s="1528"/>
      <c r="H21" s="878"/>
      <c r="I21" s="873"/>
    </row>
    <row r="22" spans="1:15" ht="15" x14ac:dyDescent="0.25">
      <c r="A22" s="853"/>
      <c r="B22" s="872">
        <v>18</v>
      </c>
      <c r="C22" s="1529" t="s">
        <v>1215</v>
      </c>
      <c r="D22" s="1529"/>
      <c r="E22" s="1529"/>
      <c r="F22" s="1529"/>
      <c r="G22" s="1529"/>
      <c r="H22" s="880">
        <f>+'Primary Input'!E53</f>
        <v>0</v>
      </c>
      <c r="I22" s="873" t="str">
        <f t="shared" si="0"/>
        <v>Must Be Filled In</v>
      </c>
      <c r="K22" s="154"/>
    </row>
    <row r="23" spans="1:15" ht="15" x14ac:dyDescent="0.25">
      <c r="A23" s="853"/>
      <c r="B23" s="872">
        <v>19</v>
      </c>
      <c r="C23" s="1529" t="s">
        <v>1216</v>
      </c>
      <c r="D23" s="1529"/>
      <c r="E23" s="1529"/>
      <c r="F23" s="1529"/>
      <c r="G23" s="1529"/>
      <c r="H23" s="880">
        <f>+'Primary Input'!E54</f>
        <v>0</v>
      </c>
      <c r="I23" s="873" t="str">
        <f>+IF(H23="","Must Be Filled In. If none put 0","Pass")</f>
        <v>Pass</v>
      </c>
    </row>
    <row r="24" spans="1:15" ht="15" x14ac:dyDescent="0.25">
      <c r="A24" s="853"/>
      <c r="B24" s="872">
        <v>20</v>
      </c>
      <c r="C24" s="1529" t="s">
        <v>1217</v>
      </c>
      <c r="D24" s="1529"/>
      <c r="E24" s="1529"/>
      <c r="F24" s="1529"/>
      <c r="G24" s="1529"/>
      <c r="H24" s="880">
        <f>+'Primary Input'!E55</f>
        <v>0</v>
      </c>
      <c r="I24" s="873" t="str">
        <f t="shared" ref="I24:I27" si="1">+IF(H24="","Must Be Filled In. If none put 0","Pass")</f>
        <v>Pass</v>
      </c>
    </row>
    <row r="25" spans="1:15" ht="15" x14ac:dyDescent="0.25">
      <c r="A25" s="853"/>
      <c r="B25" s="872">
        <v>21</v>
      </c>
      <c r="C25" s="1529" t="s">
        <v>1218</v>
      </c>
      <c r="D25" s="1529"/>
      <c r="E25" s="1529"/>
      <c r="F25" s="1529"/>
      <c r="G25" s="1529"/>
      <c r="H25" s="880">
        <f>+'Primary Input'!E56</f>
        <v>0</v>
      </c>
      <c r="I25" s="873" t="str">
        <f t="shared" si="1"/>
        <v>Pass</v>
      </c>
    </row>
    <row r="26" spans="1:15" ht="15" x14ac:dyDescent="0.25">
      <c r="A26" s="853"/>
      <c r="B26" s="872">
        <v>22</v>
      </c>
      <c r="C26" s="1529" t="s">
        <v>1219</v>
      </c>
      <c r="D26" s="1529"/>
      <c r="E26" s="1529"/>
      <c r="F26" s="1529"/>
      <c r="G26" s="1529"/>
      <c r="H26" s="880">
        <f>+'Primary Input'!E57</f>
        <v>0</v>
      </c>
      <c r="I26" s="873" t="str">
        <f t="shared" si="1"/>
        <v>Pass</v>
      </c>
    </row>
    <row r="27" spans="1:15" ht="15" x14ac:dyDescent="0.25">
      <c r="A27" s="879"/>
      <c r="B27" s="872">
        <v>23</v>
      </c>
      <c r="C27" s="1529" t="s">
        <v>1220</v>
      </c>
      <c r="D27" s="1529"/>
      <c r="E27" s="1529"/>
      <c r="F27" s="1529"/>
      <c r="G27" s="1529"/>
      <c r="H27" s="880">
        <f>+'Primary Input'!E58</f>
        <v>0</v>
      </c>
      <c r="I27" s="873" t="str">
        <f t="shared" si="1"/>
        <v>Pass</v>
      </c>
      <c r="O27" s="824"/>
    </row>
    <row r="28" spans="1:15" ht="15" x14ac:dyDescent="0.25">
      <c r="A28" s="853"/>
      <c r="B28" s="872">
        <v>24</v>
      </c>
      <c r="C28" s="1529" t="s">
        <v>463</v>
      </c>
      <c r="D28" s="1529"/>
      <c r="E28" s="1529"/>
      <c r="F28" s="1529"/>
      <c r="G28" s="1529"/>
      <c r="H28" s="880">
        <f>SUM(H22:H27)</f>
        <v>0</v>
      </c>
      <c r="I28" s="877"/>
      <c r="O28" s="824"/>
    </row>
    <row r="29" spans="1:15" ht="15" x14ac:dyDescent="0.25">
      <c r="A29" s="853"/>
      <c r="B29" s="1108"/>
      <c r="C29" s="1529" t="s">
        <v>1834</v>
      </c>
      <c r="D29" s="1529"/>
      <c r="E29" s="1529"/>
      <c r="F29" s="1529"/>
      <c r="G29" s="1529"/>
      <c r="H29" s="880">
        <f>+'Primary Input'!E62</f>
        <v>0</v>
      </c>
      <c r="I29" s="1109" t="e">
        <f>IF(H29&gt;=H95, "Ok", "Error. Need more HOME units.")</f>
        <v>#DIV/0!</v>
      </c>
      <c r="O29" s="824"/>
    </row>
    <row r="30" spans="1:15" ht="15" x14ac:dyDescent="0.25">
      <c r="A30" s="853"/>
      <c r="B30" s="1108"/>
      <c r="C30" s="1529" t="s">
        <v>1835</v>
      </c>
      <c r="D30" s="1529"/>
      <c r="E30" s="1529"/>
      <c r="F30" s="1529"/>
      <c r="G30" s="1529"/>
      <c r="H30" s="880">
        <f>+'Primary Input'!E63</f>
        <v>0</v>
      </c>
      <c r="I30" s="1109" t="e">
        <f t="shared" ref="I30:I35" si="2">IF(H30&gt;=H96, "Ok", "Error. Need more HOME units.")</f>
        <v>#DIV/0!</v>
      </c>
      <c r="O30" s="824"/>
    </row>
    <row r="31" spans="1:15" ht="15" x14ac:dyDescent="0.25">
      <c r="A31" s="853"/>
      <c r="B31" s="1108"/>
      <c r="C31" s="1529" t="s">
        <v>1836</v>
      </c>
      <c r="D31" s="1529"/>
      <c r="E31" s="1529"/>
      <c r="F31" s="1529"/>
      <c r="G31" s="1529"/>
      <c r="H31" s="880">
        <f>+'Primary Input'!E64</f>
        <v>0</v>
      </c>
      <c r="I31" s="1109" t="e">
        <f t="shared" si="2"/>
        <v>#DIV/0!</v>
      </c>
      <c r="O31" s="824"/>
    </row>
    <row r="32" spans="1:15" ht="15" x14ac:dyDescent="0.25">
      <c r="A32" s="853"/>
      <c r="B32" s="1108"/>
      <c r="C32" s="1529" t="s">
        <v>1837</v>
      </c>
      <c r="D32" s="1529"/>
      <c r="E32" s="1529"/>
      <c r="F32" s="1529"/>
      <c r="G32" s="1529"/>
      <c r="H32" s="880">
        <f>+'Primary Input'!E65</f>
        <v>0</v>
      </c>
      <c r="I32" s="1109" t="e">
        <f t="shared" si="2"/>
        <v>#DIV/0!</v>
      </c>
      <c r="O32" s="824"/>
    </row>
    <row r="33" spans="1:15" ht="15" x14ac:dyDescent="0.25">
      <c r="A33" s="853"/>
      <c r="B33" s="1108"/>
      <c r="C33" s="1529" t="s">
        <v>1838</v>
      </c>
      <c r="D33" s="1529"/>
      <c r="E33" s="1529"/>
      <c r="F33" s="1529"/>
      <c r="G33" s="1529"/>
      <c r="H33" s="880">
        <f>+'Primary Input'!E66</f>
        <v>0</v>
      </c>
      <c r="I33" s="1109" t="e">
        <f t="shared" si="2"/>
        <v>#DIV/0!</v>
      </c>
      <c r="O33" s="824"/>
    </row>
    <row r="34" spans="1:15" ht="15" x14ac:dyDescent="0.25">
      <c r="A34" s="853"/>
      <c r="B34" s="1108"/>
      <c r="C34" s="1529" t="s">
        <v>1839</v>
      </c>
      <c r="D34" s="1529"/>
      <c r="E34" s="1529"/>
      <c r="F34" s="1529"/>
      <c r="G34" s="1529"/>
      <c r="H34" s="880">
        <f>+'Primary Input'!E67</f>
        <v>0</v>
      </c>
      <c r="I34" s="1109" t="e">
        <f t="shared" si="2"/>
        <v>#DIV/0!</v>
      </c>
      <c r="O34" s="824"/>
    </row>
    <row r="35" spans="1:15" ht="15" x14ac:dyDescent="0.25">
      <c r="A35" s="853"/>
      <c r="B35" s="1108"/>
      <c r="C35" s="1529" t="s">
        <v>1840</v>
      </c>
      <c r="D35" s="1529"/>
      <c r="E35" s="1529"/>
      <c r="F35" s="1529"/>
      <c r="G35" s="1529"/>
      <c r="H35" s="880">
        <f>SUM(H29:H34)</f>
        <v>0</v>
      </c>
      <c r="I35" s="1109" t="e">
        <f t="shared" si="2"/>
        <v>#DIV/0!</v>
      </c>
      <c r="O35" s="824"/>
    </row>
    <row r="36" spans="1:15" ht="15" x14ac:dyDescent="0.25">
      <c r="A36" s="853"/>
      <c r="B36" s="1108"/>
      <c r="C36" s="1526"/>
      <c r="D36" s="1527"/>
      <c r="E36" s="1527"/>
      <c r="F36" s="1527"/>
      <c r="G36" s="1528"/>
      <c r="H36" s="880"/>
      <c r="I36" s="1109"/>
      <c r="O36" s="824"/>
    </row>
    <row r="37" spans="1:15" ht="15" x14ac:dyDescent="0.25">
      <c r="A37" s="853"/>
      <c r="B37" s="872"/>
      <c r="C37" s="1623"/>
      <c r="D37" s="1624"/>
      <c r="E37" s="1624"/>
      <c r="F37" s="1624"/>
      <c r="G37" s="1625"/>
      <c r="H37" s="880"/>
      <c r="I37" s="877"/>
    </row>
    <row r="38" spans="1:15" ht="15" x14ac:dyDescent="0.25">
      <c r="A38" s="853"/>
      <c r="B38" s="872"/>
      <c r="C38" s="1526" t="s">
        <v>1723</v>
      </c>
      <c r="D38" s="1527"/>
      <c r="E38" s="1527"/>
      <c r="F38" s="1527"/>
      <c r="G38" s="1528"/>
      <c r="H38" s="1079"/>
      <c r="I38" s="877"/>
    </row>
    <row r="39" spans="1:15" ht="15" x14ac:dyDescent="0.25">
      <c r="A39" s="853"/>
      <c r="B39" s="872"/>
      <c r="C39" s="1526" t="s">
        <v>1724</v>
      </c>
      <c r="D39" s="1527"/>
      <c r="E39" s="1527"/>
      <c r="F39" s="1527"/>
      <c r="G39" s="1528"/>
      <c r="H39" s="1079"/>
      <c r="I39" s="877"/>
    </row>
    <row r="40" spans="1:15" ht="15" x14ac:dyDescent="0.25">
      <c r="A40" s="853"/>
      <c r="B40" s="872"/>
      <c r="C40" s="1526" t="s">
        <v>1725</v>
      </c>
      <c r="D40" s="1527"/>
      <c r="E40" s="1527"/>
      <c r="F40" s="1527"/>
      <c r="G40" s="1528"/>
      <c r="H40" s="1079"/>
      <c r="I40" s="877"/>
    </row>
    <row r="41" spans="1:15" ht="15" x14ac:dyDescent="0.25">
      <c r="A41" s="853"/>
      <c r="B41" s="872"/>
      <c r="C41" s="1526" t="s">
        <v>1726</v>
      </c>
      <c r="D41" s="1527"/>
      <c r="E41" s="1527"/>
      <c r="F41" s="1527"/>
      <c r="G41" s="1528"/>
      <c r="H41" s="1079"/>
      <c r="I41" s="877"/>
    </row>
    <row r="42" spans="1:15" ht="15" x14ac:dyDescent="0.25">
      <c r="A42" s="853"/>
      <c r="B42" s="872"/>
      <c r="C42" s="1526" t="s">
        <v>1727</v>
      </c>
      <c r="D42" s="1527"/>
      <c r="E42" s="1527"/>
      <c r="F42" s="1527"/>
      <c r="G42" s="1528"/>
      <c r="H42" s="1079"/>
      <c r="I42" s="877"/>
    </row>
    <row r="43" spans="1:15" ht="15" x14ac:dyDescent="0.25">
      <c r="A43" s="853"/>
      <c r="B43" s="872"/>
      <c r="C43" s="1526" t="s">
        <v>1728</v>
      </c>
      <c r="D43" s="1527"/>
      <c r="E43" s="1527"/>
      <c r="F43" s="1527"/>
      <c r="G43" s="1528"/>
      <c r="H43" s="1079"/>
      <c r="I43" s="877"/>
    </row>
    <row r="44" spans="1:15" ht="40.5" customHeight="1" x14ac:dyDescent="0.25">
      <c r="A44" s="853"/>
      <c r="B44" s="872"/>
      <c r="C44" s="1626" t="s">
        <v>1729</v>
      </c>
      <c r="D44" s="1627"/>
      <c r="E44" s="1627"/>
      <c r="F44" s="1627"/>
      <c r="G44" s="1628"/>
      <c r="H44" s="1079">
        <f>SUM(H38:H43)</f>
        <v>0</v>
      </c>
      <c r="I44" s="877"/>
    </row>
    <row r="45" spans="1:15" ht="15" x14ac:dyDescent="0.25">
      <c r="A45" s="853"/>
      <c r="B45" s="872">
        <v>25</v>
      </c>
      <c r="C45" s="1529" t="s">
        <v>1221</v>
      </c>
      <c r="D45" s="1529"/>
      <c r="E45" s="1529"/>
      <c r="F45" s="1529"/>
      <c r="G45" s="1529"/>
      <c r="H45" s="881"/>
      <c r="I45" s="873" t="str">
        <f>IF(H45&gt;" ","", "Must Be Filled In")</f>
        <v>Must Be Filled In</v>
      </c>
    </row>
    <row r="46" spans="1:15" ht="15" x14ac:dyDescent="0.25">
      <c r="A46" s="853"/>
      <c r="B46" s="872">
        <v>26</v>
      </c>
      <c r="C46" s="1529" t="s">
        <v>1222</v>
      </c>
      <c r="D46" s="1529"/>
      <c r="E46" s="1529"/>
      <c r="F46" s="1529"/>
      <c r="G46" s="1529"/>
      <c r="H46" s="892">
        <f>+'Rental Income'!T3</f>
        <v>0</v>
      </c>
      <c r="I46" s="873" t="str">
        <f t="shared" ref="I46:I77" si="3">+IF(H46="","Must Be Filled In. If none put $0.00","")</f>
        <v/>
      </c>
    </row>
    <row r="47" spans="1:15" ht="15" x14ac:dyDescent="0.25">
      <c r="A47" s="853"/>
      <c r="B47" s="872">
        <v>27</v>
      </c>
      <c r="C47" s="1529" t="s">
        <v>1223</v>
      </c>
      <c r="D47" s="1529"/>
      <c r="E47" s="1529"/>
      <c r="F47" s="1529"/>
      <c r="G47" s="1529"/>
      <c r="H47" s="876">
        <f>+'Rental Income'!T4</f>
        <v>0</v>
      </c>
      <c r="I47" s="873" t="str">
        <f t="shared" si="3"/>
        <v/>
      </c>
    </row>
    <row r="48" spans="1:15" ht="15" x14ac:dyDescent="0.25">
      <c r="A48" s="853"/>
      <c r="B48" s="872">
        <v>28</v>
      </c>
      <c r="C48" s="1529" t="s">
        <v>1224</v>
      </c>
      <c r="D48" s="1529"/>
      <c r="E48" s="1529"/>
      <c r="F48" s="1529"/>
      <c r="G48" s="1529"/>
      <c r="H48" s="876">
        <f>+'Rental Income'!T5</f>
        <v>0</v>
      </c>
      <c r="I48" s="873" t="str">
        <f t="shared" si="3"/>
        <v/>
      </c>
    </row>
    <row r="49" spans="1:9" ht="15" x14ac:dyDescent="0.25">
      <c r="A49" s="853"/>
      <c r="B49" s="872">
        <v>29</v>
      </c>
      <c r="C49" s="1529" t="s">
        <v>1225</v>
      </c>
      <c r="D49" s="1529"/>
      <c r="E49" s="1529"/>
      <c r="F49" s="1529"/>
      <c r="G49" s="1529"/>
      <c r="H49" s="876">
        <f>+'Rental Income'!T6</f>
        <v>0</v>
      </c>
      <c r="I49" s="873" t="str">
        <f t="shared" si="3"/>
        <v/>
      </c>
    </row>
    <row r="50" spans="1:9" ht="15" x14ac:dyDescent="0.25">
      <c r="A50" s="853"/>
      <c r="B50" s="872">
        <v>30</v>
      </c>
      <c r="C50" s="1529" t="s">
        <v>1226</v>
      </c>
      <c r="D50" s="1529"/>
      <c r="E50" s="1529"/>
      <c r="F50" s="1529"/>
      <c r="G50" s="1529"/>
      <c r="H50" s="876">
        <f>+'Rental Income'!T7</f>
        <v>0</v>
      </c>
      <c r="I50" s="873" t="str">
        <f t="shared" si="3"/>
        <v/>
      </c>
    </row>
    <row r="51" spans="1:9" ht="15" x14ac:dyDescent="0.25">
      <c r="A51" s="853"/>
      <c r="B51" s="872">
        <v>31</v>
      </c>
      <c r="C51" s="1529" t="s">
        <v>1227</v>
      </c>
      <c r="D51" s="1529"/>
      <c r="E51" s="1529"/>
      <c r="F51" s="1529"/>
      <c r="G51" s="1529"/>
      <c r="H51" s="876">
        <f>+'Rental Income'!T8</f>
        <v>0</v>
      </c>
      <c r="I51" s="873" t="str">
        <f t="shared" si="3"/>
        <v/>
      </c>
    </row>
    <row r="52" spans="1:9" ht="15" x14ac:dyDescent="0.25">
      <c r="A52" s="853"/>
      <c r="B52" s="872">
        <v>32</v>
      </c>
      <c r="C52" s="1529" t="s">
        <v>1228</v>
      </c>
      <c r="D52" s="1529"/>
      <c r="E52" s="1529"/>
      <c r="F52" s="1529"/>
      <c r="G52" s="1529"/>
      <c r="H52" s="943"/>
      <c r="I52" s="873" t="str">
        <f t="shared" si="3"/>
        <v>Must Be Filled In. If none put $0.00</v>
      </c>
    </row>
    <row r="53" spans="1:9" ht="15" x14ac:dyDescent="0.25">
      <c r="A53" s="853"/>
      <c r="B53" s="872">
        <v>33</v>
      </c>
      <c r="C53" s="1529" t="s">
        <v>1229</v>
      </c>
      <c r="D53" s="1529"/>
      <c r="E53" s="1529"/>
      <c r="F53" s="1529"/>
      <c r="G53" s="1529"/>
      <c r="H53" s="876">
        <f>+'Rental Income'!U3</f>
        <v>0</v>
      </c>
      <c r="I53" s="873" t="str">
        <f t="shared" si="3"/>
        <v/>
      </c>
    </row>
    <row r="54" spans="1:9" ht="15" x14ac:dyDescent="0.25">
      <c r="A54" s="853"/>
      <c r="B54" s="872">
        <v>34</v>
      </c>
      <c r="C54" s="1529" t="s">
        <v>1230</v>
      </c>
      <c r="D54" s="1529"/>
      <c r="E54" s="1529"/>
      <c r="F54" s="1529"/>
      <c r="G54" s="1529"/>
      <c r="H54" s="876">
        <f>+'Rental Income'!U4</f>
        <v>0</v>
      </c>
      <c r="I54" s="873" t="str">
        <f t="shared" si="3"/>
        <v/>
      </c>
    </row>
    <row r="55" spans="1:9" ht="15" x14ac:dyDescent="0.25">
      <c r="A55" s="853"/>
      <c r="B55" s="872">
        <v>35</v>
      </c>
      <c r="C55" s="1529" t="s">
        <v>1231</v>
      </c>
      <c r="D55" s="1529"/>
      <c r="E55" s="1529"/>
      <c r="F55" s="1529"/>
      <c r="G55" s="1529"/>
      <c r="H55" s="876">
        <f>+'Rental Income'!U5</f>
        <v>0</v>
      </c>
      <c r="I55" s="873" t="str">
        <f t="shared" si="3"/>
        <v/>
      </c>
    </row>
    <row r="56" spans="1:9" ht="15" x14ac:dyDescent="0.25">
      <c r="A56" s="853"/>
      <c r="B56" s="872">
        <v>36</v>
      </c>
      <c r="C56" s="1529" t="s">
        <v>1232</v>
      </c>
      <c r="D56" s="1529"/>
      <c r="E56" s="1529"/>
      <c r="F56" s="1529"/>
      <c r="G56" s="1529"/>
      <c r="H56" s="876">
        <f>+'Rental Income'!U6</f>
        <v>0</v>
      </c>
      <c r="I56" s="873" t="str">
        <f t="shared" si="3"/>
        <v/>
      </c>
    </row>
    <row r="57" spans="1:9" ht="15" x14ac:dyDescent="0.25">
      <c r="A57" s="853"/>
      <c r="B57" s="872">
        <v>37</v>
      </c>
      <c r="C57" s="1529" t="s">
        <v>1233</v>
      </c>
      <c r="D57" s="1529"/>
      <c r="E57" s="1529"/>
      <c r="F57" s="1529"/>
      <c r="G57" s="1529"/>
      <c r="H57" s="876">
        <f>+'Rental Income'!U7</f>
        <v>0</v>
      </c>
      <c r="I57" s="873" t="str">
        <f t="shared" si="3"/>
        <v/>
      </c>
    </row>
    <row r="58" spans="1:9" ht="15" x14ac:dyDescent="0.25">
      <c r="A58" s="853"/>
      <c r="B58" s="872">
        <v>38</v>
      </c>
      <c r="C58" s="1529" t="s">
        <v>1234</v>
      </c>
      <c r="D58" s="1529"/>
      <c r="E58" s="1529"/>
      <c r="F58" s="1529"/>
      <c r="G58" s="1529"/>
      <c r="H58" s="876">
        <f>+'Rental Income'!U8</f>
        <v>0</v>
      </c>
      <c r="I58" s="873" t="str">
        <f t="shared" si="3"/>
        <v/>
      </c>
    </row>
    <row r="59" spans="1:9" ht="15" x14ac:dyDescent="0.25">
      <c r="A59" s="853"/>
      <c r="B59" s="872">
        <v>39</v>
      </c>
      <c r="C59" s="1529" t="s">
        <v>1235</v>
      </c>
      <c r="D59" s="1529"/>
      <c r="E59" s="1529"/>
      <c r="F59" s="1529"/>
      <c r="G59" s="1529"/>
      <c r="H59" s="942"/>
      <c r="I59" s="873" t="str">
        <f t="shared" si="3"/>
        <v>Must Be Filled In. If none put $0.00</v>
      </c>
    </row>
    <row r="60" spans="1:9" ht="15" x14ac:dyDescent="0.25">
      <c r="A60" s="853"/>
      <c r="B60" s="872"/>
      <c r="C60" s="1526" t="s">
        <v>1236</v>
      </c>
      <c r="D60" s="1527"/>
      <c r="E60" s="1527"/>
      <c r="F60" s="1527"/>
      <c r="G60" s="1528"/>
      <c r="H60" s="876">
        <f>+'Rental Income'!D27</f>
        <v>0</v>
      </c>
      <c r="I60" s="873" t="str">
        <f t="shared" si="3"/>
        <v/>
      </c>
    </row>
    <row r="61" spans="1:9" ht="15" x14ac:dyDescent="0.25">
      <c r="A61" s="853"/>
      <c r="B61" s="872"/>
      <c r="C61" s="1526" t="s">
        <v>1237</v>
      </c>
      <c r="D61" s="1527"/>
      <c r="E61" s="1527"/>
      <c r="F61" s="1527"/>
      <c r="G61" s="1528"/>
      <c r="H61" s="876">
        <f>+'Rental Income'!D28</f>
        <v>0</v>
      </c>
      <c r="I61" s="873" t="str">
        <f t="shared" si="3"/>
        <v/>
      </c>
    </row>
    <row r="62" spans="1:9" ht="15" x14ac:dyDescent="0.25">
      <c r="A62" s="853"/>
      <c r="B62" s="872"/>
      <c r="C62" s="1526" t="s">
        <v>1238</v>
      </c>
      <c r="D62" s="1527"/>
      <c r="E62" s="1527"/>
      <c r="F62" s="1527"/>
      <c r="G62" s="1528"/>
      <c r="H62" s="876">
        <f>+'Rental Income'!D29</f>
        <v>0</v>
      </c>
      <c r="I62" s="873" t="str">
        <f t="shared" si="3"/>
        <v/>
      </c>
    </row>
    <row r="63" spans="1:9" ht="15" x14ac:dyDescent="0.25">
      <c r="A63" s="853"/>
      <c r="B63" s="872"/>
      <c r="C63" s="1526" t="s">
        <v>1239</v>
      </c>
      <c r="D63" s="1527"/>
      <c r="E63" s="1527"/>
      <c r="F63" s="1527"/>
      <c r="G63" s="1528"/>
      <c r="H63" s="876">
        <f>+'Rental Income'!D30</f>
        <v>0</v>
      </c>
      <c r="I63" s="873" t="str">
        <f t="shared" si="3"/>
        <v/>
      </c>
    </row>
    <row r="64" spans="1:9" ht="15" x14ac:dyDescent="0.25">
      <c r="A64" s="853"/>
      <c r="B64" s="872"/>
      <c r="C64" s="1526" t="s">
        <v>1240</v>
      </c>
      <c r="D64" s="1527"/>
      <c r="E64" s="1527"/>
      <c r="F64" s="1527"/>
      <c r="G64" s="1528"/>
      <c r="H64" s="876">
        <f>+'Rental Income'!D31</f>
        <v>0</v>
      </c>
      <c r="I64" s="873" t="str">
        <f t="shared" si="3"/>
        <v/>
      </c>
    </row>
    <row r="65" spans="1:9" ht="15" x14ac:dyDescent="0.25">
      <c r="A65" s="853"/>
      <c r="B65" s="872"/>
      <c r="C65" s="1526" t="s">
        <v>1241</v>
      </c>
      <c r="D65" s="1527"/>
      <c r="E65" s="1527"/>
      <c r="F65" s="1527"/>
      <c r="G65" s="1528"/>
      <c r="H65" s="876">
        <f>+'Rental Income'!D32</f>
        <v>0</v>
      </c>
      <c r="I65" s="873" t="str">
        <f t="shared" si="3"/>
        <v/>
      </c>
    </row>
    <row r="66" spans="1:9" ht="15" x14ac:dyDescent="0.25">
      <c r="A66" s="853"/>
      <c r="B66" s="872"/>
      <c r="C66" s="1526" t="s">
        <v>1242</v>
      </c>
      <c r="D66" s="1527"/>
      <c r="E66" s="1527"/>
      <c r="F66" s="1527"/>
      <c r="G66" s="1528"/>
      <c r="H66" s="876">
        <f>+'Rental Income'!F27</f>
        <v>0</v>
      </c>
      <c r="I66" s="873" t="str">
        <f t="shared" si="3"/>
        <v/>
      </c>
    </row>
    <row r="67" spans="1:9" ht="15" x14ac:dyDescent="0.25">
      <c r="A67" s="853"/>
      <c r="B67" s="872"/>
      <c r="C67" s="1526" t="s">
        <v>1243</v>
      </c>
      <c r="D67" s="1527"/>
      <c r="E67" s="1527"/>
      <c r="F67" s="1527"/>
      <c r="G67" s="1528"/>
      <c r="H67" s="876">
        <f>+'Rental Income'!F28</f>
        <v>0</v>
      </c>
      <c r="I67" s="873" t="str">
        <f t="shared" si="3"/>
        <v/>
      </c>
    </row>
    <row r="68" spans="1:9" ht="15" x14ac:dyDescent="0.25">
      <c r="A68" s="853"/>
      <c r="B68" s="872"/>
      <c r="C68" s="1526" t="s">
        <v>1244</v>
      </c>
      <c r="D68" s="1527"/>
      <c r="E68" s="1527"/>
      <c r="F68" s="1527"/>
      <c r="G68" s="1528"/>
      <c r="H68" s="876">
        <f>+'Rental Income'!F29</f>
        <v>0</v>
      </c>
      <c r="I68" s="873" t="str">
        <f t="shared" si="3"/>
        <v/>
      </c>
    </row>
    <row r="69" spans="1:9" ht="15" x14ac:dyDescent="0.25">
      <c r="A69" s="853"/>
      <c r="B69" s="872"/>
      <c r="C69" s="1526" t="s">
        <v>1245</v>
      </c>
      <c r="D69" s="1527"/>
      <c r="E69" s="1527"/>
      <c r="F69" s="1527"/>
      <c r="G69" s="1528"/>
      <c r="H69" s="876">
        <f>+'Rental Income'!F30</f>
        <v>0</v>
      </c>
      <c r="I69" s="873" t="str">
        <f t="shared" si="3"/>
        <v/>
      </c>
    </row>
    <row r="70" spans="1:9" ht="15" x14ac:dyDescent="0.25">
      <c r="A70" s="853"/>
      <c r="B70" s="872"/>
      <c r="C70" s="1526" t="s">
        <v>1246</v>
      </c>
      <c r="D70" s="1527"/>
      <c r="E70" s="1527"/>
      <c r="F70" s="1527"/>
      <c r="G70" s="1528"/>
      <c r="H70" s="876">
        <f>+'Rental Income'!F31</f>
        <v>0</v>
      </c>
      <c r="I70" s="873" t="str">
        <f t="shared" si="3"/>
        <v/>
      </c>
    </row>
    <row r="71" spans="1:9" ht="15" x14ac:dyDescent="0.25">
      <c r="A71" s="853"/>
      <c r="B71" s="872"/>
      <c r="C71" s="1526" t="s">
        <v>1247</v>
      </c>
      <c r="D71" s="1527"/>
      <c r="E71" s="1527"/>
      <c r="F71" s="1527"/>
      <c r="G71" s="1528"/>
      <c r="H71" s="876">
        <f>+'Rental Income'!F32</f>
        <v>0</v>
      </c>
      <c r="I71" s="873" t="str">
        <f t="shared" si="3"/>
        <v/>
      </c>
    </row>
    <row r="72" spans="1:9" ht="15" x14ac:dyDescent="0.25">
      <c r="A72" s="853"/>
      <c r="B72" s="872"/>
      <c r="C72" s="1526" t="s">
        <v>1248</v>
      </c>
      <c r="D72" s="1527"/>
      <c r="E72" s="1527"/>
      <c r="F72" s="1527"/>
      <c r="G72" s="1528"/>
      <c r="H72" s="876">
        <f>+'Rental Income'!G27</f>
        <v>0</v>
      </c>
      <c r="I72" s="873" t="str">
        <f t="shared" si="3"/>
        <v/>
      </c>
    </row>
    <row r="73" spans="1:9" ht="15" x14ac:dyDescent="0.25">
      <c r="A73" s="853"/>
      <c r="B73" s="872"/>
      <c r="C73" s="1526" t="s">
        <v>1249</v>
      </c>
      <c r="D73" s="1527"/>
      <c r="E73" s="1527"/>
      <c r="F73" s="1527"/>
      <c r="G73" s="1528"/>
      <c r="H73" s="876">
        <f>+'Rental Income'!G28</f>
        <v>0</v>
      </c>
      <c r="I73" s="873" t="str">
        <f t="shared" si="3"/>
        <v/>
      </c>
    </row>
    <row r="74" spans="1:9" ht="15" x14ac:dyDescent="0.25">
      <c r="A74" s="853"/>
      <c r="B74" s="872"/>
      <c r="C74" s="1526" t="s">
        <v>1250</v>
      </c>
      <c r="D74" s="1527"/>
      <c r="E74" s="1527"/>
      <c r="F74" s="1527"/>
      <c r="G74" s="1528"/>
      <c r="H74" s="876">
        <f>+'Rental Income'!G29</f>
        <v>0</v>
      </c>
      <c r="I74" s="873" t="str">
        <f t="shared" si="3"/>
        <v/>
      </c>
    </row>
    <row r="75" spans="1:9" ht="15" x14ac:dyDescent="0.25">
      <c r="A75" s="853"/>
      <c r="B75" s="872"/>
      <c r="C75" s="1526" t="s">
        <v>1251</v>
      </c>
      <c r="D75" s="1527"/>
      <c r="E75" s="1527"/>
      <c r="F75" s="1527"/>
      <c r="G75" s="1528"/>
      <c r="H75" s="876">
        <f>+'Rental Income'!G30</f>
        <v>0</v>
      </c>
      <c r="I75" s="873" t="str">
        <f t="shared" si="3"/>
        <v/>
      </c>
    </row>
    <row r="76" spans="1:9" ht="15" x14ac:dyDescent="0.25">
      <c r="A76" s="853"/>
      <c r="B76" s="872"/>
      <c r="C76" s="1526" t="s">
        <v>1252</v>
      </c>
      <c r="D76" s="1527"/>
      <c r="E76" s="1527"/>
      <c r="F76" s="1527"/>
      <c r="G76" s="1528"/>
      <c r="H76" s="876">
        <f>+'Rental Income'!G31</f>
        <v>0</v>
      </c>
      <c r="I76" s="873" t="str">
        <f t="shared" si="3"/>
        <v/>
      </c>
    </row>
    <row r="77" spans="1:9" ht="15" x14ac:dyDescent="0.25">
      <c r="A77" s="853"/>
      <c r="B77" s="872"/>
      <c r="C77" s="1526" t="s">
        <v>1253</v>
      </c>
      <c r="D77" s="1527"/>
      <c r="E77" s="1527"/>
      <c r="F77" s="1527"/>
      <c r="G77" s="1528"/>
      <c r="H77" s="876">
        <f>+'Rental Income'!G32</f>
        <v>0</v>
      </c>
      <c r="I77" s="873" t="str">
        <f t="shared" si="3"/>
        <v/>
      </c>
    </row>
    <row r="78" spans="1:9" ht="15" x14ac:dyDescent="0.25">
      <c r="A78" s="853"/>
      <c r="B78" s="872"/>
      <c r="C78" s="1529" t="s">
        <v>1254</v>
      </c>
      <c r="D78" s="1529"/>
      <c r="E78" s="1529"/>
      <c r="F78" s="1529"/>
      <c r="G78" s="1529"/>
      <c r="H78" s="944">
        <f>+'Rental Income'!D3*H22</f>
        <v>0</v>
      </c>
      <c r="I78" s="873" t="str">
        <f>+IF(H78="","Must Be Filled In. If none put NA",IF(H78&gt;450,"Pass",""))</f>
        <v/>
      </c>
    </row>
    <row r="79" spans="1:9" ht="15" x14ac:dyDescent="0.25">
      <c r="A79" s="853"/>
      <c r="B79" s="872"/>
      <c r="C79" s="1529" t="s">
        <v>1255</v>
      </c>
      <c r="D79" s="1529"/>
      <c r="E79" s="1529"/>
      <c r="F79" s="1529"/>
      <c r="G79" s="1529"/>
      <c r="H79" s="944">
        <f>+'Rental Income'!D4</f>
        <v>0</v>
      </c>
      <c r="I79" s="873" t="str">
        <f>+IF(H79="","Must Be Filled In. If none put NA",IF(H79&gt;650,"Pass",""))</f>
        <v/>
      </c>
    </row>
    <row r="80" spans="1:9" ht="15" x14ac:dyDescent="0.25">
      <c r="A80" s="853"/>
      <c r="B80" s="872"/>
      <c r="C80" s="1529" t="s">
        <v>1256</v>
      </c>
      <c r="D80" s="1529"/>
      <c r="E80" s="1529"/>
      <c r="F80" s="1529"/>
      <c r="G80" s="1529"/>
      <c r="H80" s="944">
        <f>+'Rental Income'!D5</f>
        <v>0</v>
      </c>
      <c r="I80" s="873" t="str">
        <f>+IF(H80="","Must Be Filled In. If none put NA",IF(H80&gt;800,"Pass",""))</f>
        <v/>
      </c>
    </row>
    <row r="81" spans="1:9" ht="15" x14ac:dyDescent="0.25">
      <c r="A81" s="853"/>
      <c r="B81" s="872"/>
      <c r="C81" s="1529" t="s">
        <v>1257</v>
      </c>
      <c r="D81" s="1529"/>
      <c r="E81" s="1529"/>
      <c r="F81" s="1529"/>
      <c r="G81" s="1529"/>
      <c r="H81" s="944">
        <f>+'Rental Income'!D6</f>
        <v>0</v>
      </c>
      <c r="I81" s="873" t="str">
        <f>+IF(H81="","Must Be Filled In. If none put NA",IF(H81&gt;1100,"Pass",""))</f>
        <v/>
      </c>
    </row>
    <row r="82" spans="1:9" ht="15" x14ac:dyDescent="0.25">
      <c r="A82" s="853"/>
      <c r="B82" s="872"/>
      <c r="C82" s="1529" t="s">
        <v>1258</v>
      </c>
      <c r="D82" s="1529"/>
      <c r="E82" s="1529"/>
      <c r="F82" s="1529"/>
      <c r="G82" s="1529"/>
      <c r="H82" s="944">
        <f>+'Rental Income'!D7</f>
        <v>0</v>
      </c>
      <c r="I82" s="873" t="str">
        <f>+IF(H82="","Must Be Filled In. If none put NA",IF(H82&gt;1400,"Pass",""))</f>
        <v/>
      </c>
    </row>
    <row r="83" spans="1:9" ht="15" x14ac:dyDescent="0.25">
      <c r="A83" s="853"/>
      <c r="B83" s="872"/>
      <c r="C83" s="1529" t="s">
        <v>1259</v>
      </c>
      <c r="D83" s="1529"/>
      <c r="E83" s="1529"/>
      <c r="F83" s="1529"/>
      <c r="G83" s="1529"/>
      <c r="H83" s="944">
        <f>+'Rental Income'!D8</f>
        <v>0</v>
      </c>
      <c r="I83" s="873"/>
    </row>
    <row r="84" spans="1:9" ht="15" x14ac:dyDescent="0.25">
      <c r="A84" s="853"/>
      <c r="B84" s="872"/>
      <c r="C84" s="1529" t="s">
        <v>1260</v>
      </c>
      <c r="D84" s="1529"/>
      <c r="E84" s="1529"/>
      <c r="F84" s="1529"/>
      <c r="G84" s="1529"/>
      <c r="H84" s="944">
        <f>SUM(H78:H83)</f>
        <v>0</v>
      </c>
      <c r="I84" s="873"/>
    </row>
    <row r="85" spans="1:9" ht="15" x14ac:dyDescent="0.25">
      <c r="A85" s="853"/>
      <c r="B85" s="872"/>
      <c r="C85" s="1526" t="s">
        <v>1261</v>
      </c>
      <c r="D85" s="1527"/>
      <c r="E85" s="1527"/>
      <c r="F85" s="1527"/>
      <c r="G85" s="1528"/>
      <c r="H85" s="889">
        <f>+'Rental Income'!C3</f>
        <v>0</v>
      </c>
      <c r="I85" s="873" t="str">
        <f>+IF(H85="","Must Be Filled In.",IF(H85&gt;=1,"Pass","Fail"))</f>
        <v>Fail</v>
      </c>
    </row>
    <row r="86" spans="1:9" ht="15" x14ac:dyDescent="0.25">
      <c r="A86" s="853"/>
      <c r="B86" s="872"/>
      <c r="C86" s="1526" t="s">
        <v>1262</v>
      </c>
      <c r="D86" s="1527"/>
      <c r="E86" s="1527"/>
      <c r="F86" s="1527"/>
      <c r="G86" s="1528"/>
      <c r="H86" s="889">
        <f>+'Rental Income'!C4</f>
        <v>0</v>
      </c>
      <c r="I86" s="873" t="str">
        <f t="shared" ref="I86:I87" si="4">+IF(H86="","Must Be Filled In.",IF(H86&gt;=1,"Pass","Fail"))</f>
        <v>Fail</v>
      </c>
    </row>
    <row r="87" spans="1:9" ht="15" x14ac:dyDescent="0.25">
      <c r="A87" s="853"/>
      <c r="B87" s="872"/>
      <c r="C87" s="1526" t="s">
        <v>1263</v>
      </c>
      <c r="D87" s="1527"/>
      <c r="E87" s="1527"/>
      <c r="F87" s="1527"/>
      <c r="G87" s="1528"/>
      <c r="H87" s="889">
        <f>+'Rental Income'!C5</f>
        <v>0</v>
      </c>
      <c r="I87" s="873" t="str">
        <f t="shared" si="4"/>
        <v>Fail</v>
      </c>
    </row>
    <row r="88" spans="1:9" ht="15" x14ac:dyDescent="0.25">
      <c r="A88" s="853"/>
      <c r="B88" s="872"/>
      <c r="C88" s="1526" t="s">
        <v>1264</v>
      </c>
      <c r="D88" s="1527"/>
      <c r="E88" s="1527"/>
      <c r="F88" s="1527"/>
      <c r="G88" s="1528"/>
      <c r="H88" s="889">
        <f>+'Rental Income'!C6</f>
        <v>0</v>
      </c>
      <c r="I88" s="873" t="str">
        <f>+IF(H88="","Must Be Filled In.",IF(H88&gt;=2,"Pass","Fail"))</f>
        <v>Fail</v>
      </c>
    </row>
    <row r="89" spans="1:9" ht="15" x14ac:dyDescent="0.25">
      <c r="A89" s="853"/>
      <c r="B89" s="872"/>
      <c r="C89" s="1526" t="s">
        <v>1265</v>
      </c>
      <c r="D89" s="1527"/>
      <c r="E89" s="1527"/>
      <c r="F89" s="1527"/>
      <c r="G89" s="1528"/>
      <c r="H89" s="889">
        <v>0</v>
      </c>
      <c r="I89" s="873" t="str">
        <f>+IF(H89="","Must Be Filled In.",IF(H89&gt;=2,"Pass","Fail"))</f>
        <v>Fail</v>
      </c>
    </row>
    <row r="90" spans="1:9" ht="15" x14ac:dyDescent="0.25">
      <c r="A90" s="853"/>
      <c r="B90" s="872"/>
      <c r="C90" s="1564" t="s">
        <v>1266</v>
      </c>
      <c r="D90" s="1565"/>
      <c r="E90" s="1565"/>
      <c r="F90" s="1565"/>
      <c r="G90" s="1566"/>
      <c r="H90" s="888">
        <f>+'Rental Income'!C8</f>
        <v>0</v>
      </c>
      <c r="I90" s="873"/>
    </row>
    <row r="91" spans="1:9" ht="15" x14ac:dyDescent="0.25">
      <c r="A91" s="853"/>
      <c r="B91" s="872"/>
      <c r="C91" s="884"/>
      <c r="D91" s="885"/>
      <c r="E91" s="885"/>
      <c r="F91" s="885"/>
      <c r="G91" s="886"/>
      <c r="H91" s="883"/>
      <c r="I91" s="873"/>
    </row>
    <row r="92" spans="1:9" ht="15" x14ac:dyDescent="0.25">
      <c r="A92" s="853"/>
      <c r="B92" s="1612" t="s">
        <v>1267</v>
      </c>
      <c r="C92" s="1613"/>
      <c r="D92" s="1613"/>
      <c r="E92" s="1613"/>
      <c r="F92" s="1613"/>
      <c r="G92" s="1613"/>
      <c r="H92" s="883"/>
      <c r="I92" s="873"/>
    </row>
    <row r="93" spans="1:9" ht="15" x14ac:dyDescent="0.25">
      <c r="A93" s="853"/>
      <c r="B93" s="872">
        <v>1</v>
      </c>
      <c r="C93" s="1529" t="s">
        <v>679</v>
      </c>
      <c r="D93" s="1529"/>
      <c r="E93" s="1529"/>
      <c r="F93" s="1529"/>
      <c r="G93" s="1529"/>
      <c r="H93" s="887" t="e">
        <f>+H15/H14</f>
        <v>#DIV/0!</v>
      </c>
      <c r="I93" s="877"/>
    </row>
    <row r="94" spans="1:9" ht="15" x14ac:dyDescent="0.25">
      <c r="A94" s="853"/>
      <c r="B94" s="872">
        <v>2</v>
      </c>
      <c r="C94" s="1529" t="s">
        <v>1268</v>
      </c>
      <c r="D94" s="1529"/>
      <c r="E94" s="1529"/>
      <c r="F94" s="1529"/>
      <c r="G94" s="1529"/>
      <c r="H94" s="888" t="e">
        <f>+H28*H93</f>
        <v>#DIV/0!</v>
      </c>
      <c r="I94" s="877"/>
    </row>
    <row r="95" spans="1:9" ht="15" x14ac:dyDescent="0.25">
      <c r="A95" s="853"/>
      <c r="B95" s="872">
        <v>3</v>
      </c>
      <c r="C95" s="1529" t="s">
        <v>1690</v>
      </c>
      <c r="D95" s="1529"/>
      <c r="E95" s="1529"/>
      <c r="F95" s="1529"/>
      <c r="G95" s="1529"/>
      <c r="H95" s="889" t="e">
        <f t="shared" ref="H95:H100" si="5">ROUNDUP(H22*$H$93, 0)</f>
        <v>#DIV/0!</v>
      </c>
      <c r="I95" s="877"/>
    </row>
    <row r="96" spans="1:9" ht="15" x14ac:dyDescent="0.25">
      <c r="A96" s="853"/>
      <c r="B96" s="872">
        <v>4</v>
      </c>
      <c r="C96" s="1529" t="s">
        <v>1691</v>
      </c>
      <c r="D96" s="1529"/>
      <c r="E96" s="1529"/>
      <c r="F96" s="1529"/>
      <c r="G96" s="1529"/>
      <c r="H96" s="889" t="e">
        <f t="shared" si="5"/>
        <v>#DIV/0!</v>
      </c>
      <c r="I96" s="877"/>
    </row>
    <row r="97" spans="1:9" ht="15" x14ac:dyDescent="0.25">
      <c r="A97" s="853"/>
      <c r="B97" s="872">
        <v>5</v>
      </c>
      <c r="C97" s="1529" t="s">
        <v>1692</v>
      </c>
      <c r="D97" s="1529"/>
      <c r="E97" s="1529"/>
      <c r="F97" s="1529"/>
      <c r="G97" s="1529"/>
      <c r="H97" s="889" t="e">
        <f t="shared" si="5"/>
        <v>#DIV/0!</v>
      </c>
      <c r="I97" s="877"/>
    </row>
    <row r="98" spans="1:9" ht="15" x14ac:dyDescent="0.25">
      <c r="A98" s="853"/>
      <c r="B98" s="872">
        <v>6</v>
      </c>
      <c r="C98" s="1529" t="s">
        <v>1693</v>
      </c>
      <c r="D98" s="1529"/>
      <c r="E98" s="1529"/>
      <c r="F98" s="1529"/>
      <c r="G98" s="1529"/>
      <c r="H98" s="889" t="e">
        <f t="shared" si="5"/>
        <v>#DIV/0!</v>
      </c>
      <c r="I98" s="877"/>
    </row>
    <row r="99" spans="1:9" ht="15" x14ac:dyDescent="0.25">
      <c r="A99" s="853"/>
      <c r="B99" s="872">
        <v>7</v>
      </c>
      <c r="C99" s="1529" t="s">
        <v>1694</v>
      </c>
      <c r="D99" s="1529"/>
      <c r="E99" s="1529"/>
      <c r="F99" s="1529"/>
      <c r="G99" s="1529"/>
      <c r="H99" s="889" t="e">
        <f t="shared" si="5"/>
        <v>#DIV/0!</v>
      </c>
      <c r="I99" s="877"/>
    </row>
    <row r="100" spans="1:9" ht="15" x14ac:dyDescent="0.25">
      <c r="A100" s="853"/>
      <c r="B100" s="872">
        <v>8</v>
      </c>
      <c r="C100" s="1529" t="s">
        <v>1695</v>
      </c>
      <c r="D100" s="1529"/>
      <c r="E100" s="1529"/>
      <c r="F100" s="1529"/>
      <c r="G100" s="1529"/>
      <c r="H100" s="889" t="e">
        <f t="shared" si="5"/>
        <v>#DIV/0!</v>
      </c>
      <c r="I100" s="877"/>
    </row>
    <row r="101" spans="1:9" ht="15" x14ac:dyDescent="0.25">
      <c r="A101" s="853"/>
      <c r="B101" s="872">
        <v>9</v>
      </c>
      <c r="C101" s="1529" t="s">
        <v>1696</v>
      </c>
      <c r="D101" s="1529"/>
      <c r="E101" s="1529"/>
      <c r="F101" s="1529"/>
      <c r="G101" s="1529"/>
      <c r="H101" s="889" t="e">
        <f>SUM(H95:H100)</f>
        <v>#DIV/0!</v>
      </c>
      <c r="I101" s="877"/>
    </row>
    <row r="102" spans="1:9" ht="15" x14ac:dyDescent="0.25">
      <c r="A102" s="853"/>
      <c r="B102" s="866"/>
      <c r="C102" s="1565" t="s">
        <v>1269</v>
      </c>
      <c r="D102" s="1565"/>
      <c r="E102" s="1565"/>
      <c r="F102" s="1565"/>
      <c r="G102" s="1566"/>
      <c r="H102" s="890" t="e">
        <f>+H15/H18</f>
        <v>#DIV/0!</v>
      </c>
      <c r="I102" s="877"/>
    </row>
    <row r="103" spans="1:9" ht="15" x14ac:dyDescent="0.25">
      <c r="A103" s="853"/>
      <c r="B103" s="872">
        <v>10</v>
      </c>
      <c r="C103" s="1529" t="s">
        <v>1270</v>
      </c>
      <c r="D103" s="1529"/>
      <c r="E103" s="1529"/>
      <c r="F103" s="1529"/>
      <c r="G103" s="1529"/>
      <c r="H103" s="889">
        <f t="shared" ref="H103:H108" si="6">+H78*H22</f>
        <v>0</v>
      </c>
      <c r="I103" s="877"/>
    </row>
    <row r="104" spans="1:9" ht="15" x14ac:dyDescent="0.25">
      <c r="A104" s="853"/>
      <c r="B104" s="872">
        <v>11</v>
      </c>
      <c r="C104" s="1529" t="s">
        <v>1271</v>
      </c>
      <c r="D104" s="1529"/>
      <c r="E104" s="1529"/>
      <c r="F104" s="1529"/>
      <c r="G104" s="1529"/>
      <c r="H104" s="889">
        <f t="shared" si="6"/>
        <v>0</v>
      </c>
      <c r="I104" s="877"/>
    </row>
    <row r="105" spans="1:9" ht="15" x14ac:dyDescent="0.25">
      <c r="A105" s="853"/>
      <c r="B105" s="872">
        <v>12</v>
      </c>
      <c r="C105" s="1529" t="s">
        <v>1272</v>
      </c>
      <c r="D105" s="1529"/>
      <c r="E105" s="1529"/>
      <c r="F105" s="1529"/>
      <c r="G105" s="1529"/>
      <c r="H105" s="889">
        <f t="shared" si="6"/>
        <v>0</v>
      </c>
      <c r="I105" s="877"/>
    </row>
    <row r="106" spans="1:9" ht="15" x14ac:dyDescent="0.25">
      <c r="A106" s="853"/>
      <c r="B106" s="872">
        <v>13</v>
      </c>
      <c r="C106" s="1529" t="s">
        <v>1273</v>
      </c>
      <c r="D106" s="1529"/>
      <c r="E106" s="1529"/>
      <c r="F106" s="1529"/>
      <c r="G106" s="1529"/>
      <c r="H106" s="889">
        <f t="shared" si="6"/>
        <v>0</v>
      </c>
      <c r="I106" s="877"/>
    </row>
    <row r="107" spans="1:9" ht="15" x14ac:dyDescent="0.25">
      <c r="A107" s="853"/>
      <c r="B107" s="872">
        <v>14</v>
      </c>
      <c r="C107" s="1529" t="s">
        <v>1274</v>
      </c>
      <c r="D107" s="1529"/>
      <c r="E107" s="1529"/>
      <c r="F107" s="1529"/>
      <c r="G107" s="1529"/>
      <c r="H107" s="889">
        <f t="shared" si="6"/>
        <v>0</v>
      </c>
      <c r="I107" s="877"/>
    </row>
    <row r="108" spans="1:9" ht="15" x14ac:dyDescent="0.25">
      <c r="A108" s="853"/>
      <c r="B108" s="872">
        <v>15</v>
      </c>
      <c r="C108" s="1529" t="s">
        <v>1275</v>
      </c>
      <c r="D108" s="1529"/>
      <c r="E108" s="1529"/>
      <c r="F108" s="1529"/>
      <c r="G108" s="1529"/>
      <c r="H108" s="889">
        <f t="shared" si="6"/>
        <v>0</v>
      </c>
      <c r="I108" s="877"/>
    </row>
    <row r="109" spans="1:9" ht="15" x14ac:dyDescent="0.25">
      <c r="A109" s="853"/>
      <c r="B109" s="872">
        <v>16</v>
      </c>
      <c r="C109" s="1529" t="s">
        <v>1276</v>
      </c>
      <c r="D109" s="1529"/>
      <c r="E109" s="1529"/>
      <c r="F109" s="1529"/>
      <c r="G109" s="1529"/>
      <c r="H109" s="891">
        <f>SUM(H103:H108)</f>
        <v>0</v>
      </c>
      <c r="I109" s="877"/>
    </row>
    <row r="110" spans="1:9" ht="15" x14ac:dyDescent="0.25">
      <c r="A110" s="853"/>
      <c r="B110" s="872">
        <v>17</v>
      </c>
      <c r="C110" s="1529" t="s">
        <v>1277</v>
      </c>
      <c r="D110" s="1529"/>
      <c r="E110" s="1529"/>
      <c r="F110" s="1529"/>
      <c r="G110" s="1529"/>
      <c r="H110" s="892" t="e">
        <f>+H14/H28</f>
        <v>#DIV/0!</v>
      </c>
      <c r="I110" s="877"/>
    </row>
    <row r="111" spans="1:9" ht="15" x14ac:dyDescent="0.25">
      <c r="A111" s="853"/>
      <c r="B111" s="872">
        <v>18</v>
      </c>
      <c r="C111" s="1529" t="s">
        <v>1278</v>
      </c>
      <c r="D111" s="1529"/>
      <c r="E111" s="1529"/>
      <c r="F111" s="1529"/>
      <c r="G111" s="1529"/>
      <c r="H111" s="892" t="e">
        <f>+H14/H109</f>
        <v>#DIV/0!</v>
      </c>
      <c r="I111" s="877"/>
    </row>
    <row r="112" spans="1:9" ht="15" x14ac:dyDescent="0.25">
      <c r="A112" s="853"/>
      <c r="B112" s="872">
        <v>19</v>
      </c>
      <c r="C112" s="1529" t="s">
        <v>1279</v>
      </c>
      <c r="D112" s="1529"/>
      <c r="E112" s="1529"/>
      <c r="F112" s="1529"/>
      <c r="G112" s="1529"/>
      <c r="H112" s="893" t="e">
        <f>+H78*$H$111</f>
        <v>#DIV/0!</v>
      </c>
      <c r="I112" s="877"/>
    </row>
    <row r="113" spans="1:11" ht="15" x14ac:dyDescent="0.25">
      <c r="A113" s="853"/>
      <c r="B113" s="872">
        <v>20</v>
      </c>
      <c r="C113" s="1529" t="s">
        <v>1280</v>
      </c>
      <c r="D113" s="1529"/>
      <c r="E113" s="1529"/>
      <c r="F113" s="1529"/>
      <c r="G113" s="1529"/>
      <c r="H113" s="876" t="e">
        <f t="shared" ref="H113:H117" si="7">+H79*$H$111</f>
        <v>#DIV/0!</v>
      </c>
      <c r="I113" s="877"/>
    </row>
    <row r="114" spans="1:11" ht="15" x14ac:dyDescent="0.25">
      <c r="A114" s="853"/>
      <c r="B114" s="872">
        <v>21</v>
      </c>
      <c r="C114" s="1529" t="s">
        <v>1281</v>
      </c>
      <c r="D114" s="1529"/>
      <c r="E114" s="1529"/>
      <c r="F114" s="1529"/>
      <c r="G114" s="1529"/>
      <c r="H114" s="876" t="e">
        <f t="shared" si="7"/>
        <v>#DIV/0!</v>
      </c>
      <c r="I114" s="894"/>
    </row>
    <row r="115" spans="1:11" ht="15" x14ac:dyDescent="0.25">
      <c r="A115" s="853"/>
      <c r="B115" s="872">
        <v>22</v>
      </c>
      <c r="C115" s="1529" t="s">
        <v>1282</v>
      </c>
      <c r="D115" s="1529"/>
      <c r="E115" s="1529"/>
      <c r="F115" s="1529"/>
      <c r="G115" s="1529"/>
      <c r="H115" s="876" t="e">
        <f t="shared" si="7"/>
        <v>#DIV/0!</v>
      </c>
      <c r="I115" s="877"/>
    </row>
    <row r="116" spans="1:11" ht="15" x14ac:dyDescent="0.25">
      <c r="A116" s="853"/>
      <c r="B116" s="872">
        <v>23</v>
      </c>
      <c r="C116" s="1529" t="s">
        <v>1283</v>
      </c>
      <c r="D116" s="1529"/>
      <c r="E116" s="1529"/>
      <c r="F116" s="1529"/>
      <c r="G116" s="1529"/>
      <c r="H116" s="876" t="e">
        <f t="shared" si="7"/>
        <v>#DIV/0!</v>
      </c>
      <c r="I116" s="877"/>
    </row>
    <row r="117" spans="1:11" ht="15" x14ac:dyDescent="0.25">
      <c r="A117" s="853"/>
      <c r="B117" s="872">
        <v>24</v>
      </c>
      <c r="C117" s="1529" t="s">
        <v>1284</v>
      </c>
      <c r="D117" s="1529"/>
      <c r="E117" s="1529"/>
      <c r="F117" s="1529"/>
      <c r="G117" s="1529"/>
      <c r="H117" s="893" t="e">
        <f t="shared" si="7"/>
        <v>#DIV/0!</v>
      </c>
      <c r="I117" s="877"/>
    </row>
    <row r="118" spans="1:11" ht="15" x14ac:dyDescent="0.25">
      <c r="A118" s="853"/>
      <c r="B118" s="1108"/>
      <c r="C118" s="1141"/>
      <c r="D118" s="1141"/>
      <c r="E118" s="1141"/>
      <c r="F118" s="1141"/>
      <c r="G118" s="1141"/>
      <c r="H118" s="893"/>
      <c r="I118" s="1109"/>
    </row>
    <row r="119" spans="1:11" ht="15" x14ac:dyDescent="0.25">
      <c r="A119" s="853"/>
      <c r="B119" s="1108"/>
      <c r="C119" s="1529" t="s">
        <v>1847</v>
      </c>
      <c r="D119" s="1529"/>
      <c r="E119" s="1529"/>
      <c r="F119" s="1529"/>
      <c r="G119" s="1529"/>
      <c r="H119" s="876" t="e">
        <f>+H112*H22</f>
        <v>#DIV/0!</v>
      </c>
      <c r="I119" s="1109"/>
    </row>
    <row r="120" spans="1:11" ht="15" x14ac:dyDescent="0.25">
      <c r="A120" s="853"/>
      <c r="B120" s="1108"/>
      <c r="C120" s="1529" t="s">
        <v>1848</v>
      </c>
      <c r="D120" s="1529"/>
      <c r="E120" s="1529"/>
      <c r="F120" s="1529"/>
      <c r="G120" s="1529"/>
      <c r="H120" s="876" t="e">
        <f t="shared" ref="H120:H124" si="8">+H113*H23</f>
        <v>#DIV/0!</v>
      </c>
      <c r="I120" s="1109"/>
    </row>
    <row r="121" spans="1:11" ht="15" x14ac:dyDescent="0.25">
      <c r="A121" s="853"/>
      <c r="B121" s="1108"/>
      <c r="C121" s="1529" t="s">
        <v>1849</v>
      </c>
      <c r="D121" s="1529"/>
      <c r="E121" s="1529"/>
      <c r="F121" s="1529"/>
      <c r="G121" s="1529"/>
      <c r="H121" s="876" t="e">
        <f t="shared" si="8"/>
        <v>#DIV/0!</v>
      </c>
      <c r="I121" s="1109"/>
    </row>
    <row r="122" spans="1:11" ht="15" x14ac:dyDescent="0.25">
      <c r="A122" s="853"/>
      <c r="B122" s="1108"/>
      <c r="C122" s="1529" t="s">
        <v>1850</v>
      </c>
      <c r="D122" s="1529"/>
      <c r="E122" s="1529"/>
      <c r="F122" s="1529"/>
      <c r="G122" s="1529"/>
      <c r="H122" s="876" t="e">
        <f t="shared" si="8"/>
        <v>#DIV/0!</v>
      </c>
      <c r="I122" s="1109"/>
    </row>
    <row r="123" spans="1:11" ht="15" x14ac:dyDescent="0.25">
      <c r="A123" s="853"/>
      <c r="B123" s="1108"/>
      <c r="C123" s="1529" t="s">
        <v>1851</v>
      </c>
      <c r="D123" s="1529"/>
      <c r="E123" s="1529"/>
      <c r="F123" s="1529"/>
      <c r="G123" s="1529"/>
      <c r="H123" s="876" t="e">
        <f t="shared" si="8"/>
        <v>#DIV/0!</v>
      </c>
      <c r="I123" s="1109"/>
    </row>
    <row r="124" spans="1:11" ht="15" x14ac:dyDescent="0.25">
      <c r="A124" s="853"/>
      <c r="B124" s="1108"/>
      <c r="C124" s="1529" t="s">
        <v>1852</v>
      </c>
      <c r="D124" s="1529"/>
      <c r="E124" s="1529"/>
      <c r="F124" s="1529"/>
      <c r="G124" s="1529"/>
      <c r="H124" s="876" t="e">
        <f t="shared" si="8"/>
        <v>#DIV/0!</v>
      </c>
      <c r="I124" s="1109"/>
    </row>
    <row r="125" spans="1:11" ht="15" x14ac:dyDescent="0.25">
      <c r="A125" s="853"/>
      <c r="B125" s="1108"/>
      <c r="C125" s="1526" t="s">
        <v>1853</v>
      </c>
      <c r="D125" s="1527"/>
      <c r="E125" s="1527"/>
      <c r="F125" s="1527"/>
      <c r="G125" s="1528"/>
      <c r="H125" s="876" t="e">
        <f>SUM(H119:H124)</f>
        <v>#DIV/0!</v>
      </c>
      <c r="I125" s="1109"/>
    </row>
    <row r="126" spans="1:11" ht="15" x14ac:dyDescent="0.25">
      <c r="A126" s="853"/>
      <c r="B126" s="1108"/>
      <c r="C126" s="1526"/>
      <c r="D126" s="1527"/>
      <c r="E126" s="1527"/>
      <c r="F126" s="1527"/>
      <c r="G126" s="1528"/>
      <c r="H126" s="893"/>
      <c r="I126" s="1109"/>
    </row>
    <row r="127" spans="1:11" ht="15" x14ac:dyDescent="0.25">
      <c r="A127" s="853"/>
      <c r="B127" s="872">
        <v>25</v>
      </c>
      <c r="C127" s="1529" t="s">
        <v>1861</v>
      </c>
      <c r="D127" s="1529"/>
      <c r="E127" s="1529"/>
      <c r="F127" s="1529"/>
      <c r="G127" s="1529"/>
      <c r="H127" s="892" t="e">
        <f t="shared" ref="H127:H132" si="9">(+H112*H22)*$H$102</f>
        <v>#DIV/0!</v>
      </c>
      <c r="I127" s="877"/>
    </row>
    <row r="128" spans="1:11" ht="15" x14ac:dyDescent="0.25">
      <c r="A128" s="853"/>
      <c r="B128" s="872">
        <v>26</v>
      </c>
      <c r="C128" s="1529" t="s">
        <v>1862</v>
      </c>
      <c r="D128" s="1529"/>
      <c r="E128" s="1529"/>
      <c r="F128" s="1529"/>
      <c r="G128" s="1529"/>
      <c r="H128" s="892" t="e">
        <f>(+H113*H23)*$H$102</f>
        <v>#DIV/0!</v>
      </c>
      <c r="I128" s="877"/>
      <c r="K128" s="1162"/>
    </row>
    <row r="129" spans="1:9" ht="15" x14ac:dyDescent="0.25">
      <c r="A129" s="853"/>
      <c r="B129" s="872">
        <v>27</v>
      </c>
      <c r="C129" s="1529" t="s">
        <v>1863</v>
      </c>
      <c r="D129" s="1529"/>
      <c r="E129" s="1529"/>
      <c r="F129" s="1529"/>
      <c r="G129" s="1529"/>
      <c r="H129" s="892" t="e">
        <f t="shared" si="9"/>
        <v>#DIV/0!</v>
      </c>
      <c r="I129" s="877"/>
    </row>
    <row r="130" spans="1:9" ht="15" x14ac:dyDescent="0.25">
      <c r="A130" s="853"/>
      <c r="B130" s="872">
        <v>28</v>
      </c>
      <c r="C130" s="1529" t="s">
        <v>1864</v>
      </c>
      <c r="D130" s="1529"/>
      <c r="E130" s="1529"/>
      <c r="F130" s="1529"/>
      <c r="G130" s="1529"/>
      <c r="H130" s="892" t="e">
        <f t="shared" si="9"/>
        <v>#DIV/0!</v>
      </c>
      <c r="I130" s="877"/>
    </row>
    <row r="131" spans="1:9" ht="15" x14ac:dyDescent="0.25">
      <c r="A131" s="853"/>
      <c r="B131" s="872">
        <v>29</v>
      </c>
      <c r="C131" s="1529" t="s">
        <v>1865</v>
      </c>
      <c r="D131" s="1529"/>
      <c r="E131" s="1529"/>
      <c r="F131" s="1529"/>
      <c r="G131" s="1529"/>
      <c r="H131" s="892" t="e">
        <f t="shared" si="9"/>
        <v>#DIV/0!</v>
      </c>
      <c r="I131" s="877"/>
    </row>
    <row r="132" spans="1:9" ht="15" x14ac:dyDescent="0.25">
      <c r="A132" s="853"/>
      <c r="B132" s="872">
        <v>30</v>
      </c>
      <c r="C132" s="1529" t="s">
        <v>1866</v>
      </c>
      <c r="D132" s="1529"/>
      <c r="E132" s="1529"/>
      <c r="F132" s="1529"/>
      <c r="G132" s="1529"/>
      <c r="H132" s="892" t="e">
        <f t="shared" si="9"/>
        <v>#DIV/0!</v>
      </c>
      <c r="I132" s="877"/>
    </row>
    <row r="133" spans="1:9" ht="15" x14ac:dyDescent="0.25">
      <c r="A133" s="853"/>
      <c r="B133" s="872">
        <v>31</v>
      </c>
      <c r="C133" s="1526" t="s">
        <v>1868</v>
      </c>
      <c r="D133" s="1527"/>
      <c r="E133" s="1527"/>
      <c r="F133" s="1527"/>
      <c r="G133" s="1528"/>
      <c r="H133" s="892" t="e">
        <f>SUM(H127:H132)</f>
        <v>#DIV/0!</v>
      </c>
      <c r="I133" s="1196"/>
    </row>
    <row r="134" spans="1:9" ht="15" x14ac:dyDescent="0.25">
      <c r="A134" s="853"/>
      <c r="B134" s="872">
        <v>32</v>
      </c>
      <c r="C134" s="1526" t="s">
        <v>1867</v>
      </c>
      <c r="D134" s="1527"/>
      <c r="E134" s="1527"/>
      <c r="F134" s="1527"/>
      <c r="G134" s="1528"/>
      <c r="H134" s="892">
        <f>+H15</f>
        <v>0</v>
      </c>
      <c r="I134" s="877"/>
    </row>
    <row r="135" spans="1:9" ht="15" x14ac:dyDescent="0.25">
      <c r="A135" s="853"/>
      <c r="B135" s="1108"/>
      <c r="C135" s="1155"/>
      <c r="D135" s="1156"/>
      <c r="E135" s="1156"/>
      <c r="F135" s="1156"/>
      <c r="G135" s="1157"/>
      <c r="H135" s="892"/>
      <c r="I135" s="1109"/>
    </row>
    <row r="136" spans="1:9" ht="15" x14ac:dyDescent="0.25">
      <c r="A136" s="853"/>
      <c r="B136" s="872"/>
      <c r="C136" s="1526" t="s">
        <v>1705</v>
      </c>
      <c r="D136" s="1527"/>
      <c r="E136" s="1527"/>
      <c r="F136" s="1527"/>
      <c r="G136" s="1528"/>
      <c r="H136" s="1079" t="e">
        <f t="shared" ref="H136:H141" si="10">ROUNDUP(IF(H112,H127/H112, 0),0)</f>
        <v>#DIV/0!</v>
      </c>
      <c r="I136" s="877"/>
    </row>
    <row r="137" spans="1:9" ht="15" x14ac:dyDescent="0.25">
      <c r="A137" s="853"/>
      <c r="B137" s="872"/>
      <c r="C137" s="1526" t="s">
        <v>1706</v>
      </c>
      <c r="D137" s="1527"/>
      <c r="E137" s="1527"/>
      <c r="F137" s="1527"/>
      <c r="G137" s="1528"/>
      <c r="H137" s="1079" t="e">
        <f t="shared" si="10"/>
        <v>#DIV/0!</v>
      </c>
      <c r="I137" s="877"/>
    </row>
    <row r="138" spans="1:9" ht="15" x14ac:dyDescent="0.25">
      <c r="A138" s="853"/>
      <c r="B138" s="872"/>
      <c r="C138" s="1526" t="s">
        <v>1707</v>
      </c>
      <c r="D138" s="1527"/>
      <c r="E138" s="1527"/>
      <c r="F138" s="1527"/>
      <c r="G138" s="1528"/>
      <c r="H138" s="1079" t="e">
        <f t="shared" si="10"/>
        <v>#DIV/0!</v>
      </c>
      <c r="I138" s="877"/>
    </row>
    <row r="139" spans="1:9" ht="15" x14ac:dyDescent="0.25">
      <c r="A139" s="853"/>
      <c r="B139" s="872"/>
      <c r="C139" s="1526" t="s">
        <v>1708</v>
      </c>
      <c r="D139" s="1527"/>
      <c r="E139" s="1527"/>
      <c r="F139" s="1527"/>
      <c r="G139" s="1528"/>
      <c r="H139" s="1079" t="e">
        <f t="shared" si="10"/>
        <v>#DIV/0!</v>
      </c>
      <c r="I139" s="877"/>
    </row>
    <row r="140" spans="1:9" ht="15" x14ac:dyDescent="0.25">
      <c r="A140" s="853"/>
      <c r="B140" s="872"/>
      <c r="C140" s="1526" t="s">
        <v>1709</v>
      </c>
      <c r="D140" s="1527"/>
      <c r="E140" s="1527"/>
      <c r="F140" s="1527"/>
      <c r="G140" s="1528"/>
      <c r="H140" s="1079" t="e">
        <f t="shared" si="10"/>
        <v>#DIV/0!</v>
      </c>
      <c r="I140" s="877"/>
    </row>
    <row r="141" spans="1:9" ht="15" x14ac:dyDescent="0.25">
      <c r="A141" s="853"/>
      <c r="B141" s="872"/>
      <c r="C141" s="1526" t="s">
        <v>1710</v>
      </c>
      <c r="D141" s="1527"/>
      <c r="E141" s="1527"/>
      <c r="F141" s="1527"/>
      <c r="G141" s="1528"/>
      <c r="H141" s="1079" t="e">
        <f t="shared" si="10"/>
        <v>#DIV/0!</v>
      </c>
      <c r="I141" s="877"/>
    </row>
    <row r="142" spans="1:9" ht="15" x14ac:dyDescent="0.25">
      <c r="A142" s="853"/>
      <c r="B142" s="1108"/>
      <c r="C142" s="1526" t="s">
        <v>1814</v>
      </c>
      <c r="D142" s="1527"/>
      <c r="E142" s="1527"/>
      <c r="F142" s="1527"/>
      <c r="G142" s="1528"/>
      <c r="H142" s="1079" t="e">
        <f>SUM(H136:H141)</f>
        <v>#DIV/0!</v>
      </c>
      <c r="I142" s="1180"/>
    </row>
    <row r="143" spans="1:9" ht="15" x14ac:dyDescent="0.25">
      <c r="A143" s="853"/>
      <c r="B143" s="1108"/>
      <c r="C143" s="1155"/>
      <c r="D143" s="1156"/>
      <c r="E143" s="1156"/>
      <c r="F143" s="1156"/>
      <c r="G143" s="1157"/>
      <c r="H143" s="1079"/>
      <c r="I143" s="1109"/>
    </row>
    <row r="144" spans="1:9" ht="15" x14ac:dyDescent="0.2">
      <c r="A144" s="895"/>
      <c r="B144" s="872">
        <v>33</v>
      </c>
      <c r="C144" s="1531" t="s">
        <v>1817</v>
      </c>
      <c r="D144" s="1531"/>
      <c r="E144" s="1531"/>
      <c r="F144" s="1531"/>
      <c r="G144" s="1531"/>
      <c r="H144" s="892">
        <f>+Lists!Q76</f>
        <v>0</v>
      </c>
      <c r="I144" s="1611">
        <v>0</v>
      </c>
    </row>
    <row r="145" spans="1:9" ht="15" x14ac:dyDescent="0.25">
      <c r="A145" s="853"/>
      <c r="B145" s="872">
        <v>34</v>
      </c>
      <c r="C145" s="1529" t="s">
        <v>1818</v>
      </c>
      <c r="D145" s="1529"/>
      <c r="E145" s="1529"/>
      <c r="F145" s="1529"/>
      <c r="G145" s="1529"/>
      <c r="H145" s="892">
        <f>+Lists!R76</f>
        <v>0</v>
      </c>
      <c r="I145" s="1611"/>
    </row>
    <row r="146" spans="1:9" ht="15" x14ac:dyDescent="0.25">
      <c r="A146" s="853"/>
      <c r="B146" s="872">
        <v>35</v>
      </c>
      <c r="C146" s="1529" t="s">
        <v>1819</v>
      </c>
      <c r="D146" s="1529"/>
      <c r="E146" s="1529"/>
      <c r="F146" s="1529"/>
      <c r="G146" s="1529"/>
      <c r="H146" s="892">
        <f>+Lists!S76</f>
        <v>0</v>
      </c>
      <c r="I146" s="1611"/>
    </row>
    <row r="147" spans="1:9" ht="15" x14ac:dyDescent="0.25">
      <c r="A147" s="853"/>
      <c r="B147" s="872">
        <v>36</v>
      </c>
      <c r="C147" s="1529" t="s">
        <v>1820</v>
      </c>
      <c r="D147" s="1529"/>
      <c r="E147" s="1529"/>
      <c r="F147" s="1529"/>
      <c r="G147" s="1529"/>
      <c r="H147" s="892">
        <f>+Lists!T76</f>
        <v>0</v>
      </c>
      <c r="I147" s="1611"/>
    </row>
    <row r="148" spans="1:9" ht="15" x14ac:dyDescent="0.25">
      <c r="A148" s="853"/>
      <c r="B148" s="872">
        <v>37</v>
      </c>
      <c r="C148" s="1529" t="s">
        <v>1821</v>
      </c>
      <c r="D148" s="1529"/>
      <c r="E148" s="1529"/>
      <c r="F148" s="1529"/>
      <c r="G148" s="1529"/>
      <c r="H148" s="892">
        <f>+Lists!U76</f>
        <v>0</v>
      </c>
      <c r="I148" s="1611"/>
    </row>
    <row r="149" spans="1:9" ht="15" x14ac:dyDescent="0.25">
      <c r="A149" s="853"/>
      <c r="B149" s="872">
        <v>38</v>
      </c>
      <c r="C149" s="1529" t="s">
        <v>1822</v>
      </c>
      <c r="D149" s="1529"/>
      <c r="E149" s="1529"/>
      <c r="F149" s="1529"/>
      <c r="G149" s="1529"/>
      <c r="H149" s="892">
        <f>+Lists!U76</f>
        <v>0</v>
      </c>
      <c r="I149" s="1611"/>
    </row>
    <row r="150" spans="1:9" ht="15" x14ac:dyDescent="0.25">
      <c r="A150" s="853"/>
      <c r="B150" s="1108"/>
      <c r="C150" s="1158"/>
      <c r="D150" s="1158"/>
      <c r="E150" s="1158"/>
      <c r="F150" s="1158"/>
      <c r="G150" s="1158"/>
      <c r="H150" s="892"/>
      <c r="I150" s="1169"/>
    </row>
    <row r="151" spans="1:9" ht="15" x14ac:dyDescent="0.25">
      <c r="A151" s="853"/>
      <c r="B151" s="1321"/>
      <c r="C151" s="1529" t="s">
        <v>1948</v>
      </c>
      <c r="D151" s="1529"/>
      <c r="E151" s="1529"/>
      <c r="F151" s="1529"/>
      <c r="G151" s="1529"/>
      <c r="H151" s="892">
        <f>+H29*H144</f>
        <v>0</v>
      </c>
      <c r="I151" s="1169"/>
    </row>
    <row r="152" spans="1:9" ht="15" x14ac:dyDescent="0.25">
      <c r="A152" s="853"/>
      <c r="B152" s="1321"/>
      <c r="C152" s="1529" t="s">
        <v>1949</v>
      </c>
      <c r="D152" s="1529"/>
      <c r="E152" s="1529"/>
      <c r="F152" s="1529"/>
      <c r="G152" s="1529"/>
      <c r="H152" s="892">
        <f t="shared" ref="H152:H156" si="11">+H30*H145</f>
        <v>0</v>
      </c>
      <c r="I152" s="1169"/>
    </row>
    <row r="153" spans="1:9" ht="15" x14ac:dyDescent="0.25">
      <c r="A153" s="853"/>
      <c r="B153" s="1321"/>
      <c r="C153" s="1529" t="s">
        <v>1950</v>
      </c>
      <c r="D153" s="1529"/>
      <c r="E153" s="1529"/>
      <c r="F153" s="1529"/>
      <c r="G153" s="1529"/>
      <c r="H153" s="892">
        <f t="shared" si="11"/>
        <v>0</v>
      </c>
      <c r="I153" s="1169"/>
    </row>
    <row r="154" spans="1:9" ht="15" x14ac:dyDescent="0.25">
      <c r="A154" s="853"/>
      <c r="B154" s="1321"/>
      <c r="C154" s="1529" t="s">
        <v>1951</v>
      </c>
      <c r="D154" s="1529"/>
      <c r="E154" s="1529"/>
      <c r="F154" s="1529"/>
      <c r="G154" s="1529"/>
      <c r="H154" s="892">
        <f t="shared" si="11"/>
        <v>0</v>
      </c>
      <c r="I154" s="1169"/>
    </row>
    <row r="155" spans="1:9" ht="15" x14ac:dyDescent="0.25">
      <c r="A155" s="853"/>
      <c r="B155" s="1321"/>
      <c r="C155" s="1529" t="s">
        <v>1952</v>
      </c>
      <c r="D155" s="1529"/>
      <c r="E155" s="1529"/>
      <c r="F155" s="1529"/>
      <c r="G155" s="1529"/>
      <c r="H155" s="892">
        <f t="shared" si="11"/>
        <v>0</v>
      </c>
      <c r="I155" s="1169"/>
    </row>
    <row r="156" spans="1:9" ht="15" x14ac:dyDescent="0.25">
      <c r="A156" s="853"/>
      <c r="B156" s="1321"/>
      <c r="C156" s="1529" t="s">
        <v>1953</v>
      </c>
      <c r="D156" s="1529"/>
      <c r="E156" s="1529"/>
      <c r="F156" s="1529"/>
      <c r="G156" s="1529"/>
      <c r="H156" s="892">
        <f t="shared" si="11"/>
        <v>0</v>
      </c>
      <c r="I156" s="1169"/>
    </row>
    <row r="157" spans="1:9" ht="15" x14ac:dyDescent="0.25">
      <c r="A157" s="853"/>
      <c r="B157" s="1321"/>
      <c r="C157" s="1529" t="s">
        <v>1954</v>
      </c>
      <c r="D157" s="1529"/>
      <c r="E157" s="1529"/>
      <c r="F157" s="1529"/>
      <c r="G157" s="1529"/>
      <c r="H157" s="892">
        <f>SUM(H151:H156)</f>
        <v>0</v>
      </c>
      <c r="I157" s="1169"/>
    </row>
    <row r="158" spans="1:9" ht="15" x14ac:dyDescent="0.25">
      <c r="A158" s="853"/>
      <c r="B158" s="1321"/>
      <c r="C158" s="1209"/>
      <c r="D158" s="1209"/>
      <c r="E158" s="1209"/>
      <c r="F158" s="1209"/>
      <c r="G158" s="1209"/>
      <c r="H158" s="892"/>
      <c r="I158" s="1169"/>
    </row>
    <row r="159" spans="1:9" ht="15" x14ac:dyDescent="0.25">
      <c r="A159" s="853"/>
      <c r="B159" s="872">
        <v>39</v>
      </c>
      <c r="C159" s="1529" t="s">
        <v>1285</v>
      </c>
      <c r="D159" s="1529"/>
      <c r="E159" s="1529"/>
      <c r="F159" s="1529"/>
      <c r="G159" s="1529"/>
      <c r="H159" s="876" t="e">
        <f t="shared" ref="H159:H164" si="12">+H144*H95</f>
        <v>#DIV/0!</v>
      </c>
      <c r="I159" s="877"/>
    </row>
    <row r="160" spans="1:9" ht="15" x14ac:dyDescent="0.25">
      <c r="A160" s="853"/>
      <c r="B160" s="872">
        <v>40</v>
      </c>
      <c r="C160" s="1529" t="s">
        <v>1286</v>
      </c>
      <c r="D160" s="1529"/>
      <c r="E160" s="1529"/>
      <c r="F160" s="1529"/>
      <c r="G160" s="1529"/>
      <c r="H160" s="876" t="e">
        <f t="shared" si="12"/>
        <v>#DIV/0!</v>
      </c>
      <c r="I160" s="877"/>
    </row>
    <row r="161" spans="1:9" ht="15" x14ac:dyDescent="0.25">
      <c r="A161" s="853"/>
      <c r="B161" s="872">
        <v>41</v>
      </c>
      <c r="C161" s="1529" t="s">
        <v>1287</v>
      </c>
      <c r="D161" s="1529"/>
      <c r="E161" s="1529"/>
      <c r="F161" s="1529"/>
      <c r="G161" s="1529"/>
      <c r="H161" s="876" t="e">
        <f t="shared" si="12"/>
        <v>#DIV/0!</v>
      </c>
      <c r="I161" s="877"/>
    </row>
    <row r="162" spans="1:9" ht="15" x14ac:dyDescent="0.25">
      <c r="A162" s="853"/>
      <c r="B162" s="872">
        <v>42</v>
      </c>
      <c r="C162" s="1529" t="s">
        <v>1288</v>
      </c>
      <c r="D162" s="1529"/>
      <c r="E162" s="1529"/>
      <c r="F162" s="1529"/>
      <c r="G162" s="1529"/>
      <c r="H162" s="876" t="e">
        <f t="shared" si="12"/>
        <v>#DIV/0!</v>
      </c>
      <c r="I162" s="877"/>
    </row>
    <row r="163" spans="1:9" ht="15" x14ac:dyDescent="0.25">
      <c r="A163" s="853"/>
      <c r="B163" s="872">
        <v>43</v>
      </c>
      <c r="C163" s="1529" t="s">
        <v>1289</v>
      </c>
      <c r="D163" s="1529"/>
      <c r="E163" s="1529"/>
      <c r="F163" s="1529"/>
      <c r="G163" s="1529"/>
      <c r="H163" s="876" t="e">
        <f t="shared" si="12"/>
        <v>#DIV/0!</v>
      </c>
      <c r="I163" s="877"/>
    </row>
    <row r="164" spans="1:9" ht="15" x14ac:dyDescent="0.25">
      <c r="A164" s="853"/>
      <c r="B164" s="872">
        <v>44</v>
      </c>
      <c r="C164" s="1529" t="s">
        <v>1290</v>
      </c>
      <c r="D164" s="1529"/>
      <c r="E164" s="1529"/>
      <c r="F164" s="1529"/>
      <c r="G164" s="1529"/>
      <c r="H164" s="876" t="e">
        <f t="shared" si="12"/>
        <v>#DIV/0!</v>
      </c>
      <c r="I164" s="877"/>
    </row>
    <row r="165" spans="1:9" ht="15" x14ac:dyDescent="0.25">
      <c r="A165" s="853"/>
      <c r="B165" s="872">
        <v>45</v>
      </c>
      <c r="C165" s="1529" t="s">
        <v>1854</v>
      </c>
      <c r="D165" s="1529"/>
      <c r="E165" s="1529"/>
      <c r="F165" s="1529"/>
      <c r="G165" s="1529"/>
      <c r="H165" s="876" t="e">
        <f>SUM(H159:H164)</f>
        <v>#DIV/0!</v>
      </c>
      <c r="I165" s="877"/>
    </row>
    <row r="166" spans="1:9" ht="15" x14ac:dyDescent="0.25">
      <c r="A166" s="853"/>
      <c r="B166" s="1108"/>
      <c r="C166" s="1526"/>
      <c r="D166" s="1527"/>
      <c r="E166" s="1527"/>
      <c r="F166" s="1527"/>
      <c r="G166" s="1528"/>
      <c r="H166" s="876"/>
      <c r="I166" s="1109"/>
    </row>
    <row r="167" spans="1:9" ht="15" x14ac:dyDescent="0.25">
      <c r="A167" s="853"/>
      <c r="B167" s="1321"/>
      <c r="C167" s="1526" t="s">
        <v>1947</v>
      </c>
      <c r="D167" s="1527"/>
      <c r="E167" s="1527"/>
      <c r="F167" s="1527"/>
      <c r="G167" s="1528"/>
      <c r="H167" s="896" t="str">
        <f>IF(H157&gt;=H15, "Yes", "No")</f>
        <v>Yes</v>
      </c>
      <c r="I167" s="1109" t="str">
        <f>IF(H167="NO","Fail. Applicant is Requesting Too Much HOME Assistance", "")</f>
        <v/>
      </c>
    </row>
    <row r="168" spans="1:9" ht="15" x14ac:dyDescent="0.25">
      <c r="A168" s="853"/>
      <c r="B168" s="872">
        <v>46</v>
      </c>
      <c r="C168" s="1529" t="s">
        <v>1291</v>
      </c>
      <c r="D168" s="1529"/>
      <c r="E168" s="1529"/>
      <c r="F168" s="1529"/>
      <c r="G168" s="1529"/>
      <c r="H168" s="896" t="e">
        <f>IF(H165&gt;=H15,"Yes","No")</f>
        <v>#DIV/0!</v>
      </c>
      <c r="I168" s="897"/>
    </row>
    <row r="169" spans="1:9" ht="15" x14ac:dyDescent="0.25">
      <c r="A169" s="853"/>
      <c r="B169" s="1321"/>
      <c r="C169" s="1206"/>
      <c r="D169" s="1207"/>
      <c r="E169" s="1207"/>
      <c r="F169" s="1207"/>
      <c r="G169" s="1208"/>
      <c r="H169" s="896"/>
      <c r="I169" s="1151"/>
    </row>
    <row r="170" spans="1:9" ht="15" x14ac:dyDescent="0.25">
      <c r="A170" s="853"/>
      <c r="B170" s="1108"/>
      <c r="C170" s="1118"/>
      <c r="D170" s="1119"/>
      <c r="E170" s="1119"/>
      <c r="F170" s="1119"/>
      <c r="G170" s="1120"/>
      <c r="H170" s="896"/>
      <c r="I170" s="1151"/>
    </row>
    <row r="171" spans="1:9" ht="15" x14ac:dyDescent="0.25">
      <c r="A171" s="853"/>
      <c r="B171" s="872"/>
      <c r="C171" s="1526" t="s">
        <v>1699</v>
      </c>
      <c r="D171" s="1527"/>
      <c r="E171" s="1527"/>
      <c r="F171" s="1527"/>
      <c r="G171" s="1528"/>
      <c r="H171" s="1079" t="e">
        <f t="shared" ref="H171:H176" si="13">ROUNDUP(H127/H144, 0)</f>
        <v>#DIV/0!</v>
      </c>
      <c r="I171" s="897"/>
    </row>
    <row r="172" spans="1:9" ht="15" x14ac:dyDescent="0.25">
      <c r="A172" s="853"/>
      <c r="B172" s="872"/>
      <c r="C172" s="1526" t="s">
        <v>1700</v>
      </c>
      <c r="D172" s="1527"/>
      <c r="E172" s="1527"/>
      <c r="F172" s="1527"/>
      <c r="G172" s="1528"/>
      <c r="H172" s="1079" t="e">
        <f t="shared" si="13"/>
        <v>#DIV/0!</v>
      </c>
      <c r="I172" s="1179"/>
    </row>
    <row r="173" spans="1:9" ht="15" x14ac:dyDescent="0.25">
      <c r="A173" s="853"/>
      <c r="B173" s="872"/>
      <c r="C173" s="1526" t="s">
        <v>1701</v>
      </c>
      <c r="D173" s="1527"/>
      <c r="E173" s="1527"/>
      <c r="F173" s="1527"/>
      <c r="G173" s="1528"/>
      <c r="H173" s="1079" t="e">
        <f t="shared" si="13"/>
        <v>#DIV/0!</v>
      </c>
      <c r="I173" s="897"/>
    </row>
    <row r="174" spans="1:9" ht="15" x14ac:dyDescent="0.25">
      <c r="A174" s="853"/>
      <c r="B174" s="872"/>
      <c r="C174" s="1526" t="s">
        <v>1702</v>
      </c>
      <c r="D174" s="1527"/>
      <c r="E174" s="1527"/>
      <c r="F174" s="1527"/>
      <c r="G174" s="1528"/>
      <c r="H174" s="1079" t="e">
        <f t="shared" si="13"/>
        <v>#DIV/0!</v>
      </c>
      <c r="I174" s="897"/>
    </row>
    <row r="175" spans="1:9" ht="15" x14ac:dyDescent="0.25">
      <c r="A175" s="853"/>
      <c r="B175" s="872"/>
      <c r="C175" s="1526" t="s">
        <v>1703</v>
      </c>
      <c r="D175" s="1527"/>
      <c r="E175" s="1527"/>
      <c r="F175" s="1527"/>
      <c r="G175" s="1528"/>
      <c r="H175" s="1079" t="e">
        <f t="shared" si="13"/>
        <v>#DIV/0!</v>
      </c>
      <c r="I175" s="897"/>
    </row>
    <row r="176" spans="1:9" ht="15" x14ac:dyDescent="0.25">
      <c r="A176" s="853"/>
      <c r="B176" s="872"/>
      <c r="C176" s="1526" t="s">
        <v>1704</v>
      </c>
      <c r="D176" s="1527"/>
      <c r="E176" s="1527"/>
      <c r="F176" s="1527"/>
      <c r="G176" s="1528"/>
      <c r="H176" s="1079" t="e">
        <f t="shared" si="13"/>
        <v>#DIV/0!</v>
      </c>
      <c r="I176" s="897"/>
    </row>
    <row r="177" spans="1:9" ht="15" x14ac:dyDescent="0.25">
      <c r="A177" s="853"/>
      <c r="B177" s="1108"/>
      <c r="C177" s="1526" t="s">
        <v>1823</v>
      </c>
      <c r="D177" s="1527"/>
      <c r="E177" s="1527"/>
      <c r="F177" s="1527"/>
      <c r="G177" s="1528"/>
      <c r="H177" s="1079" t="e">
        <f>SUM(H171:H176)</f>
        <v>#DIV/0!</v>
      </c>
      <c r="I177" s="1151"/>
    </row>
    <row r="178" spans="1:9" ht="15" x14ac:dyDescent="0.25">
      <c r="A178" s="853"/>
      <c r="B178" s="1108"/>
      <c r="C178" s="1148"/>
      <c r="D178" s="1149"/>
      <c r="E178" s="1149"/>
      <c r="F178" s="1149"/>
      <c r="G178" s="1150"/>
      <c r="H178" s="1079"/>
      <c r="I178" s="1151"/>
    </row>
    <row r="179" spans="1:9" ht="15" x14ac:dyDescent="0.25">
      <c r="A179" s="853"/>
      <c r="B179" s="872"/>
      <c r="C179" s="1605" t="s">
        <v>1716</v>
      </c>
      <c r="D179" s="1606"/>
      <c r="E179" s="1606"/>
      <c r="F179" s="1606"/>
      <c r="G179" s="1607"/>
      <c r="H179" s="1079" t="e">
        <f>ROUNDUP(H127/Lists!E43, 0)</f>
        <v>#DIV/0!</v>
      </c>
      <c r="I179" s="897"/>
    </row>
    <row r="180" spans="1:9" ht="15" x14ac:dyDescent="0.25">
      <c r="A180" s="853"/>
      <c r="B180" s="872"/>
      <c r="C180" s="1605" t="s">
        <v>1717</v>
      </c>
      <c r="D180" s="1606"/>
      <c r="E180" s="1606"/>
      <c r="F180" s="1606"/>
      <c r="G180" s="1607"/>
      <c r="H180" s="1079" t="e">
        <f>ROUNDUP(H128/Lists!E43, 0)</f>
        <v>#DIV/0!</v>
      </c>
      <c r="I180" s="897"/>
    </row>
    <row r="181" spans="1:9" ht="15" x14ac:dyDescent="0.25">
      <c r="A181" s="853"/>
      <c r="B181" s="872"/>
      <c r="C181" s="1605" t="s">
        <v>1718</v>
      </c>
      <c r="D181" s="1606"/>
      <c r="E181" s="1606"/>
      <c r="F181" s="1606"/>
      <c r="G181" s="1607"/>
      <c r="H181" s="1079" t="e">
        <f>ROUNDUP(H129/Lists!E43, 0)</f>
        <v>#DIV/0!</v>
      </c>
      <c r="I181" s="897"/>
    </row>
    <row r="182" spans="1:9" ht="15" x14ac:dyDescent="0.25">
      <c r="A182" s="853"/>
      <c r="B182" s="872"/>
      <c r="C182" s="1605" t="s">
        <v>1719</v>
      </c>
      <c r="D182" s="1606"/>
      <c r="E182" s="1606"/>
      <c r="F182" s="1606"/>
      <c r="G182" s="1607"/>
      <c r="H182" s="1079" t="e">
        <f>ROUNDUP(H130/Lists!E43, 0)</f>
        <v>#DIV/0!</v>
      </c>
      <c r="I182" s="897"/>
    </row>
    <row r="183" spans="1:9" ht="15" x14ac:dyDescent="0.25">
      <c r="A183" s="853"/>
      <c r="B183" s="872"/>
      <c r="C183" s="1605" t="s">
        <v>1720</v>
      </c>
      <c r="D183" s="1606"/>
      <c r="E183" s="1606"/>
      <c r="F183" s="1606"/>
      <c r="G183" s="1607"/>
      <c r="H183" s="1079" t="e">
        <f>ROUNDUP(H131/Lists!E43, 0)</f>
        <v>#DIV/0!</v>
      </c>
      <c r="I183" s="897"/>
    </row>
    <row r="184" spans="1:9" ht="15" x14ac:dyDescent="0.25">
      <c r="A184" s="853"/>
      <c r="B184" s="872"/>
      <c r="C184" s="1605" t="s">
        <v>1721</v>
      </c>
      <c r="D184" s="1606"/>
      <c r="E184" s="1606"/>
      <c r="F184" s="1606"/>
      <c r="G184" s="1607"/>
      <c r="H184" s="1079" t="e">
        <f>ROUNDUP(H132/Lists!E43, 0)</f>
        <v>#DIV/0!</v>
      </c>
      <c r="I184" s="897"/>
    </row>
    <row r="185" spans="1:9" ht="15" x14ac:dyDescent="0.25">
      <c r="A185" s="853"/>
      <c r="B185" s="1108"/>
      <c r="C185" s="1608" t="s">
        <v>1824</v>
      </c>
      <c r="D185" s="1609"/>
      <c r="E185" s="1609"/>
      <c r="F185" s="1609"/>
      <c r="G185" s="1610"/>
      <c r="H185" s="1079" t="e">
        <f>SUM(H179:H184)</f>
        <v>#DIV/0!</v>
      </c>
      <c r="I185" s="1151"/>
    </row>
    <row r="186" spans="1:9" ht="15" x14ac:dyDescent="0.25">
      <c r="A186" s="853"/>
      <c r="B186" s="1108"/>
      <c r="C186" s="1121"/>
      <c r="D186" s="1122"/>
      <c r="E186" s="1122"/>
      <c r="F186" s="1122"/>
      <c r="G186" s="1123"/>
      <c r="H186" s="1079"/>
      <c r="I186" s="1151"/>
    </row>
    <row r="187" spans="1:9" ht="15" x14ac:dyDescent="0.25">
      <c r="A187" s="853"/>
      <c r="B187" s="872">
        <v>47</v>
      </c>
      <c r="C187" s="1529" t="s">
        <v>1292</v>
      </c>
      <c r="D187" s="1529"/>
      <c r="E187" s="1529"/>
      <c r="F187" s="1529"/>
      <c r="G187" s="1529"/>
      <c r="H187" s="898" t="e">
        <f>+'2018 Rents'!F73</f>
        <v>#N/A</v>
      </c>
      <c r="I187" s="877"/>
    </row>
    <row r="188" spans="1:9" ht="15" x14ac:dyDescent="0.25">
      <c r="A188" s="853"/>
      <c r="B188" s="872">
        <v>48</v>
      </c>
      <c r="C188" s="1529" t="s">
        <v>1293</v>
      </c>
      <c r="D188" s="1529"/>
      <c r="E188" s="1529"/>
      <c r="F188" s="1529"/>
      <c r="G188" s="1529"/>
      <c r="H188" s="876" t="e">
        <f>+'2018 Rents'!G73</f>
        <v>#N/A</v>
      </c>
      <c r="I188" s="877"/>
    </row>
    <row r="189" spans="1:9" ht="15" x14ac:dyDescent="0.25">
      <c r="A189" s="853"/>
      <c r="B189" s="872">
        <v>49</v>
      </c>
      <c r="C189" s="1529" t="s">
        <v>1294</v>
      </c>
      <c r="D189" s="1529"/>
      <c r="E189" s="1529"/>
      <c r="F189" s="1529"/>
      <c r="G189" s="1529"/>
      <c r="H189" s="876" t="e">
        <f>+'2018 Rents'!H73</f>
        <v>#N/A</v>
      </c>
      <c r="I189" s="877"/>
    </row>
    <row r="190" spans="1:9" ht="15" x14ac:dyDescent="0.25">
      <c r="A190" s="853"/>
      <c r="B190" s="872">
        <v>50</v>
      </c>
      <c r="C190" s="1529" t="s">
        <v>1295</v>
      </c>
      <c r="D190" s="1529"/>
      <c r="E190" s="1529"/>
      <c r="F190" s="1529"/>
      <c r="G190" s="1529"/>
      <c r="H190" s="876" t="e">
        <f>+'2018 Rents'!I73</f>
        <v>#N/A</v>
      </c>
      <c r="I190" s="877"/>
    </row>
    <row r="191" spans="1:9" ht="15" x14ac:dyDescent="0.25">
      <c r="A191" s="853"/>
      <c r="B191" s="872">
        <v>51</v>
      </c>
      <c r="C191" s="1529" t="s">
        <v>1296</v>
      </c>
      <c r="D191" s="1529"/>
      <c r="E191" s="1529"/>
      <c r="F191" s="1529"/>
      <c r="G191" s="1529"/>
      <c r="H191" s="876" t="e">
        <f>+'2018 Rents'!J73</f>
        <v>#N/A</v>
      </c>
      <c r="I191" s="877"/>
    </row>
    <row r="192" spans="1:9" ht="15" x14ac:dyDescent="0.25">
      <c r="A192" s="853"/>
      <c r="B192" s="872">
        <v>52</v>
      </c>
      <c r="C192" s="1529" t="s">
        <v>1297</v>
      </c>
      <c r="D192" s="1529"/>
      <c r="E192" s="1529"/>
      <c r="F192" s="1529"/>
      <c r="G192" s="1529"/>
      <c r="H192" s="876" t="e">
        <f>+'2018 Rents'!K73</f>
        <v>#N/A</v>
      </c>
      <c r="I192" s="877"/>
    </row>
    <row r="193" spans="1:9" ht="15" x14ac:dyDescent="0.25">
      <c r="A193" s="853"/>
      <c r="B193" s="872">
        <v>53</v>
      </c>
      <c r="C193" s="1529" t="s">
        <v>1298</v>
      </c>
      <c r="D193" s="1529"/>
      <c r="E193" s="1529"/>
      <c r="F193" s="1529"/>
      <c r="G193" s="1529"/>
      <c r="H193" s="876" t="e">
        <f>+'2018 Rents'!L73</f>
        <v>#N/A</v>
      </c>
      <c r="I193" s="877"/>
    </row>
    <row r="194" spans="1:9" ht="15" x14ac:dyDescent="0.25">
      <c r="A194" s="853"/>
      <c r="B194" s="872">
        <v>54</v>
      </c>
      <c r="C194" s="1529" t="s">
        <v>1299</v>
      </c>
      <c r="D194" s="1529"/>
      <c r="E194" s="1529"/>
      <c r="F194" s="1529"/>
      <c r="G194" s="1529"/>
      <c r="H194" s="876" t="e">
        <f>+'2018 Rents'!F72</f>
        <v>#N/A</v>
      </c>
      <c r="I194" s="877"/>
    </row>
    <row r="195" spans="1:9" ht="15" x14ac:dyDescent="0.25">
      <c r="A195" s="853"/>
      <c r="B195" s="872">
        <v>55</v>
      </c>
      <c r="C195" s="1529" t="s">
        <v>1300</v>
      </c>
      <c r="D195" s="1529"/>
      <c r="E195" s="1529"/>
      <c r="F195" s="1529"/>
      <c r="G195" s="1529"/>
      <c r="H195" s="876" t="e">
        <f>+'2018 Rents'!G72</f>
        <v>#N/A</v>
      </c>
      <c r="I195" s="877"/>
    </row>
    <row r="196" spans="1:9" ht="15" x14ac:dyDescent="0.25">
      <c r="A196" s="853"/>
      <c r="B196" s="872">
        <v>56</v>
      </c>
      <c r="C196" s="1529" t="s">
        <v>1301</v>
      </c>
      <c r="D196" s="1529"/>
      <c r="E196" s="1529"/>
      <c r="F196" s="1529"/>
      <c r="G196" s="1529"/>
      <c r="H196" s="876" t="e">
        <f>+'2018 Rents'!H72</f>
        <v>#N/A</v>
      </c>
      <c r="I196" s="877"/>
    </row>
    <row r="197" spans="1:9" ht="15" x14ac:dyDescent="0.25">
      <c r="A197" s="853"/>
      <c r="B197" s="872">
        <v>57</v>
      </c>
      <c r="C197" s="1529" t="s">
        <v>1302</v>
      </c>
      <c r="D197" s="1529"/>
      <c r="E197" s="1529"/>
      <c r="F197" s="1529"/>
      <c r="G197" s="1529"/>
      <c r="H197" s="876" t="e">
        <f>+'2018 Rents'!I72</f>
        <v>#N/A</v>
      </c>
      <c r="I197" s="877"/>
    </row>
    <row r="198" spans="1:9" ht="15" x14ac:dyDescent="0.25">
      <c r="A198" s="853"/>
      <c r="B198" s="872">
        <v>58</v>
      </c>
      <c r="C198" s="1529" t="s">
        <v>1303</v>
      </c>
      <c r="D198" s="1529"/>
      <c r="E198" s="1529"/>
      <c r="F198" s="1529"/>
      <c r="G198" s="1529"/>
      <c r="H198" s="876" t="e">
        <f>+'2018 Rents'!J72</f>
        <v>#N/A</v>
      </c>
      <c r="I198" s="877"/>
    </row>
    <row r="199" spans="1:9" ht="15" x14ac:dyDescent="0.25">
      <c r="A199" s="853"/>
      <c r="B199" s="872">
        <v>59</v>
      </c>
      <c r="C199" s="1529" t="s">
        <v>1304</v>
      </c>
      <c r="D199" s="1529"/>
      <c r="E199" s="1529"/>
      <c r="F199" s="1529"/>
      <c r="G199" s="1529"/>
      <c r="H199" s="876" t="e">
        <f>+'2018 Rents'!K72</f>
        <v>#N/A</v>
      </c>
      <c r="I199" s="877"/>
    </row>
    <row r="200" spans="1:9" ht="15" x14ac:dyDescent="0.25">
      <c r="A200" s="853"/>
      <c r="B200" s="872">
        <v>60</v>
      </c>
      <c r="C200" s="1529" t="s">
        <v>1305</v>
      </c>
      <c r="D200" s="1529"/>
      <c r="E200" s="1529"/>
      <c r="F200" s="1529"/>
      <c r="G200" s="1529"/>
      <c r="H200" s="876">
        <v>0</v>
      </c>
      <c r="I200" s="877"/>
    </row>
    <row r="201" spans="1:9" ht="15" x14ac:dyDescent="0.25">
      <c r="A201" s="853"/>
      <c r="B201" s="1108"/>
      <c r="C201" s="1529" t="s">
        <v>1799</v>
      </c>
      <c r="D201" s="1529"/>
      <c r="E201" s="1529"/>
      <c r="F201" s="1529"/>
      <c r="G201" s="1529"/>
      <c r="H201" s="876" t="e">
        <f>+H112*'Primary Input'!E71</f>
        <v>#DIV/0!</v>
      </c>
      <c r="I201" s="1113"/>
    </row>
    <row r="202" spans="1:9" ht="15" x14ac:dyDescent="0.25">
      <c r="A202" s="853"/>
      <c r="B202" s="1108"/>
      <c r="C202" s="1529" t="s">
        <v>1793</v>
      </c>
      <c r="D202" s="1529"/>
      <c r="E202" s="1529"/>
      <c r="F202" s="1529"/>
      <c r="G202" s="1529"/>
      <c r="H202" s="876" t="e">
        <f>+H113*'Primary Input'!E72</f>
        <v>#DIV/0!</v>
      </c>
      <c r="I202" s="1113"/>
    </row>
    <row r="203" spans="1:9" ht="15" x14ac:dyDescent="0.25">
      <c r="A203" s="853"/>
      <c r="B203" s="1108"/>
      <c r="C203" s="1529" t="s">
        <v>1794</v>
      </c>
      <c r="D203" s="1529"/>
      <c r="E203" s="1529"/>
      <c r="F203" s="1529"/>
      <c r="G203" s="1529"/>
      <c r="H203" s="876" t="e">
        <f>+H114*'Primary Input'!E73</f>
        <v>#DIV/0!</v>
      </c>
      <c r="I203" s="1113"/>
    </row>
    <row r="204" spans="1:9" ht="15" x14ac:dyDescent="0.25">
      <c r="A204" s="853"/>
      <c r="B204" s="1108"/>
      <c r="C204" s="1529" t="s">
        <v>1795</v>
      </c>
      <c r="D204" s="1529"/>
      <c r="E204" s="1529"/>
      <c r="F204" s="1529"/>
      <c r="G204" s="1529"/>
      <c r="H204" s="876" t="e">
        <f>+H115*'Primary Input'!E74</f>
        <v>#DIV/0!</v>
      </c>
      <c r="I204" s="1113"/>
    </row>
    <row r="205" spans="1:9" ht="15" x14ac:dyDescent="0.25">
      <c r="A205" s="853"/>
      <c r="B205" s="1108"/>
      <c r="C205" s="1529" t="s">
        <v>1796</v>
      </c>
      <c r="D205" s="1529"/>
      <c r="E205" s="1529"/>
      <c r="F205" s="1529"/>
      <c r="G205" s="1529"/>
      <c r="H205" s="876" t="e">
        <f>+H116*'Primary Input'!E75</f>
        <v>#DIV/0!</v>
      </c>
      <c r="I205" s="1113"/>
    </row>
    <row r="206" spans="1:9" ht="15" x14ac:dyDescent="0.25">
      <c r="A206" s="853"/>
      <c r="B206" s="1108"/>
      <c r="C206" s="1529" t="s">
        <v>1797</v>
      </c>
      <c r="D206" s="1529"/>
      <c r="E206" s="1529"/>
      <c r="F206" s="1529"/>
      <c r="G206" s="1529"/>
      <c r="H206" s="876" t="e">
        <f>+H117*'Primary Input'!E76</f>
        <v>#DIV/0!</v>
      </c>
      <c r="I206" s="1113"/>
    </row>
    <row r="207" spans="1:9" ht="15" x14ac:dyDescent="0.25">
      <c r="A207" s="853"/>
      <c r="B207" s="1108"/>
      <c r="C207" s="1526" t="s">
        <v>1798</v>
      </c>
      <c r="D207" s="1527"/>
      <c r="E207" s="1527"/>
      <c r="F207" s="1527"/>
      <c r="G207" s="1528"/>
      <c r="H207" s="876" t="e">
        <f>SUM(H200:H206)</f>
        <v>#DIV/0!</v>
      </c>
      <c r="I207" s="1113" t="e">
        <f>IF(H207&gt;Lists!H44, "Error. Amount Exceeds NOFA Limit", "Ok")</f>
        <v>#DIV/0!</v>
      </c>
    </row>
    <row r="208" spans="1:9" ht="49.5" customHeight="1" x14ac:dyDescent="0.25">
      <c r="A208" s="853"/>
      <c r="B208" s="1108"/>
      <c r="C208" s="1602" t="s">
        <v>1875</v>
      </c>
      <c r="D208" s="1603"/>
      <c r="E208" s="1603"/>
      <c r="F208" s="1603"/>
      <c r="G208" s="1604"/>
      <c r="H208" s="876">
        <f>+H16</f>
        <v>0</v>
      </c>
      <c r="I208" s="1113" t="e">
        <f>IF(H208&gt;H207, "Error. Amount Requested for  Proposed Units Exceeds Cost to Construct the Proposed Units. Need More HTF Units.","")</f>
        <v>#DIV/0!</v>
      </c>
    </row>
    <row r="209" spans="1:9" ht="15" x14ac:dyDescent="0.25">
      <c r="A209" s="853"/>
      <c r="B209" s="1108"/>
      <c r="C209" s="1526" t="s">
        <v>1772</v>
      </c>
      <c r="D209" s="1527"/>
      <c r="E209" s="1527"/>
      <c r="F209" s="1527"/>
      <c r="G209" s="1528"/>
      <c r="H209" s="890" t="e">
        <f>+H16/H18</f>
        <v>#DIV/0!</v>
      </c>
      <c r="I209" s="1113"/>
    </row>
    <row r="210" spans="1:9" ht="15" x14ac:dyDescent="0.25">
      <c r="A210" s="853"/>
      <c r="B210" s="1108"/>
      <c r="C210" s="1526" t="s">
        <v>1773</v>
      </c>
      <c r="D210" s="1527"/>
      <c r="E210" s="1527"/>
      <c r="F210" s="1527"/>
      <c r="G210" s="1528"/>
      <c r="H210" s="1117" t="e">
        <f t="shared" ref="H210:H215" si="14">ROUNDUP(+H22*$H$209,0)</f>
        <v>#DIV/0!</v>
      </c>
      <c r="I210" s="1113" t="e">
        <f>IF(H210&gt;'Primary Input'!E71, "Error. Developer has proposed too few units","Ok")</f>
        <v>#DIV/0!</v>
      </c>
    </row>
    <row r="211" spans="1:9" ht="15" x14ac:dyDescent="0.25">
      <c r="A211" s="853"/>
      <c r="B211" s="1108"/>
      <c r="C211" s="1526" t="s">
        <v>1774</v>
      </c>
      <c r="D211" s="1527"/>
      <c r="E211" s="1527"/>
      <c r="F211" s="1527"/>
      <c r="G211" s="1528"/>
      <c r="H211" s="1117" t="e">
        <f t="shared" si="14"/>
        <v>#DIV/0!</v>
      </c>
      <c r="I211" s="1113" t="e">
        <f>IF(H211&gt;'Primary Input'!E72, "Error. Developer has proposed too few units","Ok")</f>
        <v>#DIV/0!</v>
      </c>
    </row>
    <row r="212" spans="1:9" ht="15" x14ac:dyDescent="0.25">
      <c r="A212" s="853"/>
      <c r="B212" s="1108"/>
      <c r="C212" s="1526" t="s">
        <v>1775</v>
      </c>
      <c r="D212" s="1527"/>
      <c r="E212" s="1527"/>
      <c r="F212" s="1527"/>
      <c r="G212" s="1528"/>
      <c r="H212" s="1117" t="e">
        <f t="shared" si="14"/>
        <v>#DIV/0!</v>
      </c>
      <c r="I212" s="1113" t="e">
        <f>IF(H212&gt;'Primary Input'!E73, "Error. Developer has proposed too few units","Ok")</f>
        <v>#DIV/0!</v>
      </c>
    </row>
    <row r="213" spans="1:9" ht="15" x14ac:dyDescent="0.25">
      <c r="A213" s="853"/>
      <c r="B213" s="1108"/>
      <c r="C213" s="1526" t="s">
        <v>1776</v>
      </c>
      <c r="D213" s="1527"/>
      <c r="E213" s="1527"/>
      <c r="F213" s="1527"/>
      <c r="G213" s="1528"/>
      <c r="H213" s="1117" t="e">
        <f t="shared" si="14"/>
        <v>#DIV/0!</v>
      </c>
      <c r="I213" s="1113" t="e">
        <f>IF(H213&gt;'Primary Input'!E74, "Error. Developer has proposed too few units","Ok")</f>
        <v>#DIV/0!</v>
      </c>
    </row>
    <row r="214" spans="1:9" ht="15" x14ac:dyDescent="0.25">
      <c r="A214" s="853"/>
      <c r="B214" s="1108"/>
      <c r="C214" s="1526" t="s">
        <v>1777</v>
      </c>
      <c r="D214" s="1527"/>
      <c r="E214" s="1527"/>
      <c r="F214" s="1527"/>
      <c r="G214" s="1528"/>
      <c r="H214" s="1117" t="e">
        <f t="shared" si="14"/>
        <v>#DIV/0!</v>
      </c>
      <c r="I214" s="1113" t="e">
        <f>IF(H214&gt;'Primary Input'!E75, "Error. Developer has proposed too few units","Ok")</f>
        <v>#DIV/0!</v>
      </c>
    </row>
    <row r="215" spans="1:9" ht="15" x14ac:dyDescent="0.25">
      <c r="A215" s="853"/>
      <c r="B215" s="1108"/>
      <c r="C215" s="1526" t="s">
        <v>1778</v>
      </c>
      <c r="D215" s="1527"/>
      <c r="E215" s="1527"/>
      <c r="F215" s="1527"/>
      <c r="G215" s="1528"/>
      <c r="H215" s="1117" t="e">
        <f t="shared" si="14"/>
        <v>#DIV/0!</v>
      </c>
      <c r="I215" s="1113" t="e">
        <f>IF(H215&gt;'Primary Input'!E76, "Error. Developer has proposed too few units","Ok")</f>
        <v>#DIV/0!</v>
      </c>
    </row>
    <row r="216" spans="1:9" ht="15" x14ac:dyDescent="0.25">
      <c r="A216" s="853"/>
      <c r="B216" s="1108"/>
      <c r="C216" s="1526" t="s">
        <v>1779</v>
      </c>
      <c r="D216" s="1527"/>
      <c r="E216" s="1527"/>
      <c r="F216" s="1527"/>
      <c r="G216" s="1528"/>
      <c r="H216" s="1144" t="e">
        <f>SUM(H210:H215)</f>
        <v>#DIV/0!</v>
      </c>
      <c r="I216" s="1113"/>
    </row>
    <row r="217" spans="1:9" ht="15" x14ac:dyDescent="0.25">
      <c r="A217" s="853"/>
      <c r="B217" s="1108"/>
      <c r="C217" s="1526"/>
      <c r="D217" s="1527"/>
      <c r="E217" s="1527"/>
      <c r="F217" s="1527"/>
      <c r="G217" s="1528"/>
      <c r="H217" s="1144"/>
      <c r="I217" s="1113"/>
    </row>
    <row r="218" spans="1:9" ht="15" x14ac:dyDescent="0.25">
      <c r="A218" s="853"/>
      <c r="B218" s="1108"/>
      <c r="C218" s="1526" t="s">
        <v>1883</v>
      </c>
      <c r="D218" s="1527"/>
      <c r="E218" s="1527"/>
      <c r="F218" s="1527"/>
      <c r="G218" s="1528"/>
      <c r="H218" s="1163" t="e">
        <f t="shared" ref="H218:H222" si="15">+$H$209*H119</f>
        <v>#DIV/0!</v>
      </c>
      <c r="I218" s="1113"/>
    </row>
    <row r="219" spans="1:9" ht="15" x14ac:dyDescent="0.25">
      <c r="A219" s="853"/>
      <c r="B219" s="1108"/>
      <c r="C219" s="1526" t="s">
        <v>1855</v>
      </c>
      <c r="D219" s="1527"/>
      <c r="E219" s="1527"/>
      <c r="F219" s="1527"/>
      <c r="G219" s="1528"/>
      <c r="H219" s="1163" t="e">
        <f t="shared" si="15"/>
        <v>#DIV/0!</v>
      </c>
      <c r="I219" s="1113"/>
    </row>
    <row r="220" spans="1:9" ht="15" x14ac:dyDescent="0.25">
      <c r="A220" s="853"/>
      <c r="B220" s="1108"/>
      <c r="C220" s="1526" t="s">
        <v>1856</v>
      </c>
      <c r="D220" s="1527"/>
      <c r="E220" s="1527"/>
      <c r="F220" s="1527"/>
      <c r="G220" s="1528"/>
      <c r="H220" s="1163" t="e">
        <f t="shared" si="15"/>
        <v>#DIV/0!</v>
      </c>
      <c r="I220" s="1113"/>
    </row>
    <row r="221" spans="1:9" ht="15" x14ac:dyDescent="0.25">
      <c r="A221" s="853"/>
      <c r="B221" s="1108"/>
      <c r="C221" s="1526" t="s">
        <v>1857</v>
      </c>
      <c r="D221" s="1527"/>
      <c r="E221" s="1527"/>
      <c r="F221" s="1527"/>
      <c r="G221" s="1528"/>
      <c r="H221" s="1163" t="e">
        <f t="shared" si="15"/>
        <v>#DIV/0!</v>
      </c>
      <c r="I221" s="1113"/>
    </row>
    <row r="222" spans="1:9" ht="15" x14ac:dyDescent="0.25">
      <c r="A222" s="853"/>
      <c r="B222" s="1108"/>
      <c r="C222" s="1526" t="s">
        <v>1858</v>
      </c>
      <c r="D222" s="1527"/>
      <c r="E222" s="1527"/>
      <c r="F222" s="1527"/>
      <c r="G222" s="1528"/>
      <c r="H222" s="1163" t="e">
        <f t="shared" si="15"/>
        <v>#DIV/0!</v>
      </c>
      <c r="I222" s="1113"/>
    </row>
    <row r="223" spans="1:9" ht="15" x14ac:dyDescent="0.25">
      <c r="A223" s="853"/>
      <c r="B223" s="1108"/>
      <c r="C223" s="1526" t="s">
        <v>1859</v>
      </c>
      <c r="D223" s="1527"/>
      <c r="E223" s="1527"/>
      <c r="F223" s="1527"/>
      <c r="G223" s="1528"/>
      <c r="H223" s="1079" t="e">
        <f>+$H$209*H124</f>
        <v>#DIV/0!</v>
      </c>
      <c r="I223" s="1113"/>
    </row>
    <row r="224" spans="1:9" ht="15" x14ac:dyDescent="0.25">
      <c r="A224" s="853"/>
      <c r="B224" s="1108"/>
      <c r="C224" s="1526" t="s">
        <v>1860</v>
      </c>
      <c r="D224" s="1527"/>
      <c r="E224" s="1527"/>
      <c r="F224" s="1527"/>
      <c r="G224" s="1528"/>
      <c r="H224" s="1164" t="e">
        <f>SUM(H218:H223)</f>
        <v>#DIV/0!</v>
      </c>
      <c r="I224" s="1113"/>
    </row>
    <row r="225" spans="1:12" ht="15" x14ac:dyDescent="0.25">
      <c r="A225" s="853"/>
      <c r="B225" s="1108"/>
      <c r="C225" s="1526"/>
      <c r="D225" s="1527"/>
      <c r="E225" s="1527"/>
      <c r="F225" s="1527"/>
      <c r="G225" s="1528"/>
      <c r="H225" s="890"/>
      <c r="I225" s="1113"/>
    </row>
    <row r="226" spans="1:12" ht="15" x14ac:dyDescent="0.25">
      <c r="A226" s="853"/>
      <c r="B226" s="1108"/>
      <c r="C226" s="1526"/>
      <c r="D226" s="1527"/>
      <c r="E226" s="1527"/>
      <c r="F226" s="1527"/>
      <c r="G226" s="1528"/>
      <c r="H226" s="890"/>
      <c r="I226" s="1113"/>
    </row>
    <row r="227" spans="1:12" ht="15" x14ac:dyDescent="0.25">
      <c r="A227" s="853"/>
      <c r="B227" s="1108"/>
      <c r="C227" s="1526" t="s">
        <v>1755</v>
      </c>
      <c r="D227" s="1527"/>
      <c r="E227" s="1527"/>
      <c r="F227" s="1527"/>
      <c r="G227" s="1528"/>
      <c r="H227" s="1140" t="e">
        <f t="shared" ref="H227:H232" si="16">ROUNDUP(IF(H112,+H218/H112,0),0)</f>
        <v>#DIV/0!</v>
      </c>
      <c r="I227" s="1113"/>
    </row>
    <row r="228" spans="1:12" ht="15" x14ac:dyDescent="0.25">
      <c r="A228" s="853"/>
      <c r="B228" s="1108"/>
      <c r="C228" s="1526" t="s">
        <v>1756</v>
      </c>
      <c r="D228" s="1527"/>
      <c r="E228" s="1527"/>
      <c r="F228" s="1527"/>
      <c r="G228" s="1528"/>
      <c r="H228" s="1140" t="e">
        <f t="shared" si="16"/>
        <v>#DIV/0!</v>
      </c>
      <c r="I228" s="1113"/>
    </row>
    <row r="229" spans="1:12" ht="15" x14ac:dyDescent="0.25">
      <c r="A229" s="853"/>
      <c r="B229" s="1108"/>
      <c r="C229" s="1526" t="s">
        <v>1757</v>
      </c>
      <c r="D229" s="1527"/>
      <c r="E229" s="1527"/>
      <c r="F229" s="1527"/>
      <c r="G229" s="1528"/>
      <c r="H229" s="1140" t="e">
        <f t="shared" si="16"/>
        <v>#DIV/0!</v>
      </c>
      <c r="I229" s="1113"/>
    </row>
    <row r="230" spans="1:12" ht="15" x14ac:dyDescent="0.25">
      <c r="A230" s="853"/>
      <c r="B230" s="1108"/>
      <c r="C230" s="1526" t="s">
        <v>1758</v>
      </c>
      <c r="D230" s="1527"/>
      <c r="E230" s="1527"/>
      <c r="F230" s="1527"/>
      <c r="G230" s="1528"/>
      <c r="H230" s="1140" t="e">
        <f t="shared" si="16"/>
        <v>#DIV/0!</v>
      </c>
      <c r="I230" s="1113"/>
    </row>
    <row r="231" spans="1:12" ht="15" x14ac:dyDescent="0.25">
      <c r="A231" s="853"/>
      <c r="B231" s="1108"/>
      <c r="C231" s="1526" t="s">
        <v>1759</v>
      </c>
      <c r="D231" s="1527"/>
      <c r="E231" s="1527"/>
      <c r="F231" s="1527"/>
      <c r="G231" s="1528"/>
      <c r="H231" s="1140" t="e">
        <f t="shared" si="16"/>
        <v>#DIV/0!</v>
      </c>
      <c r="I231" s="1113"/>
    </row>
    <row r="232" spans="1:12" ht="15" x14ac:dyDescent="0.25">
      <c r="A232" s="853"/>
      <c r="B232" s="1108"/>
      <c r="C232" s="1526" t="s">
        <v>1760</v>
      </c>
      <c r="D232" s="1527"/>
      <c r="E232" s="1527"/>
      <c r="F232" s="1527"/>
      <c r="G232" s="1528"/>
      <c r="H232" s="1140" t="e">
        <f t="shared" si="16"/>
        <v>#DIV/0!</v>
      </c>
      <c r="I232" s="1113"/>
    </row>
    <row r="233" spans="1:12" ht="15" x14ac:dyDescent="0.25">
      <c r="A233" s="853"/>
      <c r="B233" s="1108"/>
      <c r="C233" s="1526" t="s">
        <v>1811</v>
      </c>
      <c r="D233" s="1527"/>
      <c r="E233" s="1527"/>
      <c r="F233" s="1527"/>
      <c r="G233" s="1528"/>
      <c r="H233" s="1145" t="e">
        <f>SUM(H227:H232)</f>
        <v>#DIV/0!</v>
      </c>
      <c r="I233" s="1113"/>
    </row>
    <row r="234" spans="1:12" ht="15" x14ac:dyDescent="0.25">
      <c r="A234" s="853"/>
      <c r="B234" s="1108"/>
      <c r="C234" s="1110"/>
      <c r="D234" s="1111"/>
      <c r="E234" s="1111"/>
      <c r="F234" s="1111"/>
      <c r="G234" s="1112"/>
      <c r="H234" s="1140"/>
      <c r="I234" s="1113"/>
    </row>
    <row r="235" spans="1:12" ht="15" x14ac:dyDescent="0.25">
      <c r="A235" s="853"/>
      <c r="B235" s="1108"/>
      <c r="C235" s="1526" t="s">
        <v>1800</v>
      </c>
      <c r="D235" s="1527"/>
      <c r="E235" s="1527"/>
      <c r="F235" s="1527"/>
      <c r="G235" s="1528"/>
      <c r="H235" s="1140" t="e">
        <f t="shared" ref="H235:H239" si="17">ROUNDUP(+H218/H243,0)</f>
        <v>#DIV/0!</v>
      </c>
      <c r="I235" s="1113" t="e">
        <f>IF(H235&lt;='Primary Input'!E71, "Ok", "Need More HTF Units")</f>
        <v>#DIV/0!</v>
      </c>
    </row>
    <row r="236" spans="1:12" ht="15" x14ac:dyDescent="0.25">
      <c r="A236" s="853"/>
      <c r="B236" s="1108"/>
      <c r="C236" s="1526" t="s">
        <v>1801</v>
      </c>
      <c r="D236" s="1527"/>
      <c r="E236" s="1527"/>
      <c r="F236" s="1527"/>
      <c r="G236" s="1528"/>
      <c r="H236" s="1140" t="e">
        <f t="shared" si="17"/>
        <v>#DIV/0!</v>
      </c>
      <c r="I236" s="1113" t="e">
        <f>IF(H236&lt;='Primary Input'!E72, "Ok", "Need More HTF Units")</f>
        <v>#DIV/0!</v>
      </c>
    </row>
    <row r="237" spans="1:12" ht="15" x14ac:dyDescent="0.25">
      <c r="A237" s="853"/>
      <c r="B237" s="1108"/>
      <c r="C237" s="1526" t="s">
        <v>1802</v>
      </c>
      <c r="D237" s="1527"/>
      <c r="E237" s="1527"/>
      <c r="F237" s="1527"/>
      <c r="G237" s="1528"/>
      <c r="H237" s="1140" t="e">
        <f t="shared" si="17"/>
        <v>#DIV/0!</v>
      </c>
      <c r="I237" s="1113" t="e">
        <f>IF(H237&lt;='Primary Input'!E73, "Ok", "Need More HTF Units")</f>
        <v>#DIV/0!</v>
      </c>
    </row>
    <row r="238" spans="1:12" ht="15" x14ac:dyDescent="0.25">
      <c r="A238" s="853"/>
      <c r="B238" s="1108"/>
      <c r="C238" s="1526" t="s">
        <v>1803</v>
      </c>
      <c r="D238" s="1527"/>
      <c r="E238" s="1527"/>
      <c r="F238" s="1527"/>
      <c r="G238" s="1528"/>
      <c r="H238" s="1140" t="e">
        <f t="shared" si="17"/>
        <v>#DIV/0!</v>
      </c>
      <c r="I238" s="1113" t="e">
        <f>IF(H238&lt;='Primary Input'!E74, "Ok", "Need More HTF Units")</f>
        <v>#DIV/0!</v>
      </c>
      <c r="L238">
        <v>4</v>
      </c>
    </row>
    <row r="239" spans="1:12" ht="15" x14ac:dyDescent="0.25">
      <c r="A239" s="853"/>
      <c r="B239" s="1108"/>
      <c r="C239" s="1526" t="s">
        <v>1804</v>
      </c>
      <c r="D239" s="1527"/>
      <c r="E239" s="1527"/>
      <c r="F239" s="1527"/>
      <c r="G239" s="1528"/>
      <c r="H239" s="1140" t="e">
        <f t="shared" si="17"/>
        <v>#DIV/0!</v>
      </c>
      <c r="I239" s="1113" t="e">
        <f>IF(H239&lt;='Primary Input'!E75, "Ok", "Need More HTF Units")</f>
        <v>#DIV/0!</v>
      </c>
      <c r="L239">
        <v>0</v>
      </c>
    </row>
    <row r="240" spans="1:12" ht="15" x14ac:dyDescent="0.25">
      <c r="A240" s="853"/>
      <c r="B240" s="1108"/>
      <c r="C240" s="1526" t="s">
        <v>1805</v>
      </c>
      <c r="D240" s="1527"/>
      <c r="E240" s="1527"/>
      <c r="F240" s="1527"/>
      <c r="G240" s="1528"/>
      <c r="H240" s="1140" t="e">
        <f>ROUNDUP(+H223/H248,0)</f>
        <v>#DIV/0!</v>
      </c>
      <c r="I240" s="1113" t="e">
        <f>IF(H240&lt;='Primary Input'!E76, "Ok", "Need More HTF Units")</f>
        <v>#DIV/0!</v>
      </c>
      <c r="L240">
        <f>IF(L239,+L238/L239, 0)</f>
        <v>0</v>
      </c>
    </row>
    <row r="241" spans="1:9" ht="15" x14ac:dyDescent="0.25">
      <c r="A241" s="853"/>
      <c r="B241" s="1108"/>
      <c r="C241" s="1526" t="s">
        <v>1879</v>
      </c>
      <c r="D241" s="1527"/>
      <c r="E241" s="1527"/>
      <c r="F241" s="1527"/>
      <c r="G241" s="1528"/>
      <c r="H241" s="1145" t="e">
        <f>SUM(H235:H240)</f>
        <v>#DIV/0!</v>
      </c>
      <c r="I241" s="1113"/>
    </row>
    <row r="242" spans="1:9" ht="15" x14ac:dyDescent="0.25">
      <c r="A242" s="853"/>
      <c r="B242" s="1108"/>
      <c r="C242" s="1165"/>
      <c r="D242" s="1166"/>
      <c r="E242" s="1166"/>
      <c r="F242" s="1166"/>
      <c r="G242" s="1167"/>
      <c r="H242" s="1140"/>
      <c r="I242" s="1113"/>
    </row>
    <row r="243" spans="1:9" ht="15" x14ac:dyDescent="0.25">
      <c r="A243" s="853"/>
      <c r="B243" s="1108"/>
      <c r="C243" s="1531" t="s">
        <v>1786</v>
      </c>
      <c r="D243" s="1531"/>
      <c r="E243" s="1531"/>
      <c r="F243" s="1531"/>
      <c r="G243" s="1531"/>
      <c r="H243" s="876">
        <f>+Lists!$H$43</f>
        <v>200000</v>
      </c>
      <c r="I243" s="1113"/>
    </row>
    <row r="244" spans="1:9" ht="15" x14ac:dyDescent="0.25">
      <c r="A244" s="853"/>
      <c r="B244" s="1108"/>
      <c r="C244" s="1529" t="s">
        <v>1787</v>
      </c>
      <c r="D244" s="1529"/>
      <c r="E244" s="1529"/>
      <c r="F244" s="1529"/>
      <c r="G244" s="1529"/>
      <c r="H244" s="876">
        <f>+Lists!$H$43</f>
        <v>200000</v>
      </c>
      <c r="I244" s="1113"/>
    </row>
    <row r="245" spans="1:9" ht="15" x14ac:dyDescent="0.25">
      <c r="A245" s="853"/>
      <c r="B245" s="1108"/>
      <c r="C245" s="1529" t="s">
        <v>1788</v>
      </c>
      <c r="D245" s="1529"/>
      <c r="E245" s="1529"/>
      <c r="F245" s="1529"/>
      <c r="G245" s="1529"/>
      <c r="H245" s="876">
        <f>+Lists!$H$43</f>
        <v>200000</v>
      </c>
      <c r="I245" s="1113"/>
    </row>
    <row r="246" spans="1:9" ht="15" x14ac:dyDescent="0.25">
      <c r="A246" s="853"/>
      <c r="B246" s="1108"/>
      <c r="C246" s="1529" t="s">
        <v>1789</v>
      </c>
      <c r="D246" s="1529"/>
      <c r="E246" s="1529"/>
      <c r="F246" s="1529"/>
      <c r="G246" s="1529"/>
      <c r="H246" s="876">
        <f>+Lists!$H$43</f>
        <v>200000</v>
      </c>
      <c r="I246" s="1113"/>
    </row>
    <row r="247" spans="1:9" ht="15" x14ac:dyDescent="0.25">
      <c r="A247" s="853"/>
      <c r="B247" s="1108"/>
      <c r="C247" s="1529" t="s">
        <v>1790</v>
      </c>
      <c r="D247" s="1529"/>
      <c r="E247" s="1529"/>
      <c r="F247" s="1529"/>
      <c r="G247" s="1529"/>
      <c r="H247" s="876">
        <f>+Lists!$H$43</f>
        <v>200000</v>
      </c>
      <c r="I247" s="1113"/>
    </row>
    <row r="248" spans="1:9" ht="15" x14ac:dyDescent="0.25">
      <c r="A248" s="853"/>
      <c r="B248" s="1108"/>
      <c r="C248" s="1529" t="s">
        <v>1791</v>
      </c>
      <c r="D248" s="1529"/>
      <c r="E248" s="1529"/>
      <c r="F248" s="1529"/>
      <c r="G248" s="1529"/>
      <c r="H248" s="876">
        <f>+Lists!$H$43</f>
        <v>200000</v>
      </c>
      <c r="I248" s="1113"/>
    </row>
    <row r="249" spans="1:9" ht="15" x14ac:dyDescent="0.25">
      <c r="A249" s="853"/>
      <c r="B249" s="1108"/>
      <c r="C249" s="1158"/>
      <c r="D249" s="1158"/>
      <c r="E249" s="1158"/>
      <c r="F249" s="1158"/>
      <c r="G249" s="1158"/>
      <c r="H249" s="876"/>
      <c r="I249" s="1113"/>
    </row>
    <row r="250" spans="1:9" ht="15" x14ac:dyDescent="0.25">
      <c r="A250" s="853"/>
      <c r="B250" s="1108"/>
      <c r="C250" s="1529" t="s">
        <v>1780</v>
      </c>
      <c r="D250" s="1529"/>
      <c r="E250" s="1529"/>
      <c r="F250" s="1529"/>
      <c r="G250" s="1529"/>
      <c r="H250" s="876" t="e">
        <f>MIN(Lists!Q76,H243,H112)</f>
        <v>#DIV/0!</v>
      </c>
      <c r="I250" s="1113"/>
    </row>
    <row r="251" spans="1:9" ht="15" x14ac:dyDescent="0.25">
      <c r="A251" s="853"/>
      <c r="B251" s="1108"/>
      <c r="C251" s="1529" t="s">
        <v>1781</v>
      </c>
      <c r="D251" s="1529"/>
      <c r="E251" s="1529"/>
      <c r="F251" s="1529"/>
      <c r="G251" s="1529"/>
      <c r="H251" s="876" t="e">
        <f>MIN(H244,H113,Lists!R76)</f>
        <v>#DIV/0!</v>
      </c>
      <c r="I251" s="1113"/>
    </row>
    <row r="252" spans="1:9" ht="15" x14ac:dyDescent="0.25">
      <c r="A252" s="853"/>
      <c r="B252" s="1108"/>
      <c r="C252" s="1529" t="s">
        <v>1782</v>
      </c>
      <c r="D252" s="1529"/>
      <c r="E252" s="1529"/>
      <c r="F252" s="1529"/>
      <c r="G252" s="1529"/>
      <c r="H252" s="876" t="e">
        <f>MIN(H245,H114,Lists!S76)</f>
        <v>#DIV/0!</v>
      </c>
      <c r="I252" s="1113"/>
    </row>
    <row r="253" spans="1:9" ht="15" x14ac:dyDescent="0.25">
      <c r="A253" s="853"/>
      <c r="B253" s="1108"/>
      <c r="C253" s="1529" t="s">
        <v>1783</v>
      </c>
      <c r="D253" s="1529"/>
      <c r="E253" s="1529"/>
      <c r="F253" s="1529"/>
      <c r="G253" s="1529"/>
      <c r="H253" s="876" t="e">
        <f>MIN(H246,H115,Lists!T76)</f>
        <v>#DIV/0!</v>
      </c>
      <c r="I253" s="1113"/>
    </row>
    <row r="254" spans="1:9" ht="15" x14ac:dyDescent="0.25">
      <c r="A254" s="853"/>
      <c r="B254" s="1108"/>
      <c r="C254" s="1529" t="s">
        <v>1784</v>
      </c>
      <c r="D254" s="1529"/>
      <c r="E254" s="1529"/>
      <c r="F254" s="1529"/>
      <c r="G254" s="1529"/>
      <c r="H254" s="876" t="e">
        <f>MIN(H247,H116,Lists!U76)</f>
        <v>#DIV/0!</v>
      </c>
      <c r="I254" s="1113"/>
    </row>
    <row r="255" spans="1:9" ht="15" x14ac:dyDescent="0.25">
      <c r="A255" s="853"/>
      <c r="B255" s="1108"/>
      <c r="C255" s="1529" t="s">
        <v>1785</v>
      </c>
      <c r="D255" s="1529"/>
      <c r="E255" s="1529"/>
      <c r="F255" s="1529"/>
      <c r="G255" s="1529"/>
      <c r="H255" s="876"/>
      <c r="I255" s="1113"/>
    </row>
    <row r="256" spans="1:9" ht="15" x14ac:dyDescent="0.25">
      <c r="A256" s="853"/>
      <c r="B256" s="1108"/>
      <c r="C256" s="1158"/>
      <c r="D256" s="1158"/>
      <c r="E256" s="1158"/>
      <c r="F256" s="1158"/>
      <c r="G256" s="1158"/>
      <c r="H256" s="876"/>
      <c r="I256" s="1113"/>
    </row>
    <row r="257" spans="1:10" ht="15" x14ac:dyDescent="0.25">
      <c r="A257" s="853"/>
      <c r="B257" s="1108"/>
      <c r="C257" s="1529" t="s">
        <v>1869</v>
      </c>
      <c r="D257" s="1529"/>
      <c r="E257" s="1529"/>
      <c r="F257" s="1529"/>
      <c r="G257" s="1529"/>
      <c r="H257" s="876" t="e">
        <f>+H250*'Funding and Units Worksheet'!N23</f>
        <v>#DIV/0!</v>
      </c>
      <c r="I257" s="1113"/>
    </row>
    <row r="258" spans="1:10" ht="15" x14ac:dyDescent="0.25">
      <c r="A258" s="853"/>
      <c r="B258" s="1108"/>
      <c r="C258" s="1529" t="s">
        <v>1870</v>
      </c>
      <c r="D258" s="1529"/>
      <c r="E258" s="1529"/>
      <c r="F258" s="1529"/>
      <c r="G258" s="1529"/>
      <c r="H258" s="876" t="e">
        <f>+H251*'Funding and Units Worksheet'!N24</f>
        <v>#DIV/0!</v>
      </c>
      <c r="I258" s="1113"/>
    </row>
    <row r="259" spans="1:10" ht="15" x14ac:dyDescent="0.25">
      <c r="A259" s="853"/>
      <c r="B259" s="1108"/>
      <c r="C259" s="1529" t="s">
        <v>1871</v>
      </c>
      <c r="D259" s="1529"/>
      <c r="E259" s="1529"/>
      <c r="F259" s="1529"/>
      <c r="G259" s="1529"/>
      <c r="H259" s="876" t="e">
        <f>+H252*'Funding and Units Worksheet'!N25</f>
        <v>#DIV/0!</v>
      </c>
      <c r="I259" s="1113"/>
    </row>
    <row r="260" spans="1:10" ht="15" x14ac:dyDescent="0.25">
      <c r="A260" s="853"/>
      <c r="B260" s="1108"/>
      <c r="C260" s="1529" t="s">
        <v>1872</v>
      </c>
      <c r="D260" s="1529"/>
      <c r="E260" s="1529"/>
      <c r="F260" s="1529"/>
      <c r="G260" s="1529"/>
      <c r="H260" s="876" t="e">
        <f>+H253*'Funding and Units Worksheet'!N26</f>
        <v>#DIV/0!</v>
      </c>
      <c r="I260" s="1113"/>
    </row>
    <row r="261" spans="1:10" ht="15" x14ac:dyDescent="0.25">
      <c r="A261" s="853"/>
      <c r="B261" s="1108"/>
      <c r="C261" s="1529" t="s">
        <v>1873</v>
      </c>
      <c r="D261" s="1529"/>
      <c r="E261" s="1529"/>
      <c r="F261" s="1529"/>
      <c r="G261" s="1529"/>
      <c r="H261" s="876" t="e">
        <f>+H254*'Funding and Units Worksheet'!N27</f>
        <v>#DIV/0!</v>
      </c>
      <c r="I261" s="1113"/>
    </row>
    <row r="262" spans="1:10" ht="15" x14ac:dyDescent="0.25">
      <c r="A262" s="853"/>
      <c r="B262" s="1108"/>
      <c r="C262" s="1529" t="s">
        <v>1785</v>
      </c>
      <c r="D262" s="1529"/>
      <c r="E262" s="1529"/>
      <c r="F262" s="1529"/>
      <c r="G262" s="1529"/>
      <c r="H262" s="876" t="e">
        <f>+H255*'Funding and Units Worksheet'!N28</f>
        <v>#VALUE!</v>
      </c>
      <c r="I262" s="1113"/>
      <c r="J262" s="735"/>
    </row>
    <row r="263" spans="1:10" ht="39.75" customHeight="1" x14ac:dyDescent="0.25">
      <c r="A263" s="853"/>
      <c r="B263" s="1108"/>
      <c r="C263" s="1530" t="s">
        <v>1874</v>
      </c>
      <c r="D263" s="1530"/>
      <c r="E263" s="1530"/>
      <c r="F263" s="1530"/>
      <c r="G263" s="1530"/>
      <c r="H263" s="1170" t="e">
        <f>MIN(SUM(H257:H262),Lists!H44)</f>
        <v>#DIV/0!</v>
      </c>
      <c r="I263" s="1113" t="e">
        <f>IF(H263&gt;=H208,"Ok","Error. Applicant is Requesting too Much Funding")</f>
        <v>#DIV/0!</v>
      </c>
    </row>
    <row r="264" spans="1:10" ht="15" x14ac:dyDescent="0.25">
      <c r="A264" s="853"/>
      <c r="B264" s="1108"/>
      <c r="C264" s="1529" t="s">
        <v>1806</v>
      </c>
      <c r="D264" s="1529"/>
      <c r="E264" s="1529"/>
      <c r="F264" s="1529"/>
      <c r="G264" s="1529"/>
      <c r="H264" s="876"/>
      <c r="I264" s="1113"/>
    </row>
    <row r="265" spans="1:10" ht="15" x14ac:dyDescent="0.25">
      <c r="A265" s="853"/>
      <c r="B265" s="1108"/>
      <c r="C265" s="1526" t="s">
        <v>1761</v>
      </c>
      <c r="D265" s="1527"/>
      <c r="E265" s="1527"/>
      <c r="F265" s="1527"/>
      <c r="G265" s="1528"/>
      <c r="H265" s="1140" t="e">
        <f>ROUNDUP(+H218/Lists!Q76,0)</f>
        <v>#DIV/0!</v>
      </c>
      <c r="I265" s="1113"/>
    </row>
    <row r="266" spans="1:10" ht="15" x14ac:dyDescent="0.25">
      <c r="A266" s="853"/>
      <c r="B266" s="1108"/>
      <c r="C266" s="1526" t="s">
        <v>1762</v>
      </c>
      <c r="D266" s="1527"/>
      <c r="E266" s="1527"/>
      <c r="F266" s="1527"/>
      <c r="G266" s="1528"/>
      <c r="H266" s="1140" t="e">
        <f>ROUNDUP(+H219/Lists!R76,0)</f>
        <v>#DIV/0!</v>
      </c>
      <c r="I266" s="1113"/>
    </row>
    <row r="267" spans="1:10" ht="15" x14ac:dyDescent="0.25">
      <c r="A267" s="853"/>
      <c r="B267" s="1108"/>
      <c r="C267" s="1526" t="s">
        <v>1763</v>
      </c>
      <c r="D267" s="1527"/>
      <c r="E267" s="1527"/>
      <c r="F267" s="1527"/>
      <c r="G267" s="1528"/>
      <c r="H267" s="1140" t="e">
        <f>ROUNDUP(+H220/Lists!S76,0)</f>
        <v>#DIV/0!</v>
      </c>
      <c r="I267" s="1113"/>
    </row>
    <row r="268" spans="1:10" ht="15" x14ac:dyDescent="0.25">
      <c r="A268" s="853"/>
      <c r="B268" s="1108"/>
      <c r="C268" s="1526" t="s">
        <v>1764</v>
      </c>
      <c r="D268" s="1527"/>
      <c r="E268" s="1527"/>
      <c r="F268" s="1527"/>
      <c r="G268" s="1528"/>
      <c r="H268" s="1140" t="e">
        <f>ROUNDUP(+H221/Lists!T76,0)</f>
        <v>#DIV/0!</v>
      </c>
      <c r="I268" s="1113"/>
    </row>
    <row r="269" spans="1:10" ht="15" x14ac:dyDescent="0.25">
      <c r="A269" s="853"/>
      <c r="B269" s="1108"/>
      <c r="C269" s="1526" t="s">
        <v>1765</v>
      </c>
      <c r="D269" s="1527"/>
      <c r="E269" s="1527"/>
      <c r="F269" s="1527"/>
      <c r="G269" s="1528"/>
      <c r="H269" s="1140" t="e">
        <f>ROUNDUP(+H222/Lists!U76,0)</f>
        <v>#DIV/0!</v>
      </c>
      <c r="I269" s="1113"/>
    </row>
    <row r="270" spans="1:10" ht="15" x14ac:dyDescent="0.25">
      <c r="A270" s="853"/>
      <c r="B270" s="1108"/>
      <c r="C270" s="1526" t="s">
        <v>1766</v>
      </c>
      <c r="D270" s="1527"/>
      <c r="E270" s="1527"/>
      <c r="F270" s="1527"/>
      <c r="G270" s="1528"/>
      <c r="H270" s="1140"/>
      <c r="I270" s="1113"/>
    </row>
    <row r="271" spans="1:10" ht="15" x14ac:dyDescent="0.25">
      <c r="A271" s="853"/>
      <c r="B271" s="1108"/>
      <c r="C271" s="1526" t="s">
        <v>1880</v>
      </c>
      <c r="D271" s="1527"/>
      <c r="E271" s="1527"/>
      <c r="F271" s="1527"/>
      <c r="G271" s="1528"/>
      <c r="H271" s="1145" t="e">
        <f>SUM(H265:H269)</f>
        <v>#DIV/0!</v>
      </c>
      <c r="I271" s="1113"/>
    </row>
    <row r="272" spans="1:10" ht="15" x14ac:dyDescent="0.25">
      <c r="A272" s="853"/>
      <c r="B272" s="1108"/>
      <c r="C272" s="1605"/>
      <c r="D272" s="1606"/>
      <c r="E272" s="1606"/>
      <c r="F272" s="1606"/>
      <c r="G272" s="1607"/>
      <c r="H272" s="876"/>
      <c r="I272" s="1113"/>
    </row>
    <row r="273" spans="1:9" ht="15.75" x14ac:dyDescent="0.25">
      <c r="A273" s="853"/>
      <c r="B273" s="1108"/>
      <c r="C273" s="1629" t="s">
        <v>1809</v>
      </c>
      <c r="D273" s="1630"/>
      <c r="E273" s="1630"/>
      <c r="F273" s="1630"/>
      <c r="G273" s="1631"/>
      <c r="H273" s="876"/>
      <c r="I273" s="1113"/>
    </row>
    <row r="274" spans="1:9" ht="15" x14ac:dyDescent="0.25">
      <c r="A274" s="853"/>
      <c r="B274" s="872"/>
      <c r="C274" s="1526" t="s">
        <v>1306</v>
      </c>
      <c r="D274" s="1527"/>
      <c r="E274" s="1527"/>
      <c r="F274" s="1527"/>
      <c r="G274" s="1528"/>
      <c r="H274" s="876" t="e">
        <f>+'2018 Rents'!F77</f>
        <v>#N/A</v>
      </c>
      <c r="I274" s="874" t="str">
        <f t="shared" ref="I274:I291" si="18">IF($E$7= "", "Not Required for HOME Only Applications"," ")</f>
        <v xml:space="preserve"> </v>
      </c>
    </row>
    <row r="275" spans="1:9" ht="15" x14ac:dyDescent="0.25">
      <c r="A275" s="853"/>
      <c r="B275" s="872"/>
      <c r="C275" s="1526" t="s">
        <v>1307</v>
      </c>
      <c r="D275" s="1527"/>
      <c r="E275" s="1527"/>
      <c r="F275" s="1527"/>
      <c r="G275" s="1528"/>
      <c r="H275" s="876" t="e">
        <f>+'2018 Rents'!G77</f>
        <v>#N/A</v>
      </c>
      <c r="I275" s="874" t="str">
        <f t="shared" si="18"/>
        <v xml:space="preserve"> </v>
      </c>
    </row>
    <row r="276" spans="1:9" ht="15" x14ac:dyDescent="0.25">
      <c r="A276" s="853"/>
      <c r="B276" s="872"/>
      <c r="C276" s="1526" t="s">
        <v>1308</v>
      </c>
      <c r="D276" s="1527"/>
      <c r="E276" s="1527"/>
      <c r="F276" s="1527"/>
      <c r="G276" s="1528"/>
      <c r="H276" s="876" t="e">
        <f>+'2018 Rents'!H77</f>
        <v>#N/A</v>
      </c>
      <c r="I276" s="874" t="str">
        <f t="shared" si="18"/>
        <v xml:space="preserve"> </v>
      </c>
    </row>
    <row r="277" spans="1:9" ht="15" x14ac:dyDescent="0.25">
      <c r="A277" s="853"/>
      <c r="B277" s="872"/>
      <c r="C277" s="1526" t="s">
        <v>1309</v>
      </c>
      <c r="D277" s="1527"/>
      <c r="E277" s="1527"/>
      <c r="F277" s="1527"/>
      <c r="G277" s="1528"/>
      <c r="H277" s="876" t="e">
        <f>+'2018 Rents'!I77</f>
        <v>#N/A</v>
      </c>
      <c r="I277" s="874" t="str">
        <f t="shared" si="18"/>
        <v xml:space="preserve"> </v>
      </c>
    </row>
    <row r="278" spans="1:9" ht="15" x14ac:dyDescent="0.25">
      <c r="A278" s="853"/>
      <c r="B278" s="872"/>
      <c r="C278" s="1526" t="s">
        <v>1310</v>
      </c>
      <c r="D278" s="1527"/>
      <c r="E278" s="1527"/>
      <c r="F278" s="1527"/>
      <c r="G278" s="1528"/>
      <c r="H278" s="876" t="e">
        <f>+'2018 Rents'!J77</f>
        <v>#N/A</v>
      </c>
      <c r="I278" s="874" t="str">
        <f t="shared" si="18"/>
        <v xml:space="preserve"> </v>
      </c>
    </row>
    <row r="279" spans="1:9" ht="15" x14ac:dyDescent="0.25">
      <c r="A279" s="853"/>
      <c r="B279" s="872"/>
      <c r="C279" s="1526" t="s">
        <v>1311</v>
      </c>
      <c r="D279" s="1527"/>
      <c r="E279" s="1527"/>
      <c r="F279" s="1527"/>
      <c r="G279" s="1528"/>
      <c r="H279" s="876" t="e">
        <f>+'2018 Rents'!K77</f>
        <v>#N/A</v>
      </c>
      <c r="I279" s="874" t="str">
        <f t="shared" si="18"/>
        <v xml:space="preserve"> </v>
      </c>
    </row>
    <row r="280" spans="1:9" ht="15" x14ac:dyDescent="0.25">
      <c r="A280" s="853"/>
      <c r="B280" s="872"/>
      <c r="C280" s="1526" t="s">
        <v>1312</v>
      </c>
      <c r="D280" s="1527"/>
      <c r="E280" s="1527"/>
      <c r="F280" s="1527"/>
      <c r="G280" s="1528"/>
      <c r="H280" s="876" t="e">
        <f>+'2018 Rents'!F74</f>
        <v>#N/A</v>
      </c>
      <c r="I280" s="874" t="str">
        <f t="shared" si="18"/>
        <v xml:space="preserve"> </v>
      </c>
    </row>
    <row r="281" spans="1:9" ht="15" x14ac:dyDescent="0.25">
      <c r="A281" s="853"/>
      <c r="B281" s="872"/>
      <c r="C281" s="1526" t="s">
        <v>1313</v>
      </c>
      <c r="D281" s="1527"/>
      <c r="E281" s="1527"/>
      <c r="F281" s="1527"/>
      <c r="G281" s="1528"/>
      <c r="H281" s="876" t="e">
        <f>+'2018 Rents'!G74</f>
        <v>#N/A</v>
      </c>
      <c r="I281" s="874" t="str">
        <f t="shared" si="18"/>
        <v xml:space="preserve"> </v>
      </c>
    </row>
    <row r="282" spans="1:9" ht="15" x14ac:dyDescent="0.25">
      <c r="A282" s="853"/>
      <c r="B282" s="872"/>
      <c r="C282" s="1526" t="s">
        <v>1314</v>
      </c>
      <c r="D282" s="1527"/>
      <c r="E282" s="1527"/>
      <c r="F282" s="1527"/>
      <c r="G282" s="1528"/>
      <c r="H282" s="876" t="e">
        <f>+'2018 Rents'!H74</f>
        <v>#N/A</v>
      </c>
      <c r="I282" s="874" t="str">
        <f t="shared" si="18"/>
        <v xml:space="preserve"> </v>
      </c>
    </row>
    <row r="283" spans="1:9" ht="15" x14ac:dyDescent="0.25">
      <c r="A283" s="853"/>
      <c r="B283" s="872"/>
      <c r="C283" s="1526" t="s">
        <v>1315</v>
      </c>
      <c r="D283" s="1527"/>
      <c r="E283" s="1527"/>
      <c r="F283" s="1527"/>
      <c r="G283" s="1528"/>
      <c r="H283" s="876" t="e">
        <f>+'2018 Rents'!I74</f>
        <v>#N/A</v>
      </c>
      <c r="I283" s="874" t="str">
        <f t="shared" si="18"/>
        <v xml:space="preserve"> </v>
      </c>
    </row>
    <row r="284" spans="1:9" ht="15" x14ac:dyDescent="0.25">
      <c r="A284" s="853"/>
      <c r="B284" s="872"/>
      <c r="C284" s="1526" t="s">
        <v>1316</v>
      </c>
      <c r="D284" s="1527"/>
      <c r="E284" s="1527"/>
      <c r="F284" s="1527"/>
      <c r="G284" s="1528"/>
      <c r="H284" s="876" t="e">
        <f>+'2018 Rents'!J74</f>
        <v>#N/A</v>
      </c>
      <c r="I284" s="874" t="str">
        <f t="shared" si="18"/>
        <v xml:space="preserve"> </v>
      </c>
    </row>
    <row r="285" spans="1:9" ht="15" x14ac:dyDescent="0.25">
      <c r="A285" s="853"/>
      <c r="B285" s="872"/>
      <c r="C285" s="1526" t="s">
        <v>1317</v>
      </c>
      <c r="D285" s="1527"/>
      <c r="E285" s="1527"/>
      <c r="F285" s="1527"/>
      <c r="G285" s="1528"/>
      <c r="H285" s="876" t="e">
        <f>+'2018 Rents'!K74</f>
        <v>#N/A</v>
      </c>
      <c r="I285" s="874" t="str">
        <f t="shared" si="18"/>
        <v xml:space="preserve"> </v>
      </c>
    </row>
    <row r="286" spans="1:9" ht="15" x14ac:dyDescent="0.25">
      <c r="A286" s="853"/>
      <c r="B286" s="872"/>
      <c r="C286" s="1526" t="s">
        <v>1318</v>
      </c>
      <c r="D286" s="1527"/>
      <c r="E286" s="1527"/>
      <c r="F286" s="1527"/>
      <c r="G286" s="1528"/>
      <c r="H286" s="876" t="e">
        <v>#N/A</v>
      </c>
      <c r="I286" s="874" t="str">
        <f t="shared" si="18"/>
        <v xml:space="preserve"> </v>
      </c>
    </row>
    <row r="287" spans="1:9" ht="15" x14ac:dyDescent="0.25">
      <c r="A287" s="853"/>
      <c r="B287" s="872"/>
      <c r="C287" s="1526" t="s">
        <v>1319</v>
      </c>
      <c r="D287" s="1527"/>
      <c r="E287" s="1527"/>
      <c r="F287" s="1527"/>
      <c r="G287" s="1528"/>
      <c r="H287" s="876" t="e">
        <v>#N/A</v>
      </c>
      <c r="I287" s="874" t="str">
        <f t="shared" si="18"/>
        <v xml:space="preserve"> </v>
      </c>
    </row>
    <row r="288" spans="1:9" ht="15" x14ac:dyDescent="0.25">
      <c r="A288" s="853"/>
      <c r="B288" s="872"/>
      <c r="C288" s="1526" t="s">
        <v>1320</v>
      </c>
      <c r="D288" s="1527"/>
      <c r="E288" s="1527"/>
      <c r="F288" s="1527"/>
      <c r="G288" s="1528"/>
      <c r="H288" s="876" t="e">
        <v>#N/A</v>
      </c>
      <c r="I288" s="874" t="str">
        <f t="shared" si="18"/>
        <v xml:space="preserve"> </v>
      </c>
    </row>
    <row r="289" spans="1:9" ht="15" x14ac:dyDescent="0.25">
      <c r="A289" s="853"/>
      <c r="B289" s="872"/>
      <c r="C289" s="1526" t="s">
        <v>1321</v>
      </c>
      <c r="D289" s="1527"/>
      <c r="E289" s="1527"/>
      <c r="F289" s="1527"/>
      <c r="G289" s="1528"/>
      <c r="H289" s="876" t="e">
        <v>#N/A</v>
      </c>
      <c r="I289" s="874" t="str">
        <f t="shared" si="18"/>
        <v xml:space="preserve"> </v>
      </c>
    </row>
    <row r="290" spans="1:9" ht="15" x14ac:dyDescent="0.25">
      <c r="A290" s="853"/>
      <c r="B290" s="872"/>
      <c r="C290" s="1526" t="s">
        <v>1322</v>
      </c>
      <c r="D290" s="1527"/>
      <c r="E290" s="1527"/>
      <c r="F290" s="1527"/>
      <c r="G290" s="1528"/>
      <c r="H290" s="876" t="e">
        <v>#N/A</v>
      </c>
      <c r="I290" s="874" t="str">
        <f t="shared" si="18"/>
        <v xml:space="preserve"> </v>
      </c>
    </row>
    <row r="291" spans="1:9" ht="15" x14ac:dyDescent="0.25">
      <c r="A291" s="853"/>
      <c r="B291" s="872"/>
      <c r="C291" s="1526" t="s">
        <v>1323</v>
      </c>
      <c r="D291" s="1527"/>
      <c r="E291" s="1527"/>
      <c r="F291" s="1527"/>
      <c r="G291" s="1528"/>
      <c r="H291" s="876" t="e">
        <v>#N/A</v>
      </c>
      <c r="I291" s="874" t="str">
        <f t="shared" si="18"/>
        <v xml:space="preserve"> </v>
      </c>
    </row>
    <row r="292" spans="1:9" ht="15" x14ac:dyDescent="0.25">
      <c r="A292" s="853"/>
      <c r="B292" s="872">
        <v>61</v>
      </c>
      <c r="C292" s="1529" t="s">
        <v>1324</v>
      </c>
      <c r="D292" s="1529"/>
      <c r="E292" s="1529"/>
      <c r="F292" s="1529"/>
      <c r="G292" s="1529"/>
      <c r="H292" s="876">
        <f>+'Rental Income'!C48</f>
        <v>0</v>
      </c>
      <c r="I292" s="873"/>
    </row>
    <row r="293" spans="1:9" ht="15" x14ac:dyDescent="0.25">
      <c r="A293" s="853"/>
      <c r="B293" s="872">
        <v>62</v>
      </c>
      <c r="C293" s="1529" t="s">
        <v>1325</v>
      </c>
      <c r="D293" s="1529"/>
      <c r="E293" s="1529"/>
      <c r="F293" s="1529"/>
      <c r="G293" s="1529"/>
      <c r="H293" s="876">
        <f>+'Rental Income'!D48</f>
        <v>0</v>
      </c>
      <c r="I293" s="873"/>
    </row>
    <row r="294" spans="1:9" ht="15" x14ac:dyDescent="0.25">
      <c r="A294" s="853"/>
      <c r="B294" s="872">
        <v>63</v>
      </c>
      <c r="C294" s="1529" t="s">
        <v>1326</v>
      </c>
      <c r="D294" s="1529"/>
      <c r="E294" s="1529"/>
      <c r="F294" s="1529"/>
      <c r="G294" s="1529"/>
      <c r="H294" s="876">
        <f>+'Rental Income'!E48</f>
        <v>0</v>
      </c>
      <c r="I294" s="873"/>
    </row>
    <row r="295" spans="1:9" ht="15" x14ac:dyDescent="0.25">
      <c r="A295" s="853"/>
      <c r="B295" s="872">
        <v>64</v>
      </c>
      <c r="C295" s="1529" t="s">
        <v>1327</v>
      </c>
      <c r="D295" s="1529"/>
      <c r="E295" s="1529"/>
      <c r="F295" s="1529"/>
      <c r="G295" s="1529"/>
      <c r="H295" s="876">
        <f>+'Rental Income'!F48</f>
        <v>0</v>
      </c>
      <c r="I295" s="873"/>
    </row>
    <row r="296" spans="1:9" ht="15" x14ac:dyDescent="0.25">
      <c r="A296" s="853"/>
      <c r="B296" s="872">
        <v>65</v>
      </c>
      <c r="C296" s="1529" t="s">
        <v>1328</v>
      </c>
      <c r="D296" s="1529"/>
      <c r="E296" s="1529"/>
      <c r="F296" s="1529"/>
      <c r="G296" s="1529"/>
      <c r="H296" s="876">
        <f>+'Rental Income'!G48</f>
        <v>0</v>
      </c>
      <c r="I296" s="873"/>
    </row>
    <row r="297" spans="1:9" ht="15" x14ac:dyDescent="0.25">
      <c r="A297" s="853"/>
      <c r="B297" s="872">
        <v>66</v>
      </c>
      <c r="C297" s="1529" t="s">
        <v>1329</v>
      </c>
      <c r="D297" s="1529"/>
      <c r="E297" s="1529"/>
      <c r="F297" s="1529"/>
      <c r="G297" s="1529"/>
      <c r="H297" s="876">
        <f>+'Rental Income'!H48</f>
        <v>0</v>
      </c>
      <c r="I297" s="873"/>
    </row>
    <row r="298" spans="1:9" ht="15" x14ac:dyDescent="0.25">
      <c r="A298" s="853"/>
      <c r="B298" s="872">
        <v>67</v>
      </c>
      <c r="C298" s="1529" t="s">
        <v>1330</v>
      </c>
      <c r="D298" s="1529"/>
      <c r="E298" s="1529"/>
      <c r="F298" s="1529"/>
      <c r="G298" s="1529"/>
      <c r="H298" s="876">
        <f>+H297</f>
        <v>0</v>
      </c>
      <c r="I298" s="873"/>
    </row>
    <row r="299" spans="1:9" ht="15" x14ac:dyDescent="0.25">
      <c r="A299" s="853"/>
      <c r="B299" s="872">
        <v>68</v>
      </c>
      <c r="C299" s="1531" t="s">
        <v>1331</v>
      </c>
      <c r="D299" s="1531"/>
      <c r="E299" s="1531"/>
      <c r="F299" s="1531"/>
      <c r="G299" s="1531"/>
      <c r="H299" s="876" t="e">
        <f t="shared" ref="H299:H305" si="19">+H187-H292</f>
        <v>#N/A</v>
      </c>
      <c r="I299" s="897"/>
    </row>
    <row r="300" spans="1:9" ht="15" x14ac:dyDescent="0.25">
      <c r="A300" s="853"/>
      <c r="B300" s="872">
        <v>69</v>
      </c>
      <c r="C300" s="1531" t="s">
        <v>1332</v>
      </c>
      <c r="D300" s="1531"/>
      <c r="E300" s="1531"/>
      <c r="F300" s="1531"/>
      <c r="G300" s="1531"/>
      <c r="H300" s="876" t="e">
        <f t="shared" si="19"/>
        <v>#N/A</v>
      </c>
      <c r="I300" s="897"/>
    </row>
    <row r="301" spans="1:9" ht="15" x14ac:dyDescent="0.25">
      <c r="A301" s="853"/>
      <c r="B301" s="872">
        <v>70</v>
      </c>
      <c r="C301" s="1531" t="s">
        <v>1333</v>
      </c>
      <c r="D301" s="1531"/>
      <c r="E301" s="1531"/>
      <c r="F301" s="1531"/>
      <c r="G301" s="1531"/>
      <c r="H301" s="876" t="e">
        <f t="shared" si="19"/>
        <v>#N/A</v>
      </c>
      <c r="I301" s="897"/>
    </row>
    <row r="302" spans="1:9" ht="15" x14ac:dyDescent="0.25">
      <c r="A302" s="853"/>
      <c r="B302" s="872">
        <v>71</v>
      </c>
      <c r="C302" s="1531" t="s">
        <v>1334</v>
      </c>
      <c r="D302" s="1531"/>
      <c r="E302" s="1531"/>
      <c r="F302" s="1531"/>
      <c r="G302" s="1531"/>
      <c r="H302" s="876" t="e">
        <f t="shared" si="19"/>
        <v>#N/A</v>
      </c>
      <c r="I302" s="897"/>
    </row>
    <row r="303" spans="1:9" ht="15" x14ac:dyDescent="0.25">
      <c r="A303" s="853"/>
      <c r="B303" s="872">
        <v>72</v>
      </c>
      <c r="C303" s="1531" t="s">
        <v>1335</v>
      </c>
      <c r="D303" s="1531"/>
      <c r="E303" s="1531"/>
      <c r="F303" s="1531"/>
      <c r="G303" s="1531"/>
      <c r="H303" s="876" t="e">
        <f t="shared" si="19"/>
        <v>#N/A</v>
      </c>
      <c r="I303" s="897"/>
    </row>
    <row r="304" spans="1:9" ht="15" x14ac:dyDescent="0.25">
      <c r="A304" s="853"/>
      <c r="B304" s="872">
        <v>73</v>
      </c>
      <c r="C304" s="1531" t="s">
        <v>1336</v>
      </c>
      <c r="D304" s="1531"/>
      <c r="E304" s="1531"/>
      <c r="F304" s="1531"/>
      <c r="G304" s="1531"/>
      <c r="H304" s="876" t="e">
        <f t="shared" si="19"/>
        <v>#N/A</v>
      </c>
      <c r="I304" s="897"/>
    </row>
    <row r="305" spans="1:9" ht="15" x14ac:dyDescent="0.25">
      <c r="A305" s="853"/>
      <c r="B305" s="872">
        <v>74</v>
      </c>
      <c r="C305" s="1531" t="s">
        <v>1337</v>
      </c>
      <c r="D305" s="1531"/>
      <c r="E305" s="1531"/>
      <c r="F305" s="1531"/>
      <c r="G305" s="1531"/>
      <c r="H305" s="876" t="e">
        <f t="shared" si="19"/>
        <v>#N/A</v>
      </c>
      <c r="I305" s="897"/>
    </row>
    <row r="306" spans="1:9" ht="15" x14ac:dyDescent="0.25">
      <c r="A306" s="853"/>
      <c r="B306" s="872">
        <v>75</v>
      </c>
      <c r="C306" s="1531" t="s">
        <v>1338</v>
      </c>
      <c r="D306" s="1531"/>
      <c r="E306" s="1531"/>
      <c r="F306" s="1531"/>
      <c r="G306" s="1531"/>
      <c r="H306" s="876" t="e">
        <f t="shared" ref="H306:H312" si="20">+H194-H292</f>
        <v>#N/A</v>
      </c>
      <c r="I306" s="897"/>
    </row>
    <row r="307" spans="1:9" ht="15" x14ac:dyDescent="0.25">
      <c r="A307" s="853"/>
      <c r="B307" s="872">
        <v>76</v>
      </c>
      <c r="C307" s="1531" t="s">
        <v>1339</v>
      </c>
      <c r="D307" s="1531"/>
      <c r="E307" s="1531"/>
      <c r="F307" s="1531"/>
      <c r="G307" s="1531"/>
      <c r="H307" s="876" t="e">
        <f t="shared" si="20"/>
        <v>#N/A</v>
      </c>
      <c r="I307" s="897"/>
    </row>
    <row r="308" spans="1:9" ht="15" x14ac:dyDescent="0.25">
      <c r="A308" s="853"/>
      <c r="B308" s="872">
        <v>77</v>
      </c>
      <c r="C308" s="1531" t="s">
        <v>1340</v>
      </c>
      <c r="D308" s="1531"/>
      <c r="E308" s="1531"/>
      <c r="F308" s="1531"/>
      <c r="G308" s="1531"/>
      <c r="H308" s="876" t="e">
        <f t="shared" si="20"/>
        <v>#N/A</v>
      </c>
      <c r="I308" s="897"/>
    </row>
    <row r="309" spans="1:9" ht="15" x14ac:dyDescent="0.25">
      <c r="A309" s="853"/>
      <c r="B309" s="872">
        <v>78</v>
      </c>
      <c r="C309" s="1531" t="s">
        <v>1341</v>
      </c>
      <c r="D309" s="1531"/>
      <c r="E309" s="1531"/>
      <c r="F309" s="1531"/>
      <c r="G309" s="1531"/>
      <c r="H309" s="876" t="e">
        <f t="shared" si="20"/>
        <v>#N/A</v>
      </c>
      <c r="I309" s="897"/>
    </row>
    <row r="310" spans="1:9" ht="15" x14ac:dyDescent="0.25">
      <c r="A310" s="853"/>
      <c r="B310" s="872">
        <v>79</v>
      </c>
      <c r="C310" s="1531" t="s">
        <v>1342</v>
      </c>
      <c r="D310" s="1531"/>
      <c r="E310" s="1531"/>
      <c r="F310" s="1531"/>
      <c r="G310" s="1531"/>
      <c r="H310" s="876" t="e">
        <f t="shared" si="20"/>
        <v>#N/A</v>
      </c>
      <c r="I310" s="897"/>
    </row>
    <row r="311" spans="1:9" ht="15" x14ac:dyDescent="0.25">
      <c r="A311" s="853"/>
      <c r="B311" s="872">
        <v>80</v>
      </c>
      <c r="C311" s="1531" t="s">
        <v>1343</v>
      </c>
      <c r="D311" s="1531"/>
      <c r="E311" s="1531"/>
      <c r="F311" s="1531"/>
      <c r="G311" s="1531"/>
      <c r="H311" s="876" t="e">
        <f t="shared" si="20"/>
        <v>#N/A</v>
      </c>
      <c r="I311" s="897"/>
    </row>
    <row r="312" spans="1:9" ht="15" x14ac:dyDescent="0.25">
      <c r="A312" s="853"/>
      <c r="B312" s="872">
        <v>81</v>
      </c>
      <c r="C312" s="1531" t="s">
        <v>1344</v>
      </c>
      <c r="D312" s="1531"/>
      <c r="E312" s="1531"/>
      <c r="F312" s="1531"/>
      <c r="G312" s="1531"/>
      <c r="H312" s="876">
        <f t="shared" si="20"/>
        <v>0</v>
      </c>
      <c r="I312" s="897"/>
    </row>
    <row r="313" spans="1:9" ht="15" x14ac:dyDescent="0.25">
      <c r="A313" s="853"/>
      <c r="B313" s="872"/>
      <c r="C313" s="1564" t="s">
        <v>1345</v>
      </c>
      <c r="D313" s="1565"/>
      <c r="E313" s="1565"/>
      <c r="F313" s="1565"/>
      <c r="G313" s="1566"/>
      <c r="H313" s="876" t="e">
        <f>+H274-H292</f>
        <v>#N/A</v>
      </c>
      <c r="I313" s="874" t="str">
        <f t="shared" ref="I313:I330" si="21">IF($E$7= "", "Not Required for HOME Only Applications"," ")</f>
        <v xml:space="preserve"> </v>
      </c>
    </row>
    <row r="314" spans="1:9" ht="15" x14ac:dyDescent="0.25">
      <c r="A314" s="853"/>
      <c r="B314" s="872"/>
      <c r="C314" s="1564" t="s">
        <v>1346</v>
      </c>
      <c r="D314" s="1565"/>
      <c r="E314" s="1565"/>
      <c r="F314" s="1565"/>
      <c r="G314" s="1566"/>
      <c r="H314" s="876" t="e">
        <f t="shared" ref="H314:H318" si="22">+H275-H293</f>
        <v>#N/A</v>
      </c>
      <c r="I314" s="874" t="str">
        <f t="shared" si="21"/>
        <v xml:space="preserve"> </v>
      </c>
    </row>
    <row r="315" spans="1:9" ht="15" x14ac:dyDescent="0.25">
      <c r="A315" s="853"/>
      <c r="B315" s="872"/>
      <c r="C315" s="1564" t="s">
        <v>1347</v>
      </c>
      <c r="D315" s="1565"/>
      <c r="E315" s="1565"/>
      <c r="F315" s="1565"/>
      <c r="G315" s="1566"/>
      <c r="H315" s="876" t="e">
        <f t="shared" si="22"/>
        <v>#N/A</v>
      </c>
      <c r="I315" s="874" t="str">
        <f t="shared" si="21"/>
        <v xml:space="preserve"> </v>
      </c>
    </row>
    <row r="316" spans="1:9" ht="15" x14ac:dyDescent="0.25">
      <c r="A316" s="853"/>
      <c r="B316" s="872"/>
      <c r="C316" s="1564" t="s">
        <v>1348</v>
      </c>
      <c r="D316" s="1565"/>
      <c r="E316" s="1565"/>
      <c r="F316" s="1565"/>
      <c r="G316" s="1566"/>
      <c r="H316" s="876" t="e">
        <f t="shared" si="22"/>
        <v>#N/A</v>
      </c>
      <c r="I316" s="874" t="str">
        <f t="shared" si="21"/>
        <v xml:space="preserve"> </v>
      </c>
    </row>
    <row r="317" spans="1:9" ht="15" x14ac:dyDescent="0.25">
      <c r="A317" s="853"/>
      <c r="B317" s="872"/>
      <c r="C317" s="1564" t="s">
        <v>1349</v>
      </c>
      <c r="D317" s="1565"/>
      <c r="E317" s="1565"/>
      <c r="F317" s="1565"/>
      <c r="G317" s="1566"/>
      <c r="H317" s="876" t="e">
        <f t="shared" si="22"/>
        <v>#N/A</v>
      </c>
      <c r="I317" s="874" t="str">
        <f t="shared" si="21"/>
        <v xml:space="preserve"> </v>
      </c>
    </row>
    <row r="318" spans="1:9" ht="15" x14ac:dyDescent="0.25">
      <c r="A318" s="853"/>
      <c r="B318" s="872"/>
      <c r="C318" s="1564" t="s">
        <v>1350</v>
      </c>
      <c r="D318" s="1565"/>
      <c r="E318" s="1565"/>
      <c r="F318" s="1565"/>
      <c r="G318" s="1566"/>
      <c r="H318" s="876" t="e">
        <f t="shared" si="22"/>
        <v>#N/A</v>
      </c>
      <c r="I318" s="874" t="str">
        <f t="shared" si="21"/>
        <v xml:space="preserve"> </v>
      </c>
    </row>
    <row r="319" spans="1:9" ht="15" x14ac:dyDescent="0.25">
      <c r="A319" s="853"/>
      <c r="B319" s="872"/>
      <c r="C319" s="1564" t="s">
        <v>1351</v>
      </c>
      <c r="D319" s="1565"/>
      <c r="E319" s="1565"/>
      <c r="F319" s="1565"/>
      <c r="G319" s="1566"/>
      <c r="H319" s="876" t="e">
        <f>+H280-H292</f>
        <v>#N/A</v>
      </c>
      <c r="I319" s="874" t="str">
        <f t="shared" si="21"/>
        <v xml:space="preserve"> </v>
      </c>
    </row>
    <row r="320" spans="1:9" ht="15" x14ac:dyDescent="0.25">
      <c r="A320" s="853"/>
      <c r="B320" s="872"/>
      <c r="C320" s="1564" t="s">
        <v>1352</v>
      </c>
      <c r="D320" s="1565"/>
      <c r="E320" s="1565"/>
      <c r="F320" s="1565"/>
      <c r="G320" s="1566"/>
      <c r="H320" s="876" t="e">
        <f t="shared" ref="H320:H324" si="23">+H281-H293</f>
        <v>#N/A</v>
      </c>
      <c r="I320" s="874" t="str">
        <f t="shared" si="21"/>
        <v xml:space="preserve"> </v>
      </c>
    </row>
    <row r="321" spans="1:9" ht="15" x14ac:dyDescent="0.25">
      <c r="A321" s="853"/>
      <c r="B321" s="872"/>
      <c r="C321" s="1564" t="s">
        <v>1353</v>
      </c>
      <c r="D321" s="1565"/>
      <c r="E321" s="1565"/>
      <c r="F321" s="1565"/>
      <c r="G321" s="1566"/>
      <c r="H321" s="876" t="e">
        <f t="shared" si="23"/>
        <v>#N/A</v>
      </c>
      <c r="I321" s="874" t="str">
        <f t="shared" si="21"/>
        <v xml:space="preserve"> </v>
      </c>
    </row>
    <row r="322" spans="1:9" ht="15" x14ac:dyDescent="0.25">
      <c r="A322" s="853"/>
      <c r="B322" s="872"/>
      <c r="C322" s="1564" t="s">
        <v>1354</v>
      </c>
      <c r="D322" s="1565"/>
      <c r="E322" s="1565"/>
      <c r="F322" s="1565"/>
      <c r="G322" s="1566"/>
      <c r="H322" s="876" t="e">
        <f t="shared" si="23"/>
        <v>#N/A</v>
      </c>
      <c r="I322" s="874" t="str">
        <f t="shared" si="21"/>
        <v xml:space="preserve"> </v>
      </c>
    </row>
    <row r="323" spans="1:9" ht="15" x14ac:dyDescent="0.25">
      <c r="A323" s="853"/>
      <c r="B323" s="872"/>
      <c r="C323" s="1564" t="s">
        <v>1355</v>
      </c>
      <c r="D323" s="1565"/>
      <c r="E323" s="1565"/>
      <c r="F323" s="1565"/>
      <c r="G323" s="1566"/>
      <c r="H323" s="876" t="e">
        <f t="shared" si="23"/>
        <v>#N/A</v>
      </c>
      <c r="I323" s="874" t="str">
        <f t="shared" si="21"/>
        <v xml:space="preserve"> </v>
      </c>
    </row>
    <row r="324" spans="1:9" ht="15" x14ac:dyDescent="0.25">
      <c r="A324" s="853"/>
      <c r="B324" s="872"/>
      <c r="C324" s="1564" t="s">
        <v>1356</v>
      </c>
      <c r="D324" s="1565"/>
      <c r="E324" s="1565"/>
      <c r="F324" s="1565"/>
      <c r="G324" s="1566"/>
      <c r="H324" s="876" t="e">
        <f t="shared" si="23"/>
        <v>#N/A</v>
      </c>
      <c r="I324" s="874" t="str">
        <f t="shared" si="21"/>
        <v xml:space="preserve"> </v>
      </c>
    </row>
    <row r="325" spans="1:9" ht="15" x14ac:dyDescent="0.25">
      <c r="A325" s="853"/>
      <c r="B325" s="872"/>
      <c r="C325" s="1564" t="s">
        <v>1357</v>
      </c>
      <c r="D325" s="1565"/>
      <c r="E325" s="1565"/>
      <c r="F325" s="1565"/>
      <c r="G325" s="1566"/>
      <c r="H325" s="876" t="e">
        <v>#N/A</v>
      </c>
      <c r="I325" s="874" t="str">
        <f t="shared" si="21"/>
        <v xml:space="preserve"> </v>
      </c>
    </row>
    <row r="326" spans="1:9" ht="15" x14ac:dyDescent="0.25">
      <c r="A326" s="853"/>
      <c r="B326" s="872"/>
      <c r="C326" s="1564" t="s">
        <v>1358</v>
      </c>
      <c r="D326" s="1565"/>
      <c r="E326" s="1565"/>
      <c r="F326" s="1565"/>
      <c r="G326" s="1566"/>
      <c r="H326" s="876" t="e">
        <v>#N/A</v>
      </c>
      <c r="I326" s="874" t="str">
        <f t="shared" si="21"/>
        <v xml:space="preserve"> </v>
      </c>
    </row>
    <row r="327" spans="1:9" ht="15" x14ac:dyDescent="0.25">
      <c r="A327" s="853"/>
      <c r="B327" s="872"/>
      <c r="C327" s="1564" t="s">
        <v>1359</v>
      </c>
      <c r="D327" s="1565"/>
      <c r="E327" s="1565"/>
      <c r="F327" s="1565"/>
      <c r="G327" s="1566"/>
      <c r="H327" s="876" t="e">
        <v>#N/A</v>
      </c>
      <c r="I327" s="874" t="str">
        <f t="shared" si="21"/>
        <v xml:space="preserve"> </v>
      </c>
    </row>
    <row r="328" spans="1:9" ht="15" x14ac:dyDescent="0.25">
      <c r="A328" s="853"/>
      <c r="B328" s="872"/>
      <c r="C328" s="1564" t="s">
        <v>1360</v>
      </c>
      <c r="D328" s="1565"/>
      <c r="E328" s="1565"/>
      <c r="F328" s="1565"/>
      <c r="G328" s="1566"/>
      <c r="H328" s="876" t="e">
        <v>#N/A</v>
      </c>
      <c r="I328" s="874" t="str">
        <f t="shared" si="21"/>
        <v xml:space="preserve"> </v>
      </c>
    </row>
    <row r="329" spans="1:9" ht="15" x14ac:dyDescent="0.25">
      <c r="A329" s="853"/>
      <c r="B329" s="872"/>
      <c r="C329" s="1564" t="s">
        <v>1361</v>
      </c>
      <c r="D329" s="1565"/>
      <c r="E329" s="1565"/>
      <c r="F329" s="1565"/>
      <c r="G329" s="1566"/>
      <c r="H329" s="876" t="e">
        <v>#N/A</v>
      </c>
      <c r="I329" s="874" t="str">
        <f t="shared" si="21"/>
        <v xml:space="preserve"> </v>
      </c>
    </row>
    <row r="330" spans="1:9" ht="15" x14ac:dyDescent="0.25">
      <c r="A330" s="853"/>
      <c r="B330" s="872"/>
      <c r="C330" s="1564" t="s">
        <v>1362</v>
      </c>
      <c r="D330" s="1565"/>
      <c r="E330" s="1565"/>
      <c r="F330" s="1565"/>
      <c r="G330" s="1566"/>
      <c r="H330" s="876" t="e">
        <v>#N/A</v>
      </c>
      <c r="I330" s="874" t="str">
        <f t="shared" si="21"/>
        <v xml:space="preserve"> </v>
      </c>
    </row>
    <row r="331" spans="1:9" ht="15" x14ac:dyDescent="0.25">
      <c r="A331" s="853"/>
      <c r="B331" s="872"/>
      <c r="C331" s="1564"/>
      <c r="D331" s="1565"/>
      <c r="E331" s="1565"/>
      <c r="F331" s="1565"/>
      <c r="G331" s="1566"/>
      <c r="H331" s="876"/>
      <c r="I331" s="897"/>
    </row>
    <row r="332" spans="1:9" ht="15" x14ac:dyDescent="0.25">
      <c r="A332" s="853"/>
      <c r="B332" s="872">
        <v>82</v>
      </c>
      <c r="C332" s="1531" t="s">
        <v>1363</v>
      </c>
      <c r="D332" s="1531"/>
      <c r="E332" s="1531"/>
      <c r="F332" s="1531"/>
      <c r="G332" s="1531"/>
      <c r="H332" s="881"/>
      <c r="I332" s="899"/>
    </row>
    <row r="333" spans="1:9" ht="15" x14ac:dyDescent="0.25">
      <c r="A333" s="853"/>
      <c r="B333" s="872">
        <v>83</v>
      </c>
      <c r="C333" s="1552" t="s">
        <v>1365</v>
      </c>
      <c r="D333" s="1552"/>
      <c r="E333" s="1552"/>
      <c r="F333" s="1552"/>
      <c r="G333" s="1552"/>
      <c r="H333" s="889" t="e">
        <f>IF(H110&gt;=1000,"Yes","No")</f>
        <v>#DIV/0!</v>
      </c>
      <c r="I333" s="897" t="e">
        <f>IF(H333="Yes", "Ok", "Ineligible as submitted")</f>
        <v>#DIV/0!</v>
      </c>
    </row>
    <row r="334" spans="1:9" ht="15" x14ac:dyDescent="0.25">
      <c r="A334" s="853"/>
      <c r="B334" s="872"/>
      <c r="C334" s="1529"/>
      <c r="D334" s="1529"/>
      <c r="E334" s="1529"/>
      <c r="F334" s="1529"/>
      <c r="G334" s="1529"/>
      <c r="H334" s="882"/>
      <c r="I334" s="877"/>
    </row>
    <row r="335" spans="1:9" ht="15" x14ac:dyDescent="0.25">
      <c r="A335" s="853"/>
      <c r="B335" s="872"/>
      <c r="C335" s="1529"/>
      <c r="D335" s="1529"/>
      <c r="E335" s="1529"/>
      <c r="F335" s="1529"/>
      <c r="G335" s="1529"/>
      <c r="H335" s="882"/>
      <c r="I335" s="877"/>
    </row>
    <row r="336" spans="1:9" ht="15" x14ac:dyDescent="0.25">
      <c r="A336" s="853"/>
      <c r="B336" s="872"/>
      <c r="C336" s="1529"/>
      <c r="D336" s="1529"/>
      <c r="E336" s="1529"/>
      <c r="F336" s="1529"/>
      <c r="G336" s="1529"/>
      <c r="H336" s="900"/>
      <c r="I336" s="877"/>
    </row>
    <row r="337" spans="1:9" ht="15" x14ac:dyDescent="0.25">
      <c r="A337" s="853"/>
      <c r="B337" s="872"/>
      <c r="C337" s="1601"/>
      <c r="D337" s="1601"/>
      <c r="E337" s="1601"/>
      <c r="F337" s="1601"/>
      <c r="G337" s="1601"/>
      <c r="H337" s="900"/>
      <c r="I337" s="877"/>
    </row>
    <row r="338" spans="1:9" ht="15" x14ac:dyDescent="0.25">
      <c r="A338" s="853"/>
      <c r="B338" s="872"/>
      <c r="C338" s="1529"/>
      <c r="D338" s="1529"/>
      <c r="E338" s="1529"/>
      <c r="F338" s="1529"/>
      <c r="G338" s="1529"/>
      <c r="H338" s="900"/>
      <c r="I338" s="877"/>
    </row>
    <row r="339" spans="1:9" ht="15" x14ac:dyDescent="0.25">
      <c r="A339" s="853"/>
      <c r="B339" s="872"/>
      <c r="C339" s="1529"/>
      <c r="D339" s="1529"/>
      <c r="E339" s="1529"/>
      <c r="F339" s="1529"/>
      <c r="G339" s="1529"/>
      <c r="H339" s="901"/>
      <c r="I339" s="877"/>
    </row>
    <row r="340" spans="1:9" ht="15" x14ac:dyDescent="0.25">
      <c r="A340" s="853"/>
      <c r="B340" s="872"/>
      <c r="C340" s="1552"/>
      <c r="D340" s="1552"/>
      <c r="E340" s="1552"/>
      <c r="F340" s="1552"/>
      <c r="G340" s="1552"/>
      <c r="H340" s="902"/>
      <c r="I340" s="877"/>
    </row>
    <row r="341" spans="1:9" ht="15" x14ac:dyDescent="0.25">
      <c r="A341" s="853"/>
      <c r="B341" s="872"/>
      <c r="C341" s="1552"/>
      <c r="D341" s="1552"/>
      <c r="E341" s="1552"/>
      <c r="F341" s="1552"/>
      <c r="G341" s="1552"/>
      <c r="H341" s="881"/>
      <c r="I341" s="877"/>
    </row>
    <row r="342" spans="1:9" ht="15" x14ac:dyDescent="0.25">
      <c r="A342" s="853"/>
      <c r="B342" s="872"/>
      <c r="C342" s="1526"/>
      <c r="D342" s="1527"/>
      <c r="E342" s="1527"/>
      <c r="F342" s="1527"/>
      <c r="G342" s="1528"/>
      <c r="H342" s="883"/>
      <c r="I342" s="877"/>
    </row>
    <row r="343" spans="1:9" ht="15.75" x14ac:dyDescent="0.25">
      <c r="A343" s="853"/>
      <c r="B343" s="1599" t="s">
        <v>1366</v>
      </c>
      <c r="C343" s="1600"/>
      <c r="D343" s="1600"/>
      <c r="E343" s="1600"/>
      <c r="F343" s="1600"/>
      <c r="G343" s="1600"/>
      <c r="H343" s="883"/>
      <c r="I343" s="877"/>
    </row>
    <row r="344" spans="1:9" ht="15" x14ac:dyDescent="0.25">
      <c r="A344" s="853"/>
      <c r="B344" s="872"/>
      <c r="C344" s="1526"/>
      <c r="D344" s="1527"/>
      <c r="E344" s="1527"/>
      <c r="F344" s="1527"/>
      <c r="G344" s="1528"/>
      <c r="H344" s="883"/>
      <c r="I344" s="877"/>
    </row>
    <row r="345" spans="1:9" ht="15" x14ac:dyDescent="0.25">
      <c r="A345" s="853"/>
      <c r="B345" s="872"/>
      <c r="C345" s="1595" t="s">
        <v>1367</v>
      </c>
      <c r="D345" s="1595"/>
      <c r="E345" s="1595"/>
      <c r="F345" s="1595"/>
      <c r="G345" s="1595"/>
      <c r="H345" s="883"/>
      <c r="I345" s="877"/>
    </row>
    <row r="346" spans="1:9" ht="15" x14ac:dyDescent="0.25">
      <c r="A346" s="853"/>
      <c r="B346" s="872">
        <v>1</v>
      </c>
      <c r="C346" s="1531" t="s">
        <v>1368</v>
      </c>
      <c r="D346" s="1531"/>
      <c r="E346" s="1531"/>
      <c r="F346" s="1531"/>
      <c r="G346" s="1531"/>
      <c r="H346" s="881"/>
      <c r="I346" s="897"/>
    </row>
    <row r="347" spans="1:9" ht="15" x14ac:dyDescent="0.25">
      <c r="A347" s="853"/>
      <c r="B347" s="872">
        <v>2</v>
      </c>
      <c r="C347" s="1531" t="s">
        <v>1369</v>
      </c>
      <c r="D347" s="1531"/>
      <c r="E347" s="1531"/>
      <c r="F347" s="1531"/>
      <c r="G347" s="1531"/>
      <c r="H347" s="903" t="str">
        <f>IF(H18=H14, "Yes", "No")</f>
        <v>Yes</v>
      </c>
      <c r="I347" s="897" t="str">
        <f>IF(H347= "Yes", "Ok", "Ineligible as submitted")</f>
        <v>Ok</v>
      </c>
    </row>
    <row r="348" spans="1:9" ht="15" x14ac:dyDescent="0.25">
      <c r="A348" s="853"/>
      <c r="B348" s="872">
        <v>3</v>
      </c>
      <c r="C348" s="1531" t="s">
        <v>1370</v>
      </c>
      <c r="D348" s="1531"/>
      <c r="E348" s="1531"/>
      <c r="F348" s="1531"/>
      <c r="G348" s="1531"/>
      <c r="H348" s="881"/>
      <c r="I348" s="897"/>
    </row>
    <row r="349" spans="1:9" ht="36.75" customHeight="1" x14ac:dyDescent="0.25">
      <c r="A349" s="853"/>
      <c r="B349" s="872">
        <v>4</v>
      </c>
      <c r="C349" s="1552" t="s">
        <v>1371</v>
      </c>
      <c r="D349" s="1552"/>
      <c r="E349" s="1552"/>
      <c r="F349" s="1552"/>
      <c r="G349" s="1552"/>
      <c r="H349" s="881"/>
      <c r="I349" s="897"/>
    </row>
    <row r="350" spans="1:9" ht="46.5" customHeight="1" x14ac:dyDescent="0.25">
      <c r="A350" s="853"/>
      <c r="B350" s="872">
        <v>5</v>
      </c>
      <c r="C350" s="1552" t="s">
        <v>1372</v>
      </c>
      <c r="D350" s="1552"/>
      <c r="E350" s="1552"/>
      <c r="F350" s="1552"/>
      <c r="G350" s="1552"/>
      <c r="H350" s="881"/>
      <c r="I350" s="897"/>
    </row>
    <row r="351" spans="1:9" ht="39" customHeight="1" x14ac:dyDescent="0.25">
      <c r="A351" s="853"/>
      <c r="B351" s="872">
        <v>6</v>
      </c>
      <c r="C351" s="1552" t="s">
        <v>1373</v>
      </c>
      <c r="D351" s="1593"/>
      <c r="E351" s="1593"/>
      <c r="F351" s="1593"/>
      <c r="G351" s="1593"/>
      <c r="H351" s="881"/>
      <c r="I351" s="897"/>
    </row>
    <row r="352" spans="1:9" ht="42" customHeight="1" x14ac:dyDescent="0.25">
      <c r="A352" s="853"/>
      <c r="B352" s="872">
        <v>7</v>
      </c>
      <c r="C352" s="1552" t="s">
        <v>1374</v>
      </c>
      <c r="D352" s="1593"/>
      <c r="E352" s="1593"/>
      <c r="F352" s="1593"/>
      <c r="G352" s="1593"/>
      <c r="H352" s="881"/>
      <c r="I352" s="873"/>
    </row>
    <row r="353" spans="1:9" ht="32.25" customHeight="1" x14ac:dyDescent="0.25">
      <c r="A353" s="853"/>
      <c r="B353" s="872">
        <v>8</v>
      </c>
      <c r="C353" s="1552" t="s">
        <v>1375</v>
      </c>
      <c r="D353" s="1593"/>
      <c r="E353" s="1593"/>
      <c r="F353" s="1593"/>
      <c r="G353" s="1593"/>
      <c r="H353" s="881"/>
      <c r="I353" s="897"/>
    </row>
    <row r="354" spans="1:9" ht="61.5" customHeight="1" x14ac:dyDescent="0.25">
      <c r="A354" s="853"/>
      <c r="B354" s="872">
        <v>9</v>
      </c>
      <c r="C354" s="1552" t="s">
        <v>1376</v>
      </c>
      <c r="D354" s="1593"/>
      <c r="E354" s="1593"/>
      <c r="F354" s="1593"/>
      <c r="G354" s="1593"/>
      <c r="H354" s="881"/>
      <c r="I354" s="897"/>
    </row>
    <row r="355" spans="1:9" ht="66.75" customHeight="1" x14ac:dyDescent="0.25">
      <c r="A355" s="853"/>
      <c r="B355" s="872">
        <v>10</v>
      </c>
      <c r="C355" s="1597" t="s">
        <v>1377</v>
      </c>
      <c r="D355" s="1598"/>
      <c r="E355" s="1598"/>
      <c r="F355" s="1598"/>
      <c r="G355" s="1598"/>
      <c r="H355" s="881"/>
      <c r="I355" s="897"/>
    </row>
    <row r="356" spans="1:9" ht="15" x14ac:dyDescent="0.25">
      <c r="A356" s="853"/>
      <c r="B356" s="872">
        <v>11</v>
      </c>
      <c r="C356" s="1552" t="s">
        <v>1378</v>
      </c>
      <c r="D356" s="1593"/>
      <c r="E356" s="1593"/>
      <c r="F356" s="1593"/>
      <c r="G356" s="1593"/>
      <c r="H356" s="881"/>
      <c r="I356" s="897"/>
    </row>
    <row r="357" spans="1:9" ht="64.5" customHeight="1" x14ac:dyDescent="0.25">
      <c r="A357" s="853"/>
      <c r="B357" s="872">
        <v>12</v>
      </c>
      <c r="C357" s="1552" t="s">
        <v>1379</v>
      </c>
      <c r="D357" s="1593"/>
      <c r="E357" s="1593"/>
      <c r="F357" s="1593"/>
      <c r="G357" s="1593"/>
      <c r="H357" s="881"/>
      <c r="I357" s="897"/>
    </row>
    <row r="358" spans="1:9" ht="15" x14ac:dyDescent="0.25">
      <c r="A358" s="853"/>
      <c r="B358" s="872">
        <v>13</v>
      </c>
      <c r="C358" s="1552" t="s">
        <v>1380</v>
      </c>
      <c r="D358" s="1552"/>
      <c r="E358" s="1552"/>
      <c r="F358" s="1552"/>
      <c r="G358" s="1552"/>
      <c r="H358" s="876">
        <f>+'Primary Input'!E101</f>
        <v>0</v>
      </c>
      <c r="I358" s="873" t="str">
        <f t="shared" ref="I358:I361" si="24">IF(H358&gt;" ","Pass", "Must Be Filled In")</f>
        <v>Must Be Filled In</v>
      </c>
    </row>
    <row r="359" spans="1:9" ht="15" x14ac:dyDescent="0.25">
      <c r="A359" s="853"/>
      <c r="B359" s="872">
        <v>14</v>
      </c>
      <c r="C359" s="1552" t="s">
        <v>1381</v>
      </c>
      <c r="D359" s="1552"/>
      <c r="E359" s="1552"/>
      <c r="F359" s="1552"/>
      <c r="G359" s="1552"/>
      <c r="H359" s="889">
        <f>+'Primary Input'!E102</f>
        <v>0</v>
      </c>
      <c r="I359" s="873" t="str">
        <f t="shared" si="24"/>
        <v>Must Be Filled In</v>
      </c>
    </row>
    <row r="360" spans="1:9" ht="15" x14ac:dyDescent="0.25">
      <c r="A360" s="853"/>
      <c r="B360" s="872">
        <v>15</v>
      </c>
      <c r="C360" s="1552" t="s">
        <v>1382</v>
      </c>
      <c r="D360" s="1552"/>
      <c r="E360" s="1552"/>
      <c r="F360" s="1552"/>
      <c r="G360" s="1552"/>
      <c r="H360" s="889">
        <f>+'Primary Input'!E102</f>
        <v>0</v>
      </c>
      <c r="I360" s="873" t="str">
        <f t="shared" si="24"/>
        <v>Must Be Filled In</v>
      </c>
    </row>
    <row r="361" spans="1:9" ht="18" customHeight="1" x14ac:dyDescent="0.25">
      <c r="A361" s="853"/>
      <c r="B361" s="872">
        <v>16</v>
      </c>
      <c r="C361" s="1552" t="s">
        <v>1383</v>
      </c>
      <c r="D361" s="1552"/>
      <c r="E361" s="1552"/>
      <c r="F361" s="1552"/>
      <c r="G361" s="1552"/>
      <c r="H361" s="889">
        <f>+'Primary Input'!E103</f>
        <v>0</v>
      </c>
      <c r="I361" s="873" t="str">
        <f t="shared" si="24"/>
        <v>Must Be Filled In</v>
      </c>
    </row>
    <row r="362" spans="1:9" ht="50.25" customHeight="1" x14ac:dyDescent="0.25">
      <c r="A362" s="853"/>
      <c r="B362" s="872">
        <v>17</v>
      </c>
      <c r="C362" s="1552" t="s">
        <v>1384</v>
      </c>
      <c r="D362" s="1593"/>
      <c r="E362" s="1593"/>
      <c r="F362" s="1593"/>
      <c r="G362" s="1593"/>
      <c r="H362" s="881"/>
      <c r="I362" s="897"/>
    </row>
    <row r="363" spans="1:9" ht="63.75" customHeight="1" x14ac:dyDescent="0.25">
      <c r="A363" s="853"/>
      <c r="B363" s="872">
        <v>18</v>
      </c>
      <c r="C363" s="1552" t="s">
        <v>1385</v>
      </c>
      <c r="D363" s="1593"/>
      <c r="E363" s="1593"/>
      <c r="F363" s="1593"/>
      <c r="G363" s="1593"/>
      <c r="H363" s="881"/>
      <c r="I363" s="897"/>
    </row>
    <row r="364" spans="1:9" ht="66.75" customHeight="1" x14ac:dyDescent="0.25">
      <c r="A364" s="853"/>
      <c r="B364" s="872">
        <v>19</v>
      </c>
      <c r="C364" s="1552" t="s">
        <v>1386</v>
      </c>
      <c r="D364" s="1593"/>
      <c r="E364" s="1593"/>
      <c r="F364" s="1593"/>
      <c r="G364" s="1593"/>
      <c r="H364" s="881"/>
      <c r="I364" s="897"/>
    </row>
    <row r="365" spans="1:9" ht="87" customHeight="1" x14ac:dyDescent="0.25">
      <c r="A365" s="853"/>
      <c r="B365" s="872">
        <v>20</v>
      </c>
      <c r="C365" s="1552" t="s">
        <v>1387</v>
      </c>
      <c r="D365" s="1593"/>
      <c r="E365" s="1593"/>
      <c r="F365" s="1593"/>
      <c r="G365" s="1593"/>
      <c r="H365" s="881"/>
      <c r="I365" s="897"/>
    </row>
    <row r="366" spans="1:9" ht="15" x14ac:dyDescent="0.25">
      <c r="A366" s="853"/>
      <c r="B366" s="872">
        <v>21</v>
      </c>
      <c r="C366" s="1531" t="s">
        <v>1388</v>
      </c>
      <c r="D366" s="1531"/>
      <c r="E366" s="1531"/>
      <c r="F366" s="1531"/>
      <c r="G366" s="1531"/>
      <c r="H366" s="881"/>
      <c r="I366" s="897"/>
    </row>
    <row r="367" spans="1:9" ht="54" customHeight="1" x14ac:dyDescent="0.25">
      <c r="A367" s="853"/>
      <c r="B367" s="872">
        <v>22</v>
      </c>
      <c r="C367" s="1552" t="s">
        <v>1389</v>
      </c>
      <c r="D367" s="1593"/>
      <c r="E367" s="1593"/>
      <c r="F367" s="1593"/>
      <c r="G367" s="1593"/>
      <c r="H367" s="881"/>
      <c r="I367" s="897"/>
    </row>
    <row r="368" spans="1:9" ht="15" x14ac:dyDescent="0.25">
      <c r="A368" s="853"/>
      <c r="B368" s="872">
        <v>23</v>
      </c>
      <c r="C368" s="1531" t="s">
        <v>1390</v>
      </c>
      <c r="D368" s="1531"/>
      <c r="E368" s="1531"/>
      <c r="F368" s="1531"/>
      <c r="G368" s="1531"/>
      <c r="H368" s="881"/>
      <c r="I368" s="873"/>
    </row>
    <row r="369" spans="1:9" ht="15" x14ac:dyDescent="0.25">
      <c r="A369" s="853"/>
      <c r="B369" s="872">
        <v>24</v>
      </c>
      <c r="C369" s="1531" t="s">
        <v>1391</v>
      </c>
      <c r="D369" s="1531"/>
      <c r="E369" s="1531"/>
      <c r="F369" s="1531"/>
      <c r="G369" s="1531"/>
      <c r="H369" s="903" t="e">
        <f>IF(H15/H14&lt;=0.85, "Yes","No")</f>
        <v>#DIV/0!</v>
      </c>
      <c r="I369" s="897"/>
    </row>
    <row r="370" spans="1:9" ht="54" customHeight="1" x14ac:dyDescent="0.25">
      <c r="A370" s="853"/>
      <c r="B370" s="872">
        <v>25</v>
      </c>
      <c r="C370" s="1552" t="s">
        <v>1392</v>
      </c>
      <c r="D370" s="1593"/>
      <c r="E370" s="1593"/>
      <c r="F370" s="1593"/>
      <c r="G370" s="1593"/>
      <c r="H370" s="881"/>
      <c r="I370" s="897"/>
    </row>
    <row r="371" spans="1:9" ht="49.5" customHeight="1" x14ac:dyDescent="0.25">
      <c r="A371" s="853"/>
      <c r="B371" s="872">
        <v>26</v>
      </c>
      <c r="C371" s="1552" t="s">
        <v>1393</v>
      </c>
      <c r="D371" s="1593"/>
      <c r="E371" s="1593"/>
      <c r="F371" s="1593"/>
      <c r="G371" s="1593"/>
      <c r="H371" s="881"/>
      <c r="I371" s="897"/>
    </row>
    <row r="372" spans="1:9" ht="44.25" customHeight="1" x14ac:dyDescent="0.25">
      <c r="A372" s="853"/>
      <c r="B372" s="872">
        <v>27</v>
      </c>
      <c r="C372" s="1552" t="s">
        <v>1394</v>
      </c>
      <c r="D372" s="1593"/>
      <c r="E372" s="1593"/>
      <c r="F372" s="1593"/>
      <c r="G372" s="1593"/>
      <c r="H372" s="881"/>
      <c r="I372" s="897"/>
    </row>
    <row r="373" spans="1:9" ht="56.25" customHeight="1" x14ac:dyDescent="0.25">
      <c r="A373" s="853"/>
      <c r="B373" s="872">
        <v>28</v>
      </c>
      <c r="C373" s="1552" t="s">
        <v>1395</v>
      </c>
      <c r="D373" s="1593"/>
      <c r="E373" s="1593"/>
      <c r="F373" s="1593"/>
      <c r="G373" s="1593"/>
      <c r="H373" s="881"/>
      <c r="I373" s="873"/>
    </row>
    <row r="374" spans="1:9" ht="50.25" customHeight="1" x14ac:dyDescent="0.25">
      <c r="A374" s="853"/>
      <c r="B374" s="872">
        <v>29</v>
      </c>
      <c r="C374" s="1552" t="s">
        <v>1396</v>
      </c>
      <c r="D374" s="1593"/>
      <c r="E374" s="1593"/>
      <c r="F374" s="1593"/>
      <c r="G374" s="1593"/>
      <c r="H374" s="881"/>
      <c r="I374" s="897"/>
    </row>
    <row r="375" spans="1:9" ht="62.25" customHeight="1" x14ac:dyDescent="0.25">
      <c r="A375" s="853"/>
      <c r="B375" s="872">
        <v>30</v>
      </c>
      <c r="C375" s="1552" t="s">
        <v>1397</v>
      </c>
      <c r="D375" s="1593"/>
      <c r="E375" s="1593"/>
      <c r="F375" s="1593"/>
      <c r="G375" s="1593"/>
      <c r="H375" s="881"/>
      <c r="I375" s="897"/>
    </row>
    <row r="376" spans="1:9" ht="51" customHeight="1" x14ac:dyDescent="0.25">
      <c r="A376" s="853"/>
      <c r="B376" s="872">
        <v>31</v>
      </c>
      <c r="C376" s="1552" t="s">
        <v>1398</v>
      </c>
      <c r="D376" s="1593"/>
      <c r="E376" s="1593"/>
      <c r="F376" s="1593"/>
      <c r="G376" s="1593"/>
      <c r="H376" s="881"/>
      <c r="I376" s="873"/>
    </row>
    <row r="377" spans="1:9" ht="15" x14ac:dyDescent="0.25">
      <c r="A377" s="853"/>
      <c r="B377" s="872">
        <v>32</v>
      </c>
      <c r="C377" s="1552" t="s">
        <v>1399</v>
      </c>
      <c r="D377" s="1593"/>
      <c r="E377" s="1593"/>
      <c r="F377" s="1593"/>
      <c r="G377" s="1593"/>
      <c r="H377" s="881"/>
      <c r="I377" s="897"/>
    </row>
    <row r="378" spans="1:9" ht="57.75" customHeight="1" x14ac:dyDescent="0.25">
      <c r="A378" s="853"/>
      <c r="B378" s="872">
        <v>33</v>
      </c>
      <c r="C378" s="1552" t="s">
        <v>1400</v>
      </c>
      <c r="D378" s="1593"/>
      <c r="E378" s="1593"/>
      <c r="F378" s="1593"/>
      <c r="G378" s="1593"/>
      <c r="H378" s="881"/>
      <c r="I378" s="873"/>
    </row>
    <row r="379" spans="1:9" ht="35.25" customHeight="1" x14ac:dyDescent="0.25">
      <c r="A379" s="853"/>
      <c r="B379" s="872">
        <v>34</v>
      </c>
      <c r="C379" s="1552" t="s">
        <v>1401</v>
      </c>
      <c r="D379" s="1593"/>
      <c r="E379" s="1593"/>
      <c r="F379" s="1593"/>
      <c r="G379" s="1593"/>
      <c r="H379" s="881"/>
      <c r="I379" s="897"/>
    </row>
    <row r="380" spans="1:9" ht="32.25" customHeight="1" x14ac:dyDescent="0.25">
      <c r="A380" s="853"/>
      <c r="B380" s="872">
        <v>35</v>
      </c>
      <c r="C380" s="1552" t="s">
        <v>1402</v>
      </c>
      <c r="D380" s="1552"/>
      <c r="E380" s="1552"/>
      <c r="F380" s="1552"/>
      <c r="G380" s="1552"/>
      <c r="H380" s="881"/>
      <c r="I380" s="897"/>
    </row>
    <row r="381" spans="1:9" ht="15" x14ac:dyDescent="0.25">
      <c r="A381" s="853"/>
      <c r="B381" s="872">
        <v>36</v>
      </c>
      <c r="C381" s="1531" t="s">
        <v>1403</v>
      </c>
      <c r="D381" s="1531"/>
      <c r="E381" s="1531"/>
      <c r="F381" s="1531"/>
      <c r="G381" s="1531"/>
      <c r="H381" s="881"/>
      <c r="I381" s="897"/>
    </row>
    <row r="382" spans="1:9" ht="31.5" customHeight="1" x14ac:dyDescent="0.25">
      <c r="A382" s="853"/>
      <c r="B382" s="872"/>
      <c r="C382" s="1552" t="s">
        <v>1404</v>
      </c>
      <c r="D382" s="1552"/>
      <c r="E382" s="1552"/>
      <c r="F382" s="1552"/>
      <c r="G382" s="1552"/>
      <c r="H382" s="881"/>
      <c r="I382" s="897"/>
    </row>
    <row r="383" spans="1:9" ht="15" x14ac:dyDescent="0.25">
      <c r="A383" s="853"/>
      <c r="B383" s="872">
        <v>37</v>
      </c>
      <c r="C383" s="1531" t="s">
        <v>1405</v>
      </c>
      <c r="D383" s="1531"/>
      <c r="E383" s="1531"/>
      <c r="F383" s="1531"/>
      <c r="G383" s="1531"/>
      <c r="H383" s="881"/>
      <c r="I383" s="873"/>
    </row>
    <row r="384" spans="1:9" ht="28.5" customHeight="1" x14ac:dyDescent="0.25">
      <c r="A384" s="853"/>
      <c r="B384" s="872">
        <v>38</v>
      </c>
      <c r="C384" s="1552" t="s">
        <v>1406</v>
      </c>
      <c r="D384" s="1552"/>
      <c r="E384" s="1552"/>
      <c r="F384" s="1552"/>
      <c r="G384" s="1552"/>
      <c r="H384" s="881"/>
      <c r="I384" s="873" t="str">
        <f>IF(H384="No", "Ineligible as Submitted.", " ")</f>
        <v xml:space="preserve"> </v>
      </c>
    </row>
    <row r="385" spans="1:9" ht="35.25" customHeight="1" x14ac:dyDescent="0.25">
      <c r="A385" s="853"/>
      <c r="B385" s="872">
        <v>39</v>
      </c>
      <c r="C385" s="1552" t="s">
        <v>2020</v>
      </c>
      <c r="D385" s="1552"/>
      <c r="E385" s="1552"/>
      <c r="F385" s="1552"/>
      <c r="G385" s="1552"/>
      <c r="H385" s="1370" t="str">
        <f>(IF('Primary Input'!E39&gt;0,IF('Rehab or New Construction'!F30+'Rehab or New Construction'!F58&gt;0.51*'Primary Input'!E39,"YES","NO"), " "))</f>
        <v xml:space="preserve"> </v>
      </c>
      <c r="I385" s="877" t="str">
        <f>IF(H385="NO", "Project is Ineligible for Funding", " ")</f>
        <v xml:space="preserve"> </v>
      </c>
    </row>
    <row r="386" spans="1:9" ht="42.75" customHeight="1" x14ac:dyDescent="0.25">
      <c r="A386" s="853"/>
      <c r="B386" s="1108"/>
      <c r="C386" s="1596" t="s">
        <v>2019</v>
      </c>
      <c r="D386" s="1596"/>
      <c r="E386" s="1596"/>
      <c r="F386" s="1596"/>
      <c r="G386" s="1596"/>
      <c r="H386" s="881"/>
      <c r="I386" s="1109" t="str">
        <f>IF(H386="YES","Acquisition Cost Are Not Allowed", " ")</f>
        <v xml:space="preserve"> </v>
      </c>
    </row>
    <row r="387" spans="1:9" ht="15" x14ac:dyDescent="0.25">
      <c r="A387" s="853"/>
      <c r="B387" s="872"/>
      <c r="C387" s="1529"/>
      <c r="D387" s="1529"/>
      <c r="E387" s="1529"/>
      <c r="F387" s="1529"/>
      <c r="G387" s="1529"/>
      <c r="H387" s="881"/>
      <c r="I387" s="877"/>
    </row>
    <row r="388" spans="1:9" ht="15" x14ac:dyDescent="0.25">
      <c r="A388" s="853"/>
      <c r="B388" s="872"/>
      <c r="C388" s="1595" t="s">
        <v>1407</v>
      </c>
      <c r="D388" s="1595"/>
      <c r="E388" s="1595"/>
      <c r="F388" s="1595"/>
      <c r="G388" s="1595"/>
      <c r="H388" s="881"/>
      <c r="I388" s="877"/>
    </row>
    <row r="389" spans="1:9" ht="15" x14ac:dyDescent="0.25">
      <c r="A389" s="853"/>
      <c r="B389" s="872">
        <v>1</v>
      </c>
      <c r="C389" s="1531" t="s">
        <v>1408</v>
      </c>
      <c r="D389" s="1531"/>
      <c r="E389" s="1531"/>
      <c r="F389" s="1531"/>
      <c r="G389" s="1531"/>
      <c r="H389" s="881"/>
      <c r="I389" s="897"/>
    </row>
    <row r="390" spans="1:9" ht="15" x14ac:dyDescent="0.25">
      <c r="A390" s="853"/>
      <c r="B390" s="872">
        <v>2</v>
      </c>
      <c r="C390" s="1531" t="s">
        <v>1409</v>
      </c>
      <c r="D390" s="1531"/>
      <c r="E390" s="1531"/>
      <c r="F390" s="1531"/>
      <c r="G390" s="1531"/>
      <c r="H390" s="881"/>
      <c r="I390" s="897"/>
    </row>
    <row r="391" spans="1:9" ht="33.75" customHeight="1" x14ac:dyDescent="0.25">
      <c r="A391" s="853"/>
      <c r="B391" s="872">
        <v>3</v>
      </c>
      <c r="C391" s="1596" t="s">
        <v>1410</v>
      </c>
      <c r="D391" s="1596"/>
      <c r="E391" s="1596"/>
      <c r="F391" s="1596"/>
      <c r="G391" s="1596"/>
      <c r="H391" s="881"/>
      <c r="I391" s="897"/>
    </row>
    <row r="392" spans="1:9" ht="63" customHeight="1" x14ac:dyDescent="0.25">
      <c r="A392" s="853"/>
      <c r="B392" s="872">
        <v>4</v>
      </c>
      <c r="C392" s="1552" t="s">
        <v>1411</v>
      </c>
      <c r="D392" s="1552"/>
      <c r="E392" s="1552"/>
      <c r="F392" s="1552"/>
      <c r="G392" s="1552"/>
      <c r="H392" s="881"/>
      <c r="I392" s="897"/>
    </row>
    <row r="393" spans="1:9" ht="44.25" customHeight="1" x14ac:dyDescent="0.25">
      <c r="A393" s="853"/>
      <c r="B393" s="872">
        <v>5</v>
      </c>
      <c r="C393" s="1552" t="s">
        <v>1412</v>
      </c>
      <c r="D393" s="1552"/>
      <c r="E393" s="1552"/>
      <c r="F393" s="1552"/>
      <c r="G393" s="1552"/>
      <c r="H393" s="881"/>
      <c r="I393" s="897"/>
    </row>
    <row r="394" spans="1:9" ht="80.25" customHeight="1" x14ac:dyDescent="0.25">
      <c r="A394" s="853"/>
      <c r="B394" s="872">
        <v>6</v>
      </c>
      <c r="C394" s="1552" t="s">
        <v>1413</v>
      </c>
      <c r="D394" s="1552"/>
      <c r="E394" s="1552"/>
      <c r="F394" s="1552"/>
      <c r="G394" s="1552"/>
      <c r="H394" s="881"/>
      <c r="I394" s="897"/>
    </row>
    <row r="395" spans="1:9" ht="60" customHeight="1" x14ac:dyDescent="0.25">
      <c r="A395" s="853"/>
      <c r="B395" s="872">
        <v>7</v>
      </c>
      <c r="C395" s="1552" t="s">
        <v>1414</v>
      </c>
      <c r="D395" s="1552"/>
      <c r="E395" s="1552"/>
      <c r="F395" s="1552"/>
      <c r="G395" s="1552"/>
      <c r="H395" s="881"/>
      <c r="I395" s="897"/>
    </row>
    <row r="396" spans="1:9" ht="127.5" customHeight="1" x14ac:dyDescent="0.25">
      <c r="A396" s="853"/>
      <c r="B396" s="872">
        <v>8</v>
      </c>
      <c r="C396" s="1552" t="s">
        <v>1415</v>
      </c>
      <c r="D396" s="1552"/>
      <c r="E396" s="1552"/>
      <c r="F396" s="1552"/>
      <c r="G396" s="1552"/>
      <c r="H396" s="881"/>
      <c r="I396" s="897"/>
    </row>
    <row r="397" spans="1:9" ht="74.25" customHeight="1" x14ac:dyDescent="0.25">
      <c r="A397" s="853"/>
      <c r="B397" s="872">
        <v>9</v>
      </c>
      <c r="C397" s="1552" t="s">
        <v>1416</v>
      </c>
      <c r="D397" s="1552"/>
      <c r="E397" s="1552"/>
      <c r="F397" s="1552"/>
      <c r="G397" s="1552"/>
      <c r="H397" s="881"/>
      <c r="I397" s="897"/>
    </row>
    <row r="398" spans="1:9" ht="92.25" customHeight="1" x14ac:dyDescent="0.25">
      <c r="A398" s="853"/>
      <c r="B398" s="872">
        <v>10</v>
      </c>
      <c r="C398" s="1552" t="s">
        <v>1417</v>
      </c>
      <c r="D398" s="1552"/>
      <c r="E398" s="1552"/>
      <c r="F398" s="1552"/>
      <c r="G398" s="1552"/>
      <c r="H398" s="881"/>
      <c r="I398" s="897"/>
    </row>
    <row r="399" spans="1:9" ht="15" x14ac:dyDescent="0.25">
      <c r="A399" s="853"/>
      <c r="B399" s="872"/>
      <c r="C399" s="1529"/>
      <c r="D399" s="1529"/>
      <c r="E399" s="1529"/>
      <c r="F399" s="1529"/>
      <c r="G399" s="1529"/>
      <c r="H399" s="881"/>
      <c r="I399" s="877"/>
    </row>
    <row r="400" spans="1:9" ht="15" x14ac:dyDescent="0.25">
      <c r="A400" s="853"/>
      <c r="B400" s="872"/>
      <c r="C400" s="1529"/>
      <c r="D400" s="1529"/>
      <c r="E400" s="1529"/>
      <c r="F400" s="1529"/>
      <c r="G400" s="1529"/>
      <c r="H400" s="881"/>
      <c r="I400" s="877"/>
    </row>
    <row r="401" spans="1:12" ht="15" x14ac:dyDescent="0.25">
      <c r="A401" s="853"/>
      <c r="B401" s="872"/>
      <c r="C401" s="1595" t="s">
        <v>1418</v>
      </c>
      <c r="D401" s="1595"/>
      <c r="E401" s="1595"/>
      <c r="F401" s="1595"/>
      <c r="G401" s="1595"/>
      <c r="H401" s="881"/>
      <c r="I401" s="877"/>
    </row>
    <row r="402" spans="1:12" ht="15" x14ac:dyDescent="0.25">
      <c r="A402" s="853"/>
      <c r="B402" s="872"/>
      <c r="C402" s="904"/>
      <c r="D402" s="904"/>
      <c r="E402" s="904"/>
      <c r="F402" s="904"/>
      <c r="G402" s="904"/>
      <c r="H402" s="881"/>
      <c r="I402" s="877"/>
    </row>
    <row r="403" spans="1:12" ht="15" x14ac:dyDescent="0.25">
      <c r="A403" s="853"/>
      <c r="B403" s="872"/>
      <c r="C403" s="1529" t="s">
        <v>1419</v>
      </c>
      <c r="D403" s="1595"/>
      <c r="E403" s="1595"/>
      <c r="F403" s="1595"/>
      <c r="G403" s="1595"/>
      <c r="H403" s="889">
        <f>+H10</f>
        <v>0</v>
      </c>
      <c r="I403" s="873" t="str">
        <f t="shared" ref="I403:I415" si="25">IF(H403&gt;" ","Pass", "Must Be Filled In")</f>
        <v>Must Be Filled In</v>
      </c>
    </row>
    <row r="404" spans="1:12" ht="15" x14ac:dyDescent="0.25">
      <c r="A404" s="853"/>
      <c r="B404" s="872">
        <v>1</v>
      </c>
      <c r="C404" s="1531" t="s">
        <v>1674</v>
      </c>
      <c r="D404" s="1531"/>
      <c r="E404" s="1531"/>
      <c r="F404" s="1531"/>
      <c r="G404" s="1531"/>
      <c r="H404" s="1028">
        <f>+'Development Team'!E11</f>
        <v>0</v>
      </c>
      <c r="I404" s="873" t="str">
        <f t="shared" si="25"/>
        <v>Must Be Filled In</v>
      </c>
    </row>
    <row r="405" spans="1:12" ht="15" x14ac:dyDescent="0.25">
      <c r="A405" s="853"/>
      <c r="B405" s="872">
        <v>2</v>
      </c>
      <c r="C405" s="1531" t="s">
        <v>1673</v>
      </c>
      <c r="D405" s="1531"/>
      <c r="E405" s="1531"/>
      <c r="F405" s="1531"/>
      <c r="G405" s="1531"/>
      <c r="H405" s="876">
        <f>+'Development Team'!F16</f>
        <v>0</v>
      </c>
      <c r="I405" s="873" t="str">
        <f t="shared" si="25"/>
        <v>Must Be Filled In</v>
      </c>
      <c r="L405" s="1080">
        <f>+'Development Team'!E16</f>
        <v>0</v>
      </c>
    </row>
    <row r="406" spans="1:12" ht="15" x14ac:dyDescent="0.25">
      <c r="A406" s="853"/>
      <c r="B406" s="872">
        <v>3</v>
      </c>
      <c r="C406" s="1531" t="s">
        <v>1672</v>
      </c>
      <c r="D406" s="1531"/>
      <c r="E406" s="1531"/>
      <c r="F406" s="1531"/>
      <c r="G406" s="1531"/>
      <c r="H406" s="876">
        <f>+'Development Team'!F21</f>
        <v>0</v>
      </c>
      <c r="I406" s="873" t="str">
        <f t="shared" si="25"/>
        <v>Must Be Filled In</v>
      </c>
    </row>
    <row r="407" spans="1:12" ht="15" x14ac:dyDescent="0.25">
      <c r="A407" s="853"/>
      <c r="B407" s="872">
        <v>4</v>
      </c>
      <c r="C407" s="1531" t="s">
        <v>123</v>
      </c>
      <c r="D407" s="1531"/>
      <c r="E407" s="1531"/>
      <c r="F407" s="1531"/>
      <c r="G407" s="1531"/>
      <c r="H407" s="876">
        <f>+'Development Team'!F26</f>
        <v>0</v>
      </c>
      <c r="I407" s="873" t="str">
        <f t="shared" si="25"/>
        <v>Must Be Filled In</v>
      </c>
    </row>
    <row r="408" spans="1:12" ht="15" x14ac:dyDescent="0.25">
      <c r="A408" s="853"/>
      <c r="B408" s="872">
        <v>5</v>
      </c>
      <c r="C408" s="1531" t="s">
        <v>125</v>
      </c>
      <c r="D408" s="1531"/>
      <c r="E408" s="1531"/>
      <c r="F408" s="1531"/>
      <c r="G408" s="1531"/>
      <c r="H408" s="876">
        <f>+'Development Team'!F31</f>
        <v>0</v>
      </c>
      <c r="I408" s="873" t="str">
        <f t="shared" si="25"/>
        <v>Must Be Filled In</v>
      </c>
    </row>
    <row r="409" spans="1:12" ht="15" x14ac:dyDescent="0.25">
      <c r="A409" s="853"/>
      <c r="B409" s="872">
        <v>6</v>
      </c>
      <c r="C409" s="1531" t="s">
        <v>1675</v>
      </c>
      <c r="D409" s="1531"/>
      <c r="E409" s="1531"/>
      <c r="F409" s="1531"/>
      <c r="G409" s="1531"/>
      <c r="H409" s="1084">
        <f>+'Development Team'!F36</f>
        <v>0</v>
      </c>
      <c r="I409" s="873" t="str">
        <f t="shared" si="25"/>
        <v>Must Be Filled In</v>
      </c>
      <c r="L409" s="1027">
        <f>+'Development Team'!E36</f>
        <v>0</v>
      </c>
    </row>
    <row r="410" spans="1:12" ht="15" x14ac:dyDescent="0.25">
      <c r="A410" s="853"/>
      <c r="B410" s="872">
        <v>7</v>
      </c>
      <c r="C410" s="1531" t="s">
        <v>1676</v>
      </c>
      <c r="D410" s="1531"/>
      <c r="E410" s="1531"/>
      <c r="F410" s="1531"/>
      <c r="G410" s="1531"/>
      <c r="H410" s="876">
        <f>+'Development Team'!F41</f>
        <v>0</v>
      </c>
      <c r="I410" s="873" t="str">
        <f t="shared" si="25"/>
        <v>Must Be Filled In</v>
      </c>
    </row>
    <row r="411" spans="1:12" ht="15" x14ac:dyDescent="0.25">
      <c r="A411" s="853"/>
      <c r="B411" s="872"/>
      <c r="C411" s="1564" t="s">
        <v>1677</v>
      </c>
      <c r="D411" s="1565"/>
      <c r="E411" s="1565"/>
      <c r="F411" s="1565"/>
      <c r="G411" s="1566"/>
      <c r="H411" s="876">
        <f>+'Development Team'!F46</f>
        <v>0</v>
      </c>
      <c r="I411" s="873"/>
    </row>
    <row r="412" spans="1:12" ht="15" x14ac:dyDescent="0.25">
      <c r="A412" s="853"/>
      <c r="B412" s="872"/>
      <c r="C412" s="1564" t="s">
        <v>1678</v>
      </c>
      <c r="D412" s="1565"/>
      <c r="E412" s="1565"/>
      <c r="F412" s="1565"/>
      <c r="G412" s="1566"/>
      <c r="H412" s="876">
        <f>+'Development Team'!F51</f>
        <v>0</v>
      </c>
      <c r="I412" s="873"/>
    </row>
    <row r="413" spans="1:12" ht="15" x14ac:dyDescent="0.25">
      <c r="A413" s="853"/>
      <c r="B413" s="872">
        <v>8</v>
      </c>
      <c r="C413" s="1531" t="s">
        <v>1420</v>
      </c>
      <c r="D413" s="1531"/>
      <c r="E413" s="1531"/>
      <c r="F413" s="1531"/>
      <c r="G413" s="1531"/>
      <c r="H413" s="881"/>
      <c r="I413" s="873" t="str">
        <f t="shared" si="25"/>
        <v>Must Be Filled In</v>
      </c>
    </row>
    <row r="414" spans="1:12" ht="15" x14ac:dyDescent="0.25">
      <c r="A414" s="853"/>
      <c r="B414" s="872">
        <v>9</v>
      </c>
      <c r="C414" s="1531" t="s">
        <v>1421</v>
      </c>
      <c r="D414" s="1531"/>
      <c r="E414" s="1531"/>
      <c r="F414" s="1531"/>
      <c r="G414" s="1531"/>
      <c r="H414" s="881"/>
      <c r="I414" s="873" t="str">
        <f t="shared" si="25"/>
        <v>Must Be Filled In</v>
      </c>
    </row>
    <row r="415" spans="1:12" ht="15" x14ac:dyDescent="0.25">
      <c r="A415" s="853"/>
      <c r="B415" s="872">
        <v>10</v>
      </c>
      <c r="C415" s="1531" t="s">
        <v>1422</v>
      </c>
      <c r="D415" s="1531"/>
      <c r="E415" s="1531"/>
      <c r="F415" s="1531"/>
      <c r="G415" s="1531"/>
      <c r="H415" s="881"/>
      <c r="I415" s="873" t="str">
        <f t="shared" si="25"/>
        <v>Must Be Filled In</v>
      </c>
    </row>
    <row r="416" spans="1:12" ht="48.75" customHeight="1" x14ac:dyDescent="0.25">
      <c r="A416" s="853"/>
      <c r="B416" s="872">
        <v>11</v>
      </c>
      <c r="C416" s="1552" t="s">
        <v>1423</v>
      </c>
      <c r="D416" s="1552"/>
      <c r="E416" s="1552"/>
      <c r="F416" s="1552"/>
      <c r="G416" s="1552"/>
      <c r="H416" s="881"/>
      <c r="I416" s="897" t="s">
        <v>1364</v>
      </c>
    </row>
    <row r="417" spans="1:9" ht="30" customHeight="1" x14ac:dyDescent="0.25">
      <c r="A417" s="853"/>
      <c r="B417" s="872">
        <v>12</v>
      </c>
      <c r="C417" s="1552" t="s">
        <v>1424</v>
      </c>
      <c r="D417" s="1552"/>
      <c r="E417" s="1552"/>
      <c r="F417" s="1552"/>
      <c r="G417" s="1552"/>
      <c r="H417" s="881"/>
      <c r="I417" s="897" t="s">
        <v>1364</v>
      </c>
    </row>
    <row r="418" spans="1:9" ht="15" x14ac:dyDescent="0.25">
      <c r="A418" s="853"/>
      <c r="B418" s="872">
        <v>13</v>
      </c>
      <c r="C418" s="1552" t="s">
        <v>1425</v>
      </c>
      <c r="D418" s="1552"/>
      <c r="E418" s="1552"/>
      <c r="F418" s="1552"/>
      <c r="G418" s="1552"/>
      <c r="H418" s="881"/>
      <c r="I418" s="873" t="str">
        <f t="shared" ref="I418:I421" si="26">IF(H418&gt;" ","Pass", "Must Be Filled In")</f>
        <v>Must Be Filled In</v>
      </c>
    </row>
    <row r="419" spans="1:9" ht="15" x14ac:dyDescent="0.25">
      <c r="A419" s="853"/>
      <c r="B419" s="872">
        <v>14</v>
      </c>
      <c r="C419" s="1552" t="s">
        <v>1426</v>
      </c>
      <c r="D419" s="1552"/>
      <c r="E419" s="1552"/>
      <c r="F419" s="1552"/>
      <c r="G419" s="1552"/>
      <c r="H419" s="881"/>
      <c r="I419" s="873" t="str">
        <f t="shared" si="26"/>
        <v>Must Be Filled In</v>
      </c>
    </row>
    <row r="420" spans="1:9" ht="15" x14ac:dyDescent="0.25">
      <c r="A420" s="853"/>
      <c r="B420" s="872">
        <v>15</v>
      </c>
      <c r="C420" s="1552" t="s">
        <v>1427</v>
      </c>
      <c r="D420" s="1552"/>
      <c r="E420" s="1552"/>
      <c r="F420" s="1552"/>
      <c r="G420" s="1552"/>
      <c r="H420" s="881"/>
      <c r="I420" s="873" t="str">
        <f t="shared" si="26"/>
        <v>Must Be Filled In</v>
      </c>
    </row>
    <row r="421" spans="1:9" ht="45" customHeight="1" x14ac:dyDescent="0.25">
      <c r="A421" s="853"/>
      <c r="B421" s="872">
        <v>16</v>
      </c>
      <c r="C421" s="1552" t="s">
        <v>1428</v>
      </c>
      <c r="D421" s="1552"/>
      <c r="E421" s="1552"/>
      <c r="F421" s="1552"/>
      <c r="G421" s="1552"/>
      <c r="H421" s="881"/>
      <c r="I421" s="873" t="str">
        <f t="shared" si="26"/>
        <v>Must Be Filled In</v>
      </c>
    </row>
    <row r="422" spans="1:9" ht="36" customHeight="1" x14ac:dyDescent="0.25">
      <c r="A422" s="853"/>
      <c r="B422" s="872">
        <v>17</v>
      </c>
      <c r="C422" s="1552" t="s">
        <v>1429</v>
      </c>
      <c r="D422" s="1552"/>
      <c r="E422" s="1552"/>
      <c r="F422" s="1552"/>
      <c r="G422" s="1552"/>
      <c r="H422" s="881"/>
      <c r="I422" s="897" t="s">
        <v>1364</v>
      </c>
    </row>
    <row r="423" spans="1:9" ht="15" x14ac:dyDescent="0.25">
      <c r="A423" s="853"/>
      <c r="B423" s="872">
        <v>18</v>
      </c>
      <c r="C423" s="1552" t="s">
        <v>1430</v>
      </c>
      <c r="D423" s="1552"/>
      <c r="E423" s="1552"/>
      <c r="F423" s="1552"/>
      <c r="G423" s="1552"/>
      <c r="H423" s="881"/>
      <c r="I423" s="897" t="s">
        <v>1364</v>
      </c>
    </row>
    <row r="424" spans="1:9" ht="15" x14ac:dyDescent="0.25">
      <c r="A424" s="853"/>
      <c r="B424" s="872">
        <v>19</v>
      </c>
      <c r="C424" s="1552" t="s">
        <v>1431</v>
      </c>
      <c r="D424" s="1552"/>
      <c r="E424" s="1552"/>
      <c r="F424" s="1552"/>
      <c r="G424" s="1552"/>
      <c r="H424" s="881"/>
      <c r="I424" s="897" t="s">
        <v>1364</v>
      </c>
    </row>
    <row r="425" spans="1:9" ht="15" x14ac:dyDescent="0.25">
      <c r="A425" s="853"/>
      <c r="B425" s="872">
        <v>20</v>
      </c>
      <c r="C425" s="1552" t="s">
        <v>1432</v>
      </c>
      <c r="D425" s="1552"/>
      <c r="E425" s="1552"/>
      <c r="F425" s="1552"/>
      <c r="G425" s="1552"/>
      <c r="H425" s="881"/>
      <c r="I425" s="897" t="s">
        <v>1364</v>
      </c>
    </row>
    <row r="426" spans="1:9" ht="15" x14ac:dyDescent="0.25">
      <c r="A426" s="853"/>
      <c r="B426" s="872">
        <v>21</v>
      </c>
      <c r="C426" s="1552" t="s">
        <v>1433</v>
      </c>
      <c r="D426" s="1552"/>
      <c r="E426" s="1552"/>
      <c r="F426" s="1552"/>
      <c r="G426" s="1552"/>
      <c r="H426" s="881"/>
      <c r="I426" s="897" t="s">
        <v>1364</v>
      </c>
    </row>
    <row r="427" spans="1:9" ht="15" x14ac:dyDescent="0.25">
      <c r="A427" s="853"/>
      <c r="B427" s="872"/>
      <c r="C427" s="1531"/>
      <c r="D427" s="1531"/>
      <c r="E427" s="1531"/>
      <c r="F427" s="1531"/>
      <c r="G427" s="1531"/>
      <c r="H427" s="881"/>
      <c r="I427" s="877"/>
    </row>
    <row r="428" spans="1:9" ht="15" x14ac:dyDescent="0.25">
      <c r="A428" s="853"/>
      <c r="B428" s="872"/>
      <c r="C428" s="1594" t="s">
        <v>1434</v>
      </c>
      <c r="D428" s="1594"/>
      <c r="E428" s="1594"/>
      <c r="F428" s="1594"/>
      <c r="G428" s="1594"/>
      <c r="H428" s="881"/>
      <c r="I428" s="877"/>
    </row>
    <row r="429" spans="1:9" ht="15" x14ac:dyDescent="0.25">
      <c r="A429" s="853"/>
      <c r="B429" s="872"/>
      <c r="C429" s="1531" t="s">
        <v>1435</v>
      </c>
      <c r="D429" s="1594"/>
      <c r="E429" s="1594"/>
      <c r="F429" s="1594"/>
      <c r="G429" s="1594"/>
      <c r="H429" s="876">
        <f>+'Development Team'!F41</f>
        <v>0</v>
      </c>
      <c r="I429" s="873" t="str">
        <f t="shared" ref="I429:I432" si="27">IF(H429&gt;" ","Pass", "Must Be Filled In")</f>
        <v>Must Be Filled In</v>
      </c>
    </row>
    <row r="430" spans="1:9" ht="15" x14ac:dyDescent="0.25">
      <c r="A430" s="853"/>
      <c r="B430" s="872">
        <v>1</v>
      </c>
      <c r="C430" s="1552" t="s">
        <v>1436</v>
      </c>
      <c r="D430" s="1552"/>
      <c r="E430" s="1552"/>
      <c r="F430" s="1552"/>
      <c r="G430" s="1552"/>
      <c r="H430" s="881"/>
      <c r="I430" s="873" t="str">
        <f t="shared" si="27"/>
        <v>Must Be Filled In</v>
      </c>
    </row>
    <row r="431" spans="1:9" ht="15" x14ac:dyDescent="0.25">
      <c r="A431" s="853"/>
      <c r="B431" s="872">
        <v>2</v>
      </c>
      <c r="C431" s="1531" t="s">
        <v>1437</v>
      </c>
      <c r="D431" s="1531"/>
      <c r="E431" s="1531"/>
      <c r="F431" s="1531"/>
      <c r="G431" s="1531"/>
      <c r="H431" s="876">
        <f>(+'Rehab or New Construction'!F73)+('Rehab or New Construction'!F75)</f>
        <v>0</v>
      </c>
      <c r="I431" s="873" t="str">
        <f t="shared" si="27"/>
        <v>Must Be Filled In</v>
      </c>
    </row>
    <row r="432" spans="1:9" ht="15" x14ac:dyDescent="0.25">
      <c r="A432" s="853"/>
      <c r="B432" s="872">
        <v>3</v>
      </c>
      <c r="C432" s="1531" t="s">
        <v>1438</v>
      </c>
      <c r="D432" s="1531"/>
      <c r="E432" s="1531"/>
      <c r="F432" s="1531"/>
      <c r="G432" s="1531"/>
      <c r="H432" s="876">
        <f>+'Rehab or New Construction'!F77</f>
        <v>0</v>
      </c>
      <c r="I432" s="873" t="str">
        <f t="shared" si="27"/>
        <v>Must Be Filled In</v>
      </c>
    </row>
    <row r="433" spans="1:9" ht="15" x14ac:dyDescent="0.25">
      <c r="A433" s="853"/>
      <c r="B433" s="872">
        <v>4</v>
      </c>
      <c r="C433" s="1552" t="s">
        <v>1439</v>
      </c>
      <c r="D433" s="1552"/>
      <c r="E433" s="1552"/>
      <c r="F433" s="1552"/>
      <c r="G433" s="1552"/>
      <c r="H433" s="889" t="e">
        <f>IF(H432/H14&lt;=0.15, "Yes", "No")</f>
        <v>#DIV/0!</v>
      </c>
      <c r="I433" s="897" t="e">
        <v>#DIV/0!</v>
      </c>
    </row>
    <row r="434" spans="1:9" ht="51.75" customHeight="1" x14ac:dyDescent="0.25">
      <c r="A434" s="853"/>
      <c r="B434" s="872">
        <v>5</v>
      </c>
      <c r="C434" s="1552" t="s">
        <v>1440</v>
      </c>
      <c r="D434" s="1593"/>
      <c r="E434" s="1593"/>
      <c r="F434" s="1593"/>
      <c r="G434" s="1593"/>
      <c r="H434" s="881"/>
      <c r="I434" s="897" t="s">
        <v>1364</v>
      </c>
    </row>
    <row r="435" spans="1:9" ht="15" x14ac:dyDescent="0.25">
      <c r="A435" s="853"/>
      <c r="B435" s="872"/>
      <c r="C435" s="1549" t="s">
        <v>1441</v>
      </c>
      <c r="D435" s="1550"/>
      <c r="E435" s="1550"/>
      <c r="F435" s="1550"/>
      <c r="G435" s="1551"/>
      <c r="H435" s="889" t="str">
        <f>IF('Rehab or New Construction'!F76&gt;='Rehab or New Construction'!F77,"Yes","no")</f>
        <v>Yes</v>
      </c>
      <c r="I435" s="897"/>
    </row>
    <row r="436" spans="1:9" ht="15" x14ac:dyDescent="0.25">
      <c r="A436" s="853"/>
      <c r="B436" s="872"/>
      <c r="C436" s="1549" t="s">
        <v>1442</v>
      </c>
      <c r="D436" s="1550"/>
      <c r="E436" s="1550"/>
      <c r="F436" s="1550"/>
      <c r="G436" s="1551"/>
      <c r="H436" s="881"/>
      <c r="I436" s="897"/>
    </row>
    <row r="437" spans="1:9" ht="15" x14ac:dyDescent="0.25">
      <c r="A437" s="853"/>
      <c r="B437" s="872"/>
      <c r="C437" s="1549" t="s">
        <v>1443</v>
      </c>
      <c r="D437" s="1550"/>
      <c r="E437" s="1550"/>
      <c r="F437" s="1550"/>
      <c r="G437" s="1551"/>
      <c r="H437" s="889" t="str">
        <f>IF('Rehab or New Construction'!F74&gt;='Rehab or New Construction'!F75,"Yes","No")</f>
        <v>Yes</v>
      </c>
      <c r="I437" s="897"/>
    </row>
    <row r="438" spans="1:9" ht="15" x14ac:dyDescent="0.25">
      <c r="A438" s="853"/>
      <c r="B438" s="872"/>
      <c r="C438" s="1549" t="s">
        <v>1444</v>
      </c>
      <c r="D438" s="1550"/>
      <c r="E438" s="1550"/>
      <c r="F438" s="1550"/>
      <c r="G438" s="1551"/>
      <c r="H438" s="889" t="str">
        <f>IF('Rehab or New Construction'!F72&gt;='Rehab or New Construction'!F73,"Yes","No")</f>
        <v>Yes</v>
      </c>
      <c r="I438" s="897"/>
    </row>
    <row r="439" spans="1:9" ht="15" x14ac:dyDescent="0.25">
      <c r="A439" s="853"/>
      <c r="B439" s="872"/>
      <c r="C439" s="1549" t="s">
        <v>1445</v>
      </c>
      <c r="D439" s="1550"/>
      <c r="E439" s="1550"/>
      <c r="F439" s="1550"/>
      <c r="G439" s="1551"/>
      <c r="H439" s="889" t="str">
        <f>IF('Rehab or New Construction'!F70&gt;='Rehab or New Construction'!F71,"Yes","No")</f>
        <v>Yes</v>
      </c>
      <c r="I439" s="897"/>
    </row>
    <row r="440" spans="1:9" ht="15" x14ac:dyDescent="0.25">
      <c r="A440" s="853"/>
      <c r="B440" s="872"/>
      <c r="C440" s="1549" t="s">
        <v>1446</v>
      </c>
      <c r="D440" s="1550"/>
      <c r="E440" s="1550"/>
      <c r="F440" s="1550"/>
      <c r="G440" s="1551"/>
      <c r="H440" s="881"/>
      <c r="I440" s="897"/>
    </row>
    <row r="441" spans="1:9" ht="15" x14ac:dyDescent="0.25">
      <c r="A441" s="853"/>
      <c r="B441" s="872"/>
      <c r="C441" s="1549" t="s">
        <v>1447</v>
      </c>
      <c r="D441" s="1550"/>
      <c r="E441" s="1550"/>
      <c r="F441" s="1550"/>
      <c r="G441" s="1551"/>
      <c r="H441" s="889" t="e">
        <f>IF(Lists!E59/Lists!E63&lt;=0.1, "Yes","No")</f>
        <v>#DIV/0!</v>
      </c>
      <c r="I441" s="897"/>
    </row>
    <row r="442" spans="1:9" ht="15" x14ac:dyDescent="0.25">
      <c r="A442" s="853"/>
      <c r="B442" s="872"/>
      <c r="C442" s="1549" t="s">
        <v>1448</v>
      </c>
      <c r="D442" s="1550"/>
      <c r="E442" s="1550"/>
      <c r="F442" s="1550"/>
      <c r="G442" s="1551"/>
      <c r="H442" s="889" t="str">
        <f>IF(Lists!E72=2,"Yes","No")</f>
        <v>Yes</v>
      </c>
      <c r="I442" s="897"/>
    </row>
    <row r="443" spans="1:9" ht="15" x14ac:dyDescent="0.25">
      <c r="A443" s="853"/>
      <c r="B443" s="872">
        <v>6</v>
      </c>
      <c r="C443" s="1531" t="s">
        <v>1449</v>
      </c>
      <c r="D443" s="1531"/>
      <c r="E443" s="1531"/>
      <c r="F443" s="1531"/>
      <c r="G443" s="1531"/>
      <c r="H443" s="889" t="str">
        <f>IF(H529&gt;=1.15, "Yes", "No")</f>
        <v>No</v>
      </c>
      <c r="I443" s="897"/>
    </row>
    <row r="444" spans="1:9" ht="15" x14ac:dyDescent="0.25">
      <c r="A444" s="853"/>
      <c r="B444" s="872">
        <v>7</v>
      </c>
      <c r="C444" s="1531" t="s">
        <v>1450</v>
      </c>
      <c r="D444" s="1531"/>
      <c r="E444" s="1531"/>
      <c r="F444" s="1531"/>
      <c r="G444" s="1531"/>
      <c r="H444" s="889" t="str">
        <f>IF(H528&lt;=1.4, "Yes", "No")</f>
        <v>Yes</v>
      </c>
      <c r="I444" s="897"/>
    </row>
    <row r="445" spans="1:9" ht="15" x14ac:dyDescent="0.25">
      <c r="A445" s="853"/>
      <c r="B445" s="905"/>
      <c r="C445" s="1590" t="s">
        <v>1451</v>
      </c>
      <c r="D445" s="1591"/>
      <c r="E445" s="1591"/>
      <c r="F445" s="1591"/>
      <c r="G445" s="1592"/>
      <c r="H445" s="906" t="str">
        <f>IF($E$7= "", "This Section (Eligible Basis Calculation, Hard Costs, Total Development Costs, Non Basis Costs, Total Non Basis Costs. Total Basis Development Costs) Is Not Required for HOME Only Applications"," ")</f>
        <v xml:space="preserve"> </v>
      </c>
      <c r="I445" s="907"/>
    </row>
    <row r="446" spans="1:9" ht="15" x14ac:dyDescent="0.25">
      <c r="A446" s="853"/>
      <c r="B446" s="905"/>
      <c r="C446" s="1585" t="s">
        <v>1452</v>
      </c>
      <c r="D446" s="1586"/>
      <c r="E446" s="1586"/>
      <c r="F446" s="1586"/>
      <c r="G446" s="1586"/>
      <c r="H446" s="908"/>
      <c r="I446" s="909"/>
    </row>
    <row r="447" spans="1:9" ht="15" x14ac:dyDescent="0.25">
      <c r="A447" s="853"/>
      <c r="B447" s="905"/>
      <c r="C447" s="1585" t="s">
        <v>1453</v>
      </c>
      <c r="D447" s="1586"/>
      <c r="E447" s="1586"/>
      <c r="F447" s="1586"/>
      <c r="G447" s="1586"/>
      <c r="H447" s="908"/>
      <c r="I447" s="910"/>
    </row>
    <row r="448" spans="1:9" ht="15" x14ac:dyDescent="0.25">
      <c r="A448" s="853"/>
      <c r="B448" s="905">
        <v>1</v>
      </c>
      <c r="C448" s="1582" t="s">
        <v>1454</v>
      </c>
      <c r="D448" s="1583"/>
      <c r="E448" s="1583"/>
      <c r="F448" s="1583"/>
      <c r="G448" s="1584"/>
      <c r="H448" s="911"/>
      <c r="I448" s="912" t="str">
        <f>+IF(H448="","Must Be Filled In. If none put 0","")</f>
        <v>Must Be Filled In. If none put 0</v>
      </c>
    </row>
    <row r="449" spans="1:9" ht="15" x14ac:dyDescent="0.25">
      <c r="A449" s="853"/>
      <c r="B449" s="905">
        <v>2</v>
      </c>
      <c r="C449" s="1568" t="s">
        <v>1455</v>
      </c>
      <c r="D449" s="1568"/>
      <c r="E449" s="1568"/>
      <c r="F449" s="1568"/>
      <c r="G449" s="1568"/>
      <c r="H449" s="911"/>
      <c r="I449" s="912" t="str">
        <f>+IF(H449="","Must Be Filled In. If none put 0","")</f>
        <v>Must Be Filled In. If none put 0</v>
      </c>
    </row>
    <row r="450" spans="1:9" ht="15" x14ac:dyDescent="0.25">
      <c r="A450" s="853"/>
      <c r="B450" s="905"/>
      <c r="C450" s="1585" t="s">
        <v>1456</v>
      </c>
      <c r="D450" s="1586"/>
      <c r="E450" s="1586"/>
      <c r="F450" s="1586"/>
      <c r="G450" s="1586"/>
      <c r="H450" s="908"/>
      <c r="I450" s="909"/>
    </row>
    <row r="451" spans="1:9" ht="15" x14ac:dyDescent="0.25">
      <c r="A451" s="853"/>
      <c r="B451" s="905"/>
      <c r="C451" s="1582" t="s">
        <v>1457</v>
      </c>
      <c r="D451" s="1587"/>
      <c r="E451" s="1587"/>
      <c r="F451" s="1587"/>
      <c r="G451" s="1588"/>
      <c r="H451" s="911"/>
      <c r="I451" s="912" t="str">
        <f>+IF(H451="","Must Be Filled In. If none put 0","")</f>
        <v>Must Be Filled In. If none put 0</v>
      </c>
    </row>
    <row r="452" spans="1:9" ht="15" x14ac:dyDescent="0.25">
      <c r="A452" s="853"/>
      <c r="B452" s="905">
        <v>3</v>
      </c>
      <c r="C452" s="1586" t="s">
        <v>1458</v>
      </c>
      <c r="D452" s="1586"/>
      <c r="E452" s="1586"/>
      <c r="F452" s="1586"/>
      <c r="G452" s="1586"/>
      <c r="H452" s="911"/>
      <c r="I452" s="912" t="str">
        <f>+IF(H452="","Must Be Filled In. If none put 0","")</f>
        <v>Must Be Filled In. If none put 0</v>
      </c>
    </row>
    <row r="453" spans="1:9" ht="15" x14ac:dyDescent="0.25">
      <c r="A453" s="853"/>
      <c r="B453" s="905"/>
      <c r="C453" s="1589" t="s">
        <v>1459</v>
      </c>
      <c r="D453" s="1589"/>
      <c r="E453" s="1589"/>
      <c r="F453" s="1589"/>
      <c r="G453" s="1589"/>
      <c r="H453" s="911"/>
      <c r="I453" s="912" t="str">
        <f>+IF(H453="","Must Be Filled In. If none put 0","")</f>
        <v>Must Be Filled In. If none put 0</v>
      </c>
    </row>
    <row r="454" spans="1:9" ht="15" x14ac:dyDescent="0.25">
      <c r="A454" s="853"/>
      <c r="B454" s="905"/>
      <c r="C454" s="1573" t="s">
        <v>1460</v>
      </c>
      <c r="D454" s="1573"/>
      <c r="E454" s="1573"/>
      <c r="F454" s="1573"/>
      <c r="G454" s="1573"/>
      <c r="H454" s="908"/>
      <c r="I454" s="912"/>
    </row>
    <row r="455" spans="1:9" ht="15" x14ac:dyDescent="0.25">
      <c r="A455" s="853"/>
      <c r="B455" s="905"/>
      <c r="C455" s="1574"/>
      <c r="D455" s="1574"/>
      <c r="E455" s="1574"/>
      <c r="F455" s="1574"/>
      <c r="G455" s="1574"/>
      <c r="H455" s="908"/>
      <c r="I455" s="912"/>
    </row>
    <row r="456" spans="1:9" ht="15" x14ac:dyDescent="0.25">
      <c r="A456" s="853"/>
      <c r="B456" s="905"/>
      <c r="C456" s="1575" t="s">
        <v>1461</v>
      </c>
      <c r="D456" s="1575"/>
      <c r="E456" s="1575"/>
      <c r="F456" s="1575"/>
      <c r="G456" s="1575"/>
      <c r="H456" s="911"/>
      <c r="I456" s="909"/>
    </row>
    <row r="457" spans="1:9" ht="15" x14ac:dyDescent="0.25">
      <c r="A457" s="853"/>
      <c r="B457" s="905"/>
      <c r="C457" s="1576"/>
      <c r="D457" s="1577"/>
      <c r="E457" s="1577"/>
      <c r="F457" s="1577"/>
      <c r="G457" s="1578"/>
      <c r="H457" s="913"/>
      <c r="I457" s="909"/>
    </row>
    <row r="458" spans="1:9" ht="15" x14ac:dyDescent="0.25">
      <c r="A458" s="853"/>
      <c r="B458" s="905"/>
      <c r="C458" s="1575" t="s">
        <v>1462</v>
      </c>
      <c r="D458" s="1575"/>
      <c r="E458" s="1575"/>
      <c r="F458" s="1575"/>
      <c r="G458" s="1575"/>
      <c r="H458" s="913"/>
      <c r="I458" s="909"/>
    </row>
    <row r="459" spans="1:9" ht="15" x14ac:dyDescent="0.25">
      <c r="A459" s="853"/>
      <c r="B459" s="905">
        <v>7</v>
      </c>
      <c r="C459" s="1579" t="s">
        <v>1463</v>
      </c>
      <c r="D459" s="1580"/>
      <c r="E459" s="1580"/>
      <c r="F459" s="1580"/>
      <c r="G459" s="1581"/>
      <c r="H459" s="913"/>
      <c r="I459" s="909"/>
    </row>
    <row r="460" spans="1:9" ht="15" x14ac:dyDescent="0.25">
      <c r="A460" s="853"/>
      <c r="B460" s="905">
        <v>8</v>
      </c>
      <c r="C460" s="1570" t="s">
        <v>1464</v>
      </c>
      <c r="D460" s="1571" t="s">
        <v>1464</v>
      </c>
      <c r="E460" s="1571" t="s">
        <v>1464</v>
      </c>
      <c r="F460" s="1571" t="s">
        <v>1464</v>
      </c>
      <c r="G460" s="1572" t="s">
        <v>1464</v>
      </c>
      <c r="H460" s="914"/>
      <c r="I460" s="912" t="str">
        <f>+IF(H460="","Must Be Filled In. If none put 0","")</f>
        <v>Must Be Filled In. If none put 0</v>
      </c>
    </row>
    <row r="461" spans="1:9" ht="15" x14ac:dyDescent="0.25">
      <c r="A461" s="853"/>
      <c r="B461" s="905">
        <v>9</v>
      </c>
      <c r="C461" s="1570" t="s">
        <v>1465</v>
      </c>
      <c r="D461" s="1571" t="s">
        <v>1465</v>
      </c>
      <c r="E461" s="1571" t="s">
        <v>1465</v>
      </c>
      <c r="F461" s="1571" t="s">
        <v>1465</v>
      </c>
      <c r="G461" s="1572" t="s">
        <v>1465</v>
      </c>
      <c r="H461" s="914"/>
      <c r="I461" s="912" t="str">
        <f t="shared" ref="I461:I480" si="28">+IF(H461="","Must Be Filled In. If none put 0","")</f>
        <v>Must Be Filled In. If none put 0</v>
      </c>
    </row>
    <row r="462" spans="1:9" ht="15" x14ac:dyDescent="0.25">
      <c r="A462" s="853"/>
      <c r="B462" s="905">
        <v>10</v>
      </c>
      <c r="C462" s="1570" t="s">
        <v>224</v>
      </c>
      <c r="D462" s="1571" t="s">
        <v>224</v>
      </c>
      <c r="E462" s="1571" t="s">
        <v>224</v>
      </c>
      <c r="F462" s="1571" t="s">
        <v>224</v>
      </c>
      <c r="G462" s="1572" t="s">
        <v>224</v>
      </c>
      <c r="H462" s="914"/>
      <c r="I462" s="912" t="str">
        <f t="shared" si="28"/>
        <v>Must Be Filled In. If none put 0</v>
      </c>
    </row>
    <row r="463" spans="1:9" ht="15" x14ac:dyDescent="0.25">
      <c r="A463" s="853"/>
      <c r="B463" s="905">
        <v>11</v>
      </c>
      <c r="C463" s="1570" t="s">
        <v>235</v>
      </c>
      <c r="D463" s="1571" t="s">
        <v>235</v>
      </c>
      <c r="E463" s="1571" t="s">
        <v>235</v>
      </c>
      <c r="F463" s="1571" t="s">
        <v>235</v>
      </c>
      <c r="G463" s="1572" t="s">
        <v>235</v>
      </c>
      <c r="H463" s="914"/>
      <c r="I463" s="912" t="str">
        <f t="shared" si="28"/>
        <v>Must Be Filled In. If none put 0</v>
      </c>
    </row>
    <row r="464" spans="1:9" ht="15" x14ac:dyDescent="0.25">
      <c r="A464" s="853"/>
      <c r="B464" s="905">
        <v>12</v>
      </c>
      <c r="C464" s="1570" t="s">
        <v>39</v>
      </c>
      <c r="D464" s="1571" t="s">
        <v>39</v>
      </c>
      <c r="E464" s="1571" t="s">
        <v>39</v>
      </c>
      <c r="F464" s="1571" t="s">
        <v>39</v>
      </c>
      <c r="G464" s="1572" t="s">
        <v>39</v>
      </c>
      <c r="H464" s="914"/>
      <c r="I464" s="912" t="str">
        <f t="shared" si="28"/>
        <v>Must Be Filled In. If none put 0</v>
      </c>
    </row>
    <row r="465" spans="1:9" ht="15" x14ac:dyDescent="0.25">
      <c r="A465" s="853"/>
      <c r="B465" s="905">
        <v>13</v>
      </c>
      <c r="C465" s="1570" t="s">
        <v>1466</v>
      </c>
      <c r="D465" s="1571" t="s">
        <v>1467</v>
      </c>
      <c r="E465" s="1571" t="s">
        <v>1467</v>
      </c>
      <c r="F465" s="1571" t="s">
        <v>1467</v>
      </c>
      <c r="G465" s="1572" t="s">
        <v>1467</v>
      </c>
      <c r="H465" s="914"/>
      <c r="I465" s="912" t="str">
        <f t="shared" si="28"/>
        <v>Must Be Filled In. If none put 0</v>
      </c>
    </row>
    <row r="466" spans="1:9" ht="15" x14ac:dyDescent="0.25">
      <c r="A466" s="853"/>
      <c r="B466" s="905">
        <v>14</v>
      </c>
      <c r="C466" s="1570" t="s">
        <v>1468</v>
      </c>
      <c r="D466" s="1571" t="s">
        <v>1469</v>
      </c>
      <c r="E466" s="1571" t="s">
        <v>1469</v>
      </c>
      <c r="F466" s="1571" t="s">
        <v>1469</v>
      </c>
      <c r="G466" s="1572" t="s">
        <v>1469</v>
      </c>
      <c r="H466" s="914"/>
      <c r="I466" s="912" t="str">
        <f t="shared" si="28"/>
        <v>Must Be Filled In. If none put 0</v>
      </c>
    </row>
    <row r="467" spans="1:9" ht="15" x14ac:dyDescent="0.25">
      <c r="A467" s="853"/>
      <c r="B467" s="905">
        <v>15</v>
      </c>
      <c r="C467" s="1570" t="s">
        <v>1470</v>
      </c>
      <c r="D467" s="1571" t="s">
        <v>1470</v>
      </c>
      <c r="E467" s="1571" t="s">
        <v>1470</v>
      </c>
      <c r="F467" s="1571" t="s">
        <v>1470</v>
      </c>
      <c r="G467" s="1572" t="s">
        <v>1470</v>
      </c>
      <c r="H467" s="914"/>
      <c r="I467" s="912" t="str">
        <f t="shared" si="28"/>
        <v>Must Be Filled In. If none put 0</v>
      </c>
    </row>
    <row r="468" spans="1:9" ht="15" x14ac:dyDescent="0.25">
      <c r="A468" s="853"/>
      <c r="B468" s="905">
        <v>16</v>
      </c>
      <c r="C468" s="1570" t="s">
        <v>1471</v>
      </c>
      <c r="D468" s="1571" t="s">
        <v>1471</v>
      </c>
      <c r="E468" s="1571" t="s">
        <v>1471</v>
      </c>
      <c r="F468" s="1571" t="s">
        <v>1471</v>
      </c>
      <c r="G468" s="1572" t="s">
        <v>1471</v>
      </c>
      <c r="H468" s="914"/>
      <c r="I468" s="912" t="str">
        <f t="shared" si="28"/>
        <v>Must Be Filled In. If none put 0</v>
      </c>
    </row>
    <row r="469" spans="1:9" ht="15" x14ac:dyDescent="0.25">
      <c r="A469" s="853"/>
      <c r="B469" s="905">
        <v>17</v>
      </c>
      <c r="C469" s="1570" t="s">
        <v>1472</v>
      </c>
      <c r="D469" s="1571" t="s">
        <v>1472</v>
      </c>
      <c r="E469" s="1571" t="s">
        <v>1472</v>
      </c>
      <c r="F469" s="1571" t="s">
        <v>1472</v>
      </c>
      <c r="G469" s="1572" t="s">
        <v>1472</v>
      </c>
      <c r="H469" s="914"/>
      <c r="I469" s="912" t="str">
        <f t="shared" si="28"/>
        <v>Must Be Filled In. If none put 0</v>
      </c>
    </row>
    <row r="470" spans="1:9" ht="15" x14ac:dyDescent="0.25">
      <c r="A470" s="853"/>
      <c r="B470" s="905">
        <v>18</v>
      </c>
      <c r="C470" s="1570" t="s">
        <v>1473</v>
      </c>
      <c r="D470" s="1571" t="s">
        <v>1473</v>
      </c>
      <c r="E470" s="1571" t="s">
        <v>1473</v>
      </c>
      <c r="F470" s="1571" t="s">
        <v>1473</v>
      </c>
      <c r="G470" s="1572" t="s">
        <v>1473</v>
      </c>
      <c r="H470" s="914"/>
      <c r="I470" s="912" t="str">
        <f t="shared" si="28"/>
        <v>Must Be Filled In. If none put 0</v>
      </c>
    </row>
    <row r="471" spans="1:9" ht="15" x14ac:dyDescent="0.25">
      <c r="A471" s="853"/>
      <c r="B471" s="905">
        <v>19</v>
      </c>
      <c r="C471" s="1570" t="s">
        <v>1474</v>
      </c>
      <c r="D471" s="1571" t="s">
        <v>1474</v>
      </c>
      <c r="E471" s="1571" t="s">
        <v>1474</v>
      </c>
      <c r="F471" s="1571" t="s">
        <v>1474</v>
      </c>
      <c r="G471" s="1572" t="s">
        <v>1474</v>
      </c>
      <c r="H471" s="914"/>
      <c r="I471" s="912" t="str">
        <f t="shared" si="28"/>
        <v>Must Be Filled In. If none put 0</v>
      </c>
    </row>
    <row r="472" spans="1:9" ht="15" x14ac:dyDescent="0.25">
      <c r="A472" s="853"/>
      <c r="B472" s="905">
        <v>20</v>
      </c>
      <c r="C472" s="1570" t="s">
        <v>1475</v>
      </c>
      <c r="D472" s="1571" t="s">
        <v>1475</v>
      </c>
      <c r="E472" s="1571" t="s">
        <v>1475</v>
      </c>
      <c r="F472" s="1571" t="s">
        <v>1475</v>
      </c>
      <c r="G472" s="1572" t="s">
        <v>1475</v>
      </c>
      <c r="H472" s="914"/>
      <c r="I472" s="912" t="str">
        <f t="shared" si="28"/>
        <v>Must Be Filled In. If none put 0</v>
      </c>
    </row>
    <row r="473" spans="1:9" ht="15" x14ac:dyDescent="0.25">
      <c r="A473" s="853"/>
      <c r="B473" s="905">
        <v>21</v>
      </c>
      <c r="C473" s="1570" t="s">
        <v>1476</v>
      </c>
      <c r="D473" s="1571" t="s">
        <v>1476</v>
      </c>
      <c r="E473" s="1571" t="s">
        <v>1476</v>
      </c>
      <c r="F473" s="1571" t="s">
        <v>1476</v>
      </c>
      <c r="G473" s="1572" t="s">
        <v>1476</v>
      </c>
      <c r="H473" s="914"/>
      <c r="I473" s="912" t="str">
        <f t="shared" si="28"/>
        <v>Must Be Filled In. If none put 0</v>
      </c>
    </row>
    <row r="474" spans="1:9" ht="15" x14ac:dyDescent="0.25">
      <c r="A474" s="853"/>
      <c r="B474" s="905">
        <v>22</v>
      </c>
      <c r="C474" s="1570" t="s">
        <v>1477</v>
      </c>
      <c r="D474" s="1571" t="s">
        <v>1477</v>
      </c>
      <c r="E474" s="1571" t="s">
        <v>1477</v>
      </c>
      <c r="F474" s="1571" t="s">
        <v>1477</v>
      </c>
      <c r="G474" s="1572" t="s">
        <v>1477</v>
      </c>
      <c r="H474" s="914"/>
      <c r="I474" s="912" t="str">
        <f t="shared" si="28"/>
        <v>Must Be Filled In. If none put 0</v>
      </c>
    </row>
    <row r="475" spans="1:9" ht="15" x14ac:dyDescent="0.25">
      <c r="A475" s="853"/>
      <c r="B475" s="905">
        <v>23</v>
      </c>
      <c r="C475" s="1570" t="s">
        <v>1478</v>
      </c>
      <c r="D475" s="1571" t="s">
        <v>1478</v>
      </c>
      <c r="E475" s="1571" t="s">
        <v>1478</v>
      </c>
      <c r="F475" s="1571" t="s">
        <v>1478</v>
      </c>
      <c r="G475" s="1572" t="s">
        <v>1478</v>
      </c>
      <c r="H475" s="914"/>
      <c r="I475" s="912" t="str">
        <f t="shared" si="28"/>
        <v>Must Be Filled In. If none put 0</v>
      </c>
    </row>
    <row r="476" spans="1:9" ht="15" x14ac:dyDescent="0.25">
      <c r="A476" s="853"/>
      <c r="B476" s="905">
        <v>24</v>
      </c>
      <c r="C476" s="1570" t="s">
        <v>1479</v>
      </c>
      <c r="D476" s="1571" t="s">
        <v>1479</v>
      </c>
      <c r="E476" s="1571" t="s">
        <v>1479</v>
      </c>
      <c r="F476" s="1571" t="s">
        <v>1479</v>
      </c>
      <c r="G476" s="1572" t="s">
        <v>1479</v>
      </c>
      <c r="H476" s="914"/>
      <c r="I476" s="912" t="str">
        <f t="shared" si="28"/>
        <v>Must Be Filled In. If none put 0</v>
      </c>
    </row>
    <row r="477" spans="1:9" ht="15" x14ac:dyDescent="0.25">
      <c r="A477" s="853"/>
      <c r="B477" s="905">
        <v>25</v>
      </c>
      <c r="C477" s="1570" t="s">
        <v>39</v>
      </c>
      <c r="D477" s="1571" t="s">
        <v>39</v>
      </c>
      <c r="E477" s="1571" t="s">
        <v>39</v>
      </c>
      <c r="F477" s="1571" t="s">
        <v>39</v>
      </c>
      <c r="G477" s="1572" t="s">
        <v>39</v>
      </c>
      <c r="H477" s="914"/>
      <c r="I477" s="912" t="str">
        <f t="shared" si="28"/>
        <v>Must Be Filled In. If none put 0</v>
      </c>
    </row>
    <row r="478" spans="1:9" ht="15" x14ac:dyDescent="0.25">
      <c r="A478" s="853"/>
      <c r="B478" s="905">
        <v>26</v>
      </c>
      <c r="C478" s="1570" t="s">
        <v>225</v>
      </c>
      <c r="D478" s="1571" t="s">
        <v>225</v>
      </c>
      <c r="E478" s="1571" t="s">
        <v>225</v>
      </c>
      <c r="F478" s="1571" t="s">
        <v>225</v>
      </c>
      <c r="G478" s="1572" t="s">
        <v>225</v>
      </c>
      <c r="H478" s="914"/>
      <c r="I478" s="912" t="str">
        <f t="shared" si="28"/>
        <v>Must Be Filled In. If none put 0</v>
      </c>
    </row>
    <row r="479" spans="1:9" ht="15" x14ac:dyDescent="0.25">
      <c r="A479" s="853"/>
      <c r="B479" s="905">
        <v>27</v>
      </c>
      <c r="C479" s="1570" t="s">
        <v>241</v>
      </c>
      <c r="D479" s="1571" t="s">
        <v>241</v>
      </c>
      <c r="E479" s="1571" t="s">
        <v>241</v>
      </c>
      <c r="F479" s="1571" t="s">
        <v>241</v>
      </c>
      <c r="G479" s="1572" t="s">
        <v>241</v>
      </c>
      <c r="H479" s="914"/>
      <c r="I479" s="912" t="str">
        <f t="shared" si="28"/>
        <v>Must Be Filled In. If none put 0</v>
      </c>
    </row>
    <row r="480" spans="1:9" ht="15" x14ac:dyDescent="0.25">
      <c r="A480" s="853"/>
      <c r="B480" s="905">
        <v>28</v>
      </c>
      <c r="C480" s="1570" t="s">
        <v>1480</v>
      </c>
      <c r="D480" s="1571" t="s">
        <v>1480</v>
      </c>
      <c r="E480" s="1571" t="s">
        <v>1480</v>
      </c>
      <c r="F480" s="1571" t="s">
        <v>1480</v>
      </c>
      <c r="G480" s="1572" t="s">
        <v>1480</v>
      </c>
      <c r="H480" s="914"/>
      <c r="I480" s="912" t="str">
        <f t="shared" si="28"/>
        <v>Must Be Filled In. If none put 0</v>
      </c>
    </row>
    <row r="481" spans="1:9" ht="15" x14ac:dyDescent="0.25">
      <c r="A481" s="853"/>
      <c r="B481" s="905"/>
      <c r="C481" s="1570" t="str">
        <f t="shared" ref="C481:C485" si="29">$C$477</f>
        <v>Other</v>
      </c>
      <c r="D481" s="1571"/>
      <c r="E481" s="1571"/>
      <c r="F481" s="1571"/>
      <c r="G481" s="1572"/>
      <c r="H481" s="914"/>
      <c r="I481" s="912"/>
    </row>
    <row r="482" spans="1:9" ht="15" x14ac:dyDescent="0.25">
      <c r="A482" s="853"/>
      <c r="B482" s="905"/>
      <c r="C482" s="1570" t="str">
        <f t="shared" si="29"/>
        <v>Other</v>
      </c>
      <c r="D482" s="1571"/>
      <c r="E482" s="1571"/>
      <c r="F482" s="1571"/>
      <c r="G482" s="1572"/>
      <c r="H482" s="914"/>
      <c r="I482" s="912"/>
    </row>
    <row r="483" spans="1:9" ht="15" x14ac:dyDescent="0.25">
      <c r="A483" s="853"/>
      <c r="B483" s="905"/>
      <c r="C483" s="1570" t="str">
        <f t="shared" si="29"/>
        <v>Other</v>
      </c>
      <c r="D483" s="1571"/>
      <c r="E483" s="1571"/>
      <c r="F483" s="1571"/>
      <c r="G483" s="1572"/>
      <c r="H483" s="914"/>
      <c r="I483" s="912"/>
    </row>
    <row r="484" spans="1:9" ht="15" x14ac:dyDescent="0.25">
      <c r="A484" s="853"/>
      <c r="B484" s="905"/>
      <c r="C484" s="1570" t="str">
        <f t="shared" si="29"/>
        <v>Other</v>
      </c>
      <c r="D484" s="1571"/>
      <c r="E484" s="1571"/>
      <c r="F484" s="1571"/>
      <c r="G484" s="1572"/>
      <c r="H484" s="914"/>
      <c r="I484" s="912"/>
    </row>
    <row r="485" spans="1:9" ht="15" x14ac:dyDescent="0.25">
      <c r="A485" s="853"/>
      <c r="B485" s="905"/>
      <c r="C485" s="1570" t="str">
        <f t="shared" si="29"/>
        <v>Other</v>
      </c>
      <c r="D485" s="1571"/>
      <c r="E485" s="1571"/>
      <c r="F485" s="1571"/>
      <c r="G485" s="1572"/>
      <c r="H485" s="914"/>
      <c r="I485" s="912" t="str">
        <f t="shared" ref="I485:I486" si="30">IF(H485&gt;" ","Pass", "Must Be Filled In")</f>
        <v>Must Be Filled In</v>
      </c>
    </row>
    <row r="486" spans="1:9" ht="15" x14ac:dyDescent="0.25">
      <c r="A486" s="853"/>
      <c r="B486" s="905"/>
      <c r="C486" s="1570" t="s">
        <v>39</v>
      </c>
      <c r="D486" s="1571" t="s">
        <v>39</v>
      </c>
      <c r="E486" s="1571" t="s">
        <v>39</v>
      </c>
      <c r="F486" s="1571" t="s">
        <v>39</v>
      </c>
      <c r="G486" s="1572" t="s">
        <v>39</v>
      </c>
      <c r="H486" s="914"/>
      <c r="I486" s="912" t="str">
        <f t="shared" si="30"/>
        <v>Must Be Filled In</v>
      </c>
    </row>
    <row r="487" spans="1:9" ht="15" x14ac:dyDescent="0.25">
      <c r="A487" s="853"/>
      <c r="B487" s="905"/>
      <c r="C487" s="1569" t="s">
        <v>1481</v>
      </c>
      <c r="D487" s="1569"/>
      <c r="E487" s="1569"/>
      <c r="F487" s="1569"/>
      <c r="G487" s="1569"/>
      <c r="H487" s="915">
        <f>SUM(H459:H486)</f>
        <v>0</v>
      </c>
      <c r="I487" s="909"/>
    </row>
    <row r="488" spans="1:9" ht="15" x14ac:dyDescent="0.25">
      <c r="A488" s="853"/>
      <c r="B488" s="905"/>
      <c r="C488" s="1568"/>
      <c r="D488" s="1568"/>
      <c r="E488" s="1568"/>
      <c r="F488" s="1568"/>
      <c r="G488" s="1568"/>
      <c r="H488" s="911"/>
      <c r="I488" s="909"/>
    </row>
    <row r="489" spans="1:9" ht="15" x14ac:dyDescent="0.25">
      <c r="A489" s="853"/>
      <c r="B489" s="905"/>
      <c r="C489" s="1568"/>
      <c r="D489" s="1568"/>
      <c r="E489" s="1568"/>
      <c r="F489" s="1568"/>
      <c r="G489" s="1568"/>
      <c r="H489" s="911"/>
      <c r="I489" s="912"/>
    </row>
    <row r="490" spans="1:9" ht="15" x14ac:dyDescent="0.25">
      <c r="A490" s="853"/>
      <c r="B490" s="905"/>
      <c r="C490" s="1568"/>
      <c r="D490" s="1568"/>
      <c r="E490" s="1568"/>
      <c r="F490" s="1568"/>
      <c r="G490" s="1568"/>
      <c r="H490" s="911"/>
      <c r="I490" s="909"/>
    </row>
    <row r="491" spans="1:9" ht="15" x14ac:dyDescent="0.25">
      <c r="A491" s="853"/>
      <c r="B491" s="905"/>
      <c r="C491" s="1569" t="s">
        <v>1482</v>
      </c>
      <c r="D491" s="1568"/>
      <c r="E491" s="1568"/>
      <c r="F491" s="1568"/>
      <c r="G491" s="1568"/>
      <c r="H491" s="916">
        <f>+H456-H487</f>
        <v>0</v>
      </c>
      <c r="I491" s="909"/>
    </row>
    <row r="492" spans="1:9" ht="15" x14ac:dyDescent="0.25">
      <c r="A492" s="853"/>
      <c r="B492" s="905"/>
      <c r="C492" s="1561" t="s">
        <v>1483</v>
      </c>
      <c r="D492" s="1562"/>
      <c r="E492" s="1562"/>
      <c r="F492" s="1562"/>
      <c r="G492" s="1563"/>
      <c r="H492" s="917"/>
      <c r="I492" s="912" t="str">
        <f>+IF(H492="","Must Be Filled In. ","")</f>
        <v xml:space="preserve">Must Be Filled In. </v>
      </c>
    </row>
    <row r="493" spans="1:9" ht="15" x14ac:dyDescent="0.25">
      <c r="A493" s="853"/>
      <c r="B493" s="905"/>
      <c r="C493" s="918" t="s">
        <v>1484</v>
      </c>
      <c r="D493" s="919"/>
      <c r="E493" s="919"/>
      <c r="F493" s="919"/>
      <c r="G493" s="920"/>
      <c r="H493" s="917"/>
      <c r="I493" s="912"/>
    </row>
    <row r="494" spans="1:9" ht="15" x14ac:dyDescent="0.25">
      <c r="A494" s="853"/>
      <c r="B494" s="905"/>
      <c r="C494" s="1561" t="s">
        <v>1485</v>
      </c>
      <c r="D494" s="1562"/>
      <c r="E494" s="1562"/>
      <c r="F494" s="1562"/>
      <c r="G494" s="1563"/>
      <c r="H494" s="917"/>
      <c r="I494" s="912"/>
    </row>
    <row r="495" spans="1:9" ht="15" x14ac:dyDescent="0.25">
      <c r="A495" s="853"/>
      <c r="B495" s="905"/>
      <c r="C495" s="1561" t="s">
        <v>1486</v>
      </c>
      <c r="D495" s="1562"/>
      <c r="E495" s="1562"/>
      <c r="F495" s="1562"/>
      <c r="G495" s="1563"/>
      <c r="H495" s="921"/>
      <c r="I495" s="912"/>
    </row>
    <row r="496" spans="1:9" ht="15" x14ac:dyDescent="0.25">
      <c r="A496" s="853"/>
      <c r="B496" s="905"/>
      <c r="C496" s="1561" t="s">
        <v>1487</v>
      </c>
      <c r="D496" s="1562"/>
      <c r="E496" s="1562"/>
      <c r="F496" s="1562"/>
      <c r="G496" s="1563"/>
      <c r="H496" s="921"/>
      <c r="I496" s="912"/>
    </row>
    <row r="497" spans="1:9" ht="15" x14ac:dyDescent="0.25">
      <c r="A497" s="853"/>
      <c r="B497" s="905"/>
      <c r="C497" s="1561" t="s">
        <v>1488</v>
      </c>
      <c r="D497" s="1562"/>
      <c r="E497" s="1562"/>
      <c r="F497" s="1562"/>
      <c r="G497" s="1563"/>
      <c r="H497" s="922">
        <v>0</v>
      </c>
      <c r="I497" s="909"/>
    </row>
    <row r="498" spans="1:9" ht="15" x14ac:dyDescent="0.25">
      <c r="A498" s="853"/>
      <c r="B498" s="905"/>
      <c r="C498" s="1561" t="s">
        <v>1489</v>
      </c>
      <c r="D498" s="1562"/>
      <c r="E498" s="1562"/>
      <c r="F498" s="1562"/>
      <c r="G498" s="1563"/>
      <c r="H498" s="911"/>
      <c r="I498" s="912" t="str">
        <f>+IF(H498="","Must Be Filled In. ","")</f>
        <v xml:space="preserve">Must Be Filled In. </v>
      </c>
    </row>
    <row r="499" spans="1:9" ht="15" x14ac:dyDescent="0.25">
      <c r="A499" s="853"/>
      <c r="B499" s="905"/>
      <c r="C499" s="1561" t="s">
        <v>1490</v>
      </c>
      <c r="D499" s="1562"/>
      <c r="E499" s="1562"/>
      <c r="F499" s="1562"/>
      <c r="G499" s="1563"/>
      <c r="H499" s="911"/>
      <c r="I499" s="912" t="str">
        <f>+IF(H499="","Must Be Filled In. ","")</f>
        <v xml:space="preserve">Must Be Filled In. </v>
      </c>
    </row>
    <row r="500" spans="1:9" ht="15" x14ac:dyDescent="0.25">
      <c r="A500" s="853"/>
      <c r="B500" s="905"/>
      <c r="C500" s="1561" t="s">
        <v>1491</v>
      </c>
      <c r="D500" s="1562"/>
      <c r="E500" s="1562"/>
      <c r="F500" s="1562"/>
      <c r="G500" s="1563"/>
      <c r="H500" s="915">
        <f>+(H498*H499)*10</f>
        <v>0</v>
      </c>
      <c r="I500" s="909"/>
    </row>
    <row r="501" spans="1:9" ht="15" x14ac:dyDescent="0.25">
      <c r="A501" s="853"/>
      <c r="B501" s="872"/>
      <c r="C501" s="1564"/>
      <c r="D501" s="1565"/>
      <c r="E501" s="1565"/>
      <c r="F501" s="1565"/>
      <c r="G501" s="1566"/>
      <c r="H501" s="874"/>
      <c r="I501" s="877"/>
    </row>
    <row r="502" spans="1:9" ht="15" x14ac:dyDescent="0.25">
      <c r="A502" s="853"/>
      <c r="B502" s="872"/>
      <c r="C502" s="1567" t="s">
        <v>262</v>
      </c>
      <c r="D502" s="1552"/>
      <c r="E502" s="1552"/>
      <c r="F502" s="1552"/>
      <c r="G502" s="1552"/>
      <c r="H502" s="874"/>
      <c r="I502" s="877"/>
    </row>
    <row r="503" spans="1:9" ht="15" x14ac:dyDescent="0.25">
      <c r="A503" s="853"/>
      <c r="B503" s="872"/>
      <c r="C503" s="1552"/>
      <c r="D503" s="1552"/>
      <c r="E503" s="1552"/>
      <c r="F503" s="1552"/>
      <c r="G503" s="1552"/>
      <c r="H503" s="874"/>
      <c r="I503" s="877"/>
    </row>
    <row r="504" spans="1:9" ht="15" x14ac:dyDescent="0.25">
      <c r="A504" s="853"/>
      <c r="B504" s="872">
        <v>1</v>
      </c>
      <c r="C504" s="1552" t="s">
        <v>1492</v>
      </c>
      <c r="D504" s="1552"/>
      <c r="E504" s="1552"/>
      <c r="F504" s="1552"/>
      <c r="G504" s="1552"/>
      <c r="H504" s="875">
        <f>+'Loan Information'!E4</f>
        <v>0</v>
      </c>
      <c r="I504" s="877"/>
    </row>
    <row r="505" spans="1:9" ht="15" x14ac:dyDescent="0.25">
      <c r="A505" s="853"/>
      <c r="B505" s="872">
        <v>2</v>
      </c>
      <c r="C505" s="1552" t="s">
        <v>1493</v>
      </c>
      <c r="D505" s="1552"/>
      <c r="E505" s="1552"/>
      <c r="F505" s="1552"/>
      <c r="G505" s="1552"/>
      <c r="H505" s="890">
        <f>+'Loan Information'!E8</f>
        <v>0</v>
      </c>
      <c r="I505" s="873" t="str">
        <f>+IF(H505="","Must Be Filled In. ","")</f>
        <v/>
      </c>
    </row>
    <row r="506" spans="1:9" ht="15" x14ac:dyDescent="0.25">
      <c r="A506" s="853"/>
      <c r="B506" s="872">
        <v>3</v>
      </c>
      <c r="C506" s="1552" t="s">
        <v>1494</v>
      </c>
      <c r="D506" s="1552"/>
      <c r="E506" s="1552"/>
      <c r="F506" s="1552"/>
      <c r="G506" s="1552"/>
      <c r="H506" s="944">
        <f>+'Loan Information'!E9</f>
        <v>0</v>
      </c>
      <c r="I506" s="873" t="str">
        <f t="shared" ref="I506:I507" si="31">+IF(H506="","Must Be Filled In. ","")</f>
        <v/>
      </c>
    </row>
    <row r="507" spans="1:9" ht="15" x14ac:dyDescent="0.25">
      <c r="A507" s="853"/>
      <c r="B507" s="872">
        <v>4</v>
      </c>
      <c r="C507" s="1552" t="s">
        <v>1495</v>
      </c>
      <c r="D507" s="1552"/>
      <c r="E507" s="1552"/>
      <c r="F507" s="1552"/>
      <c r="G507" s="1552"/>
      <c r="H507" s="1006">
        <f>+'Loan Information'!E11</f>
        <v>0</v>
      </c>
      <c r="I507" s="873" t="str">
        <f t="shared" si="31"/>
        <v/>
      </c>
    </row>
    <row r="508" spans="1:9" ht="15" x14ac:dyDescent="0.25">
      <c r="A508" s="853"/>
      <c r="B508" s="872">
        <v>5</v>
      </c>
      <c r="C508" s="1552" t="s">
        <v>1496</v>
      </c>
      <c r="D508" s="1552"/>
      <c r="E508" s="1552"/>
      <c r="F508" s="1552"/>
      <c r="G508" s="1552"/>
      <c r="H508" s="875">
        <f>+'Loan Information'!E21</f>
        <v>0</v>
      </c>
      <c r="I508" s="877"/>
    </row>
    <row r="509" spans="1:9" ht="15" x14ac:dyDescent="0.25">
      <c r="A509" s="853"/>
      <c r="B509" s="872">
        <v>6</v>
      </c>
      <c r="C509" s="1552" t="s">
        <v>1497</v>
      </c>
      <c r="D509" s="1552"/>
      <c r="E509" s="1552"/>
      <c r="F509" s="1552"/>
      <c r="G509" s="1552"/>
      <c r="H509" s="890">
        <f>+'Loan Information'!E25</f>
        <v>0</v>
      </c>
      <c r="I509" s="873" t="str">
        <f t="shared" ref="I509:I512" si="32">+IF(H509="","Must Be Filled In. ","")</f>
        <v/>
      </c>
    </row>
    <row r="510" spans="1:9" ht="15" x14ac:dyDescent="0.25">
      <c r="A510" s="853"/>
      <c r="B510" s="872">
        <v>7</v>
      </c>
      <c r="C510" s="1552" t="s">
        <v>1498</v>
      </c>
      <c r="D510" s="1552"/>
      <c r="E510" s="1552"/>
      <c r="F510" s="1552"/>
      <c r="G510" s="1552"/>
      <c r="H510" s="893">
        <f>+'Loan Information'!E26</f>
        <v>0</v>
      </c>
      <c r="I510" s="873" t="str">
        <f t="shared" si="32"/>
        <v/>
      </c>
    </row>
    <row r="511" spans="1:9" ht="15" x14ac:dyDescent="0.25">
      <c r="A511" s="853"/>
      <c r="B511" s="872">
        <v>8</v>
      </c>
      <c r="C511" s="1552" t="s">
        <v>1499</v>
      </c>
      <c r="D511" s="1552"/>
      <c r="E511" s="1552"/>
      <c r="F511" s="1552"/>
      <c r="G511" s="1552"/>
      <c r="H511" s="1006">
        <f>+'Loan Information'!E28</f>
        <v>0</v>
      </c>
      <c r="I511" s="873" t="str">
        <f t="shared" si="32"/>
        <v/>
      </c>
    </row>
    <row r="512" spans="1:9" ht="15" x14ac:dyDescent="0.25">
      <c r="A512" s="853"/>
      <c r="B512" s="872">
        <v>9</v>
      </c>
      <c r="C512" s="1552" t="s">
        <v>1500</v>
      </c>
      <c r="D512" s="1552"/>
      <c r="E512" s="1552"/>
      <c r="F512" s="1552"/>
      <c r="G512" s="1552"/>
      <c r="H512" s="876">
        <f>+'Pro Forma'!F27</f>
        <v>0</v>
      </c>
      <c r="I512" s="873" t="str">
        <f t="shared" si="32"/>
        <v/>
      </c>
    </row>
    <row r="513" spans="1:9" ht="15" x14ac:dyDescent="0.25">
      <c r="A513" s="853"/>
      <c r="B513" s="872">
        <v>10</v>
      </c>
      <c r="C513" s="1552" t="s">
        <v>1501</v>
      </c>
      <c r="D513" s="1552"/>
      <c r="E513" s="1552"/>
      <c r="F513" s="1552"/>
      <c r="G513" s="1552"/>
      <c r="H513" s="875">
        <f>+H504+H508</f>
        <v>0</v>
      </c>
      <c r="I513" s="877"/>
    </row>
    <row r="514" spans="1:9" ht="15" x14ac:dyDescent="0.25">
      <c r="A514" s="853"/>
      <c r="B514" s="872">
        <v>11</v>
      </c>
      <c r="C514" s="1553" t="s">
        <v>1502</v>
      </c>
      <c r="D514" s="1553"/>
      <c r="E514" s="1553"/>
      <c r="F514" s="1553"/>
      <c r="G514" s="1553"/>
      <c r="H514" s="1087" t="e">
        <f>+Lists!Y10</f>
        <v>#DIV/0!</v>
      </c>
      <c r="I514" s="877"/>
    </row>
    <row r="515" spans="1:9" ht="15" x14ac:dyDescent="0.25">
      <c r="A515" s="853"/>
      <c r="B515" s="872">
        <v>12</v>
      </c>
      <c r="C515" s="1552" t="s">
        <v>1503</v>
      </c>
      <c r="D515" s="1552"/>
      <c r="E515" s="1552"/>
      <c r="F515" s="1552"/>
      <c r="G515" s="1552"/>
      <c r="H515" s="875" t="e">
        <f>IF(H513&gt;=H514,"Yes","No")</f>
        <v>#DIV/0!</v>
      </c>
      <c r="I515" s="897" t="e">
        <v>#DIV/0!</v>
      </c>
    </row>
    <row r="516" spans="1:9" ht="37.5" customHeight="1" x14ac:dyDescent="0.25">
      <c r="A516" s="853"/>
      <c r="B516" s="872"/>
      <c r="C516" s="1549" t="s">
        <v>1644</v>
      </c>
      <c r="D516" s="1550"/>
      <c r="E516" s="1550"/>
      <c r="F516" s="1550"/>
      <c r="G516" s="1551"/>
      <c r="H516" s="923">
        <v>3.0200000000000001E-2</v>
      </c>
      <c r="I516" s="897"/>
    </row>
    <row r="517" spans="1:9" ht="15" x14ac:dyDescent="0.25">
      <c r="A517" s="853"/>
      <c r="B517" s="872"/>
      <c r="C517" s="1549" t="s">
        <v>1504</v>
      </c>
      <c r="D517" s="1550"/>
      <c r="E517" s="1550"/>
      <c r="F517" s="1550"/>
      <c r="G517" s="1551"/>
      <c r="H517" s="893">
        <v>20</v>
      </c>
      <c r="I517" s="897"/>
    </row>
    <row r="518" spans="1:9" ht="15" x14ac:dyDescent="0.25">
      <c r="A518" s="853"/>
      <c r="B518" s="872"/>
      <c r="C518" s="1549" t="s">
        <v>1505</v>
      </c>
      <c r="D518" s="1550"/>
      <c r="E518" s="1550"/>
      <c r="F518" s="1550"/>
      <c r="G518" s="1551"/>
      <c r="H518" s="875" t="e">
        <f>+Amortization!G23</f>
        <v>#VALUE!</v>
      </c>
      <c r="I518" s="897"/>
    </row>
    <row r="519" spans="1:9" ht="15" x14ac:dyDescent="0.25">
      <c r="A519" s="853"/>
      <c r="B519" s="872"/>
      <c r="C519" s="1549" t="s">
        <v>1506</v>
      </c>
      <c r="D519" s="1550"/>
      <c r="E519" s="1550"/>
      <c r="F519" s="1550"/>
      <c r="G519" s="1551"/>
      <c r="H519" s="998" t="e">
        <f>+'Loan Information'!E41</f>
        <v>#VALUE!</v>
      </c>
      <c r="I519" s="897"/>
    </row>
    <row r="520" spans="1:9" ht="32.25" customHeight="1" x14ac:dyDescent="0.25">
      <c r="A520" s="853"/>
      <c r="B520" s="872"/>
      <c r="C520" s="1549" t="s">
        <v>1507</v>
      </c>
      <c r="D520" s="1550"/>
      <c r="E520" s="1550"/>
      <c r="F520" s="1550"/>
      <c r="G520" s="1551"/>
      <c r="H520" s="875" t="e">
        <f>IF(H518=H519,"Yes", "No")</f>
        <v>#VALUE!</v>
      </c>
      <c r="I520" s="897" t="e">
        <v>#NUM!</v>
      </c>
    </row>
    <row r="521" spans="1:9" ht="15" x14ac:dyDescent="0.25">
      <c r="A521" s="853"/>
      <c r="B521" s="872"/>
      <c r="C521" s="1549" t="s">
        <v>1508</v>
      </c>
      <c r="D521" s="1550"/>
      <c r="E521" s="1550"/>
      <c r="F521" s="1550"/>
      <c r="G521" s="1551"/>
      <c r="H521" s="999">
        <f>+H505</f>
        <v>0</v>
      </c>
      <c r="I521" s="897"/>
    </row>
    <row r="522" spans="1:9" ht="15" x14ac:dyDescent="0.25">
      <c r="A522" s="853"/>
      <c r="B522" s="872"/>
      <c r="C522" s="1549" t="s">
        <v>1509</v>
      </c>
      <c r="D522" s="1550"/>
      <c r="E522" s="1550"/>
      <c r="F522" s="1550"/>
      <c r="G522" s="1551"/>
      <c r="H522" s="1085" t="e">
        <f>+Lists!AE10</f>
        <v>#DIV/0!</v>
      </c>
      <c r="I522" s="897"/>
    </row>
    <row r="523" spans="1:9" ht="15" x14ac:dyDescent="0.25">
      <c r="A523" s="853"/>
      <c r="B523" s="872"/>
      <c r="C523" s="1549" t="s">
        <v>1510</v>
      </c>
      <c r="D523" s="1550"/>
      <c r="E523" s="1550"/>
      <c r="F523" s="1550"/>
      <c r="G523" s="1551"/>
      <c r="H523" s="875" t="e">
        <f>IF(H522+H519&gt;=H518,"Yes", "No")</f>
        <v>#DIV/0!</v>
      </c>
      <c r="I523" s="897" t="e">
        <v>#N/A</v>
      </c>
    </row>
    <row r="524" spans="1:9" ht="15" x14ac:dyDescent="0.25">
      <c r="A524" s="853"/>
      <c r="B524" s="872"/>
      <c r="C524" s="1549" t="s">
        <v>1651</v>
      </c>
      <c r="D524" s="1550"/>
      <c r="E524" s="1550"/>
      <c r="F524" s="1550"/>
      <c r="G524" s="1551"/>
      <c r="H524" s="1023" t="e">
        <f>+'Pro Forma'!D20/'Pro Forma'!D5</f>
        <v>#DIV/0!</v>
      </c>
      <c r="I524" s="897"/>
    </row>
    <row r="525" spans="1:9" ht="15" x14ac:dyDescent="0.25">
      <c r="A525" s="853"/>
      <c r="B525" s="872"/>
      <c r="C525" s="1549" t="s">
        <v>1652</v>
      </c>
      <c r="D525" s="1550"/>
      <c r="E525" s="1550"/>
      <c r="F525" s="1550"/>
      <c r="G525" s="1551"/>
      <c r="H525" s="1023" t="e">
        <f>+'Pro Forma'!V20/'Pro Forma'!V5</f>
        <v>#DIV/0!</v>
      </c>
      <c r="I525" s="897"/>
    </row>
    <row r="526" spans="1:9" ht="15" x14ac:dyDescent="0.25">
      <c r="A526" s="853"/>
      <c r="B526" s="872"/>
      <c r="C526" s="1549" t="s">
        <v>1653</v>
      </c>
      <c r="D526" s="1550"/>
      <c r="E526" s="1550"/>
      <c r="F526" s="1550"/>
      <c r="G526" s="1551"/>
      <c r="H526" s="1023" t="e">
        <f>+'Pro Forma'!AP20/'Pro Forma'!AP5</f>
        <v>#DIV/0!</v>
      </c>
      <c r="I526" s="897"/>
    </row>
    <row r="527" spans="1:9" ht="15" x14ac:dyDescent="0.25">
      <c r="A527" s="853"/>
      <c r="B527" s="872"/>
      <c r="C527" s="1549" t="s">
        <v>1655</v>
      </c>
      <c r="D527" s="1550"/>
      <c r="E527" s="1550"/>
      <c r="F527" s="1550"/>
      <c r="G527" s="1551"/>
      <c r="H527" s="875" t="str">
        <f>IF(Lists!D50&gt;0, "Yes", "No")</f>
        <v>No</v>
      </c>
      <c r="I527" s="897"/>
    </row>
    <row r="528" spans="1:9" ht="15" x14ac:dyDescent="0.25">
      <c r="A528" s="853"/>
      <c r="B528" s="872"/>
      <c r="C528" s="1549" t="s">
        <v>1656</v>
      </c>
      <c r="D528" s="1550"/>
      <c r="E528" s="1550"/>
      <c r="F528" s="1550"/>
      <c r="G528" s="1551"/>
      <c r="H528" s="1026">
        <f>+Lists!D53</f>
        <v>0</v>
      </c>
      <c r="I528" s="897"/>
    </row>
    <row r="529" spans="1:9" ht="15" x14ac:dyDescent="0.25">
      <c r="A529" s="853"/>
      <c r="B529" s="872"/>
      <c r="C529" s="1549" t="s">
        <v>1660</v>
      </c>
      <c r="D529" s="1550"/>
      <c r="E529" s="1550"/>
      <c r="F529" s="1550"/>
      <c r="G529" s="1551"/>
      <c r="H529" s="1026">
        <f>+Lists!D54</f>
        <v>0</v>
      </c>
      <c r="I529" s="897"/>
    </row>
    <row r="530" spans="1:9" ht="15" x14ac:dyDescent="0.25">
      <c r="A530" s="853"/>
      <c r="B530" s="872"/>
      <c r="C530" s="1549"/>
      <c r="D530" s="1550"/>
      <c r="E530" s="1550"/>
      <c r="F530" s="1550"/>
      <c r="G530" s="1551"/>
      <c r="H530" s="875"/>
      <c r="I530" s="897"/>
    </row>
    <row r="531" spans="1:9" ht="15" x14ac:dyDescent="0.25">
      <c r="A531" s="853"/>
      <c r="B531" s="872"/>
      <c r="C531" s="1549"/>
      <c r="D531" s="1550"/>
      <c r="E531" s="1550"/>
      <c r="F531" s="1550"/>
      <c r="G531" s="1551"/>
      <c r="H531" s="875"/>
      <c r="I531" s="897"/>
    </row>
    <row r="532" spans="1:9" ht="15" x14ac:dyDescent="0.25">
      <c r="A532" s="853"/>
      <c r="B532" s="872"/>
      <c r="C532" s="1552" t="s">
        <v>1511</v>
      </c>
      <c r="D532" s="1552"/>
      <c r="E532" s="1552"/>
      <c r="F532" s="1552"/>
      <c r="G532" s="1552"/>
      <c r="H532" s="876">
        <f>+'Pro Forma'!D43</f>
        <v>0</v>
      </c>
      <c r="I532" s="873"/>
    </row>
    <row r="533" spans="1:9" ht="15" x14ac:dyDescent="0.25">
      <c r="A533" s="853"/>
      <c r="B533" s="872"/>
      <c r="C533" s="1552" t="s">
        <v>1512</v>
      </c>
      <c r="D533" s="1552"/>
      <c r="E533" s="1552"/>
      <c r="F533" s="1552"/>
      <c r="G533" s="1552"/>
      <c r="H533" s="876">
        <f>+'Pro Forma'!D33</f>
        <v>0</v>
      </c>
      <c r="I533" s="873"/>
    </row>
    <row r="534" spans="1:9" ht="15" x14ac:dyDescent="0.25">
      <c r="A534" s="853"/>
      <c r="B534" s="872"/>
      <c r="C534" s="1552" t="s">
        <v>1513</v>
      </c>
      <c r="D534" s="1552"/>
      <c r="E534" s="1552"/>
      <c r="F534" s="1552"/>
      <c r="G534" s="1552"/>
      <c r="H534" s="876">
        <f>+'Pro Forma'!D35+'Pro Forma'!F35+'Pro Forma'!H35+'Pro Forma'!J35+'Pro Forma'!L35+'Pro Forma'!N35+'Pro Forma'!P35+'Pro Forma'!R35+'Pro Forma'!T35+'Pro Forma'!V35</f>
        <v>0</v>
      </c>
      <c r="I534" s="873"/>
    </row>
    <row r="535" spans="1:9" ht="15" x14ac:dyDescent="0.25">
      <c r="A535" s="853"/>
      <c r="B535" s="872"/>
      <c r="C535" s="1549" t="s">
        <v>1514</v>
      </c>
      <c r="D535" s="1550"/>
      <c r="E535" s="1550"/>
      <c r="F535" s="1550"/>
      <c r="G535" s="1551"/>
      <c r="H535" s="876">
        <f>+'Pro Forma'!V27</f>
        <v>0</v>
      </c>
      <c r="I535" s="873"/>
    </row>
    <row r="536" spans="1:9" ht="15" x14ac:dyDescent="0.25">
      <c r="A536" s="853"/>
      <c r="B536" s="872"/>
      <c r="C536" s="1552" t="s">
        <v>1515</v>
      </c>
      <c r="D536" s="1552"/>
      <c r="E536" s="1552"/>
      <c r="F536" s="1552"/>
      <c r="G536" s="1552"/>
      <c r="H536" s="876">
        <f>+'Pro Forma'!AH42</f>
        <v>0</v>
      </c>
      <c r="I536" s="873"/>
    </row>
    <row r="537" spans="1:9" ht="15" x14ac:dyDescent="0.25">
      <c r="A537" s="853"/>
      <c r="B537" s="872"/>
      <c r="C537" s="1552" t="s">
        <v>1516</v>
      </c>
      <c r="D537" s="1552"/>
      <c r="E537" s="1552"/>
      <c r="F537" s="1552"/>
      <c r="G537" s="1552"/>
      <c r="H537" s="876">
        <f>+'Pro Forma'!AF43</f>
        <v>0</v>
      </c>
      <c r="I537" s="873"/>
    </row>
    <row r="538" spans="1:9" ht="15" x14ac:dyDescent="0.25">
      <c r="A538" s="853"/>
      <c r="B538" s="872"/>
      <c r="C538" s="1552" t="s">
        <v>1517</v>
      </c>
      <c r="D538" s="1552"/>
      <c r="E538" s="1552"/>
      <c r="F538" s="1552"/>
      <c r="G538" s="1552"/>
      <c r="H538" s="876">
        <f>+H534+'Pro Forma'!X35+'Pro Forma'!Z35+'Pro Forma'!AB35+'Pro Forma'!AD35+'Pro Forma'!AF35</f>
        <v>0</v>
      </c>
      <c r="I538" s="873"/>
    </row>
    <row r="539" spans="1:9" ht="15" x14ac:dyDescent="0.25">
      <c r="A539" s="853"/>
      <c r="B539" s="872"/>
      <c r="C539" s="1552" t="s">
        <v>1518</v>
      </c>
      <c r="D539" s="1552"/>
      <c r="E539" s="1552"/>
      <c r="F539" s="1552"/>
      <c r="G539" s="1552"/>
      <c r="H539" s="876">
        <f>+'Pro Forma'!D20+'Pro Forma'!F20+'Pro Forma'!H20+'Pro Forma'!J20+'Pro Forma'!L20+'Pro Forma'!N20+'Pro Forma'!P20+'Pro Forma'!R20+'Pro Forma'!T20+'Pro Forma'!V20+'Pro Forma'!X20+'Pro Forma'!Z20+'Pro Forma'!AB27+'Pro Forma'!AD27+'Pro Forma'!AF27</f>
        <v>0</v>
      </c>
      <c r="I539" s="873"/>
    </row>
    <row r="540" spans="1:9" ht="15" x14ac:dyDescent="0.25">
      <c r="A540" s="853"/>
      <c r="B540" s="872"/>
      <c r="C540" s="1552" t="s">
        <v>1519</v>
      </c>
      <c r="D540" s="1552"/>
      <c r="E540" s="1552"/>
      <c r="F540" s="1552"/>
      <c r="G540" s="1552"/>
      <c r="H540" s="876">
        <f>+'Pro Forma'!AF27</f>
        <v>0</v>
      </c>
      <c r="I540" s="873"/>
    </row>
    <row r="541" spans="1:9" ht="15" x14ac:dyDescent="0.25">
      <c r="A541" s="853"/>
      <c r="B541" s="872"/>
      <c r="C541" s="1552" t="s">
        <v>1520</v>
      </c>
      <c r="D541" s="1552"/>
      <c r="E541" s="1552"/>
      <c r="F541" s="1552"/>
      <c r="G541" s="1552"/>
      <c r="H541" s="876">
        <f>+'Pro Forma'!D24+'Pro Forma'!F24+'Pro Forma'!H24+'Pro Forma'!J24+'Pro Forma'!L24+'Pro Forma'!N24+'Pro Forma'!P24+'Pro Forma'!R24+'Pro Forma'!T24+'Pro Forma'!V24+'Pro Forma'!X24+'Pro Forma'!Z24+'Pro Forma'!AB24+'Pro Forma'!AD24+'Pro Forma'!AF24</f>
        <v>0</v>
      </c>
      <c r="I541" s="873"/>
    </row>
    <row r="542" spans="1:9" ht="15" x14ac:dyDescent="0.25">
      <c r="A542" s="853"/>
      <c r="B542" s="872"/>
      <c r="C542" s="1549" t="s">
        <v>1521</v>
      </c>
      <c r="D542" s="1550"/>
      <c r="E542" s="1550"/>
      <c r="F542" s="1550"/>
      <c r="G542" s="1551"/>
      <c r="H542" s="876">
        <f>+'Pro Forma'!AP42</f>
        <v>0</v>
      </c>
      <c r="I542" s="873"/>
    </row>
    <row r="543" spans="1:9" ht="15" x14ac:dyDescent="0.25">
      <c r="A543" s="853"/>
      <c r="B543" s="872"/>
      <c r="C543" s="1549" t="s">
        <v>1522</v>
      </c>
      <c r="D543" s="1550"/>
      <c r="E543" s="1550"/>
      <c r="F543" s="1550"/>
      <c r="G543" s="1551"/>
      <c r="H543" s="876">
        <f>+'Pro Forma'!AP43</f>
        <v>0</v>
      </c>
      <c r="I543" s="873"/>
    </row>
    <row r="544" spans="1:9" ht="15" x14ac:dyDescent="0.25">
      <c r="A544" s="853"/>
      <c r="B544" s="872"/>
      <c r="C544" s="1549" t="s">
        <v>1523</v>
      </c>
      <c r="D544" s="1550"/>
      <c r="E544" s="1550"/>
      <c r="F544" s="1550"/>
      <c r="G544" s="1551"/>
      <c r="H544" s="876">
        <f>+H538+'Pro Forma'!AF35+'Pro Forma'!AH35+'Pro Forma'!AJ35+'Pro Forma'!AL35+'Pro Forma'!AN35+'Pro Forma'!AP35</f>
        <v>0</v>
      </c>
      <c r="I544" s="873"/>
    </row>
    <row r="545" spans="1:9" ht="15" x14ac:dyDescent="0.25">
      <c r="A545" s="853"/>
      <c r="B545" s="872"/>
      <c r="C545" s="1549" t="s">
        <v>1524</v>
      </c>
      <c r="D545" s="1550"/>
      <c r="E545" s="1550"/>
      <c r="F545" s="1550"/>
      <c r="G545" s="1551"/>
      <c r="H545" s="876">
        <f>+H539+'Pro Forma'!AH20+'Pro Forma'!AJ20+'Pro Forma'!AL20+'Pro Forma'!AN20+'Pro Forma'!AP20</f>
        <v>0</v>
      </c>
      <c r="I545" s="873"/>
    </row>
    <row r="546" spans="1:9" ht="15" x14ac:dyDescent="0.25">
      <c r="A546" s="853"/>
      <c r="B546" s="872"/>
      <c r="C546" s="1549" t="s">
        <v>1525</v>
      </c>
      <c r="D546" s="1550"/>
      <c r="E546" s="1550"/>
      <c r="F546" s="1550"/>
      <c r="G546" s="1551"/>
      <c r="H546" s="876">
        <f>+'Pro Forma'!AP27</f>
        <v>0</v>
      </c>
      <c r="I546" s="873"/>
    </row>
    <row r="547" spans="1:9" ht="15" x14ac:dyDescent="0.25">
      <c r="A547" s="853"/>
      <c r="B547" s="872"/>
      <c r="C547" s="1549" t="s">
        <v>1526</v>
      </c>
      <c r="D547" s="1550"/>
      <c r="E547" s="1550"/>
      <c r="F547" s="1550"/>
      <c r="G547" s="1551"/>
      <c r="H547" s="876">
        <f>+'Primary Input'!E31</f>
        <v>0</v>
      </c>
      <c r="I547" s="873"/>
    </row>
    <row r="548" spans="1:9" ht="15" x14ac:dyDescent="0.25">
      <c r="A548" s="853"/>
      <c r="B548" s="872"/>
      <c r="C548" s="1549" t="s">
        <v>1527</v>
      </c>
      <c r="D548" s="1550"/>
      <c r="E548" s="1550"/>
      <c r="F548" s="1550"/>
      <c r="G548" s="1551"/>
      <c r="H548" s="1085">
        <v>0</v>
      </c>
      <c r="I548" s="873"/>
    </row>
    <row r="549" spans="1:9" ht="15" x14ac:dyDescent="0.25">
      <c r="A549" s="853"/>
      <c r="B549" s="872"/>
      <c r="C549" s="1549" t="s">
        <v>1528</v>
      </c>
      <c r="D549" s="1550"/>
      <c r="E549" s="1550"/>
      <c r="F549" s="1550"/>
      <c r="G549" s="1551"/>
      <c r="H549" s="1085">
        <v>0</v>
      </c>
      <c r="I549" s="873"/>
    </row>
    <row r="550" spans="1:9" ht="15" x14ac:dyDescent="0.25">
      <c r="A550" s="853"/>
      <c r="B550" s="872"/>
      <c r="C550" s="1558" t="s">
        <v>1529</v>
      </c>
      <c r="D550" s="1559"/>
      <c r="E550" s="1559"/>
      <c r="F550" s="1559"/>
      <c r="G550" s="1560"/>
      <c r="H550" s="875" t="s">
        <v>30</v>
      </c>
      <c r="I550" s="924" t="str">
        <f>IF(H550="Yes","Pass","Fail")</f>
        <v>Pass</v>
      </c>
    </row>
    <row r="551" spans="1:9" ht="15" x14ac:dyDescent="0.25">
      <c r="A551" s="853"/>
      <c r="B551" s="872"/>
      <c r="C551" s="1553" t="s">
        <v>1530</v>
      </c>
      <c r="D551" s="1553"/>
      <c r="E551" s="1553"/>
      <c r="F551" s="1553"/>
      <c r="G551" s="1553"/>
      <c r="H551" s="875" t="s">
        <v>30</v>
      </c>
      <c r="I551" s="924" t="str">
        <f>IF(H551="Yes","Pass","Fail")</f>
        <v>Pass</v>
      </c>
    </row>
    <row r="552" spans="1:9" ht="15" x14ac:dyDescent="0.25">
      <c r="A552" s="853"/>
      <c r="B552" s="872"/>
      <c r="C552" s="1553" t="s">
        <v>1531</v>
      </c>
      <c r="D552" s="1553"/>
      <c r="E552" s="1553"/>
      <c r="F552" s="1553"/>
      <c r="G552" s="1553"/>
      <c r="H552" s="881"/>
      <c r="I552" s="873"/>
    </row>
    <row r="553" spans="1:9" ht="15" x14ac:dyDescent="0.25">
      <c r="A553" s="853"/>
      <c r="B553" s="872"/>
      <c r="C553" s="1553" t="s">
        <v>1532</v>
      </c>
      <c r="D553" s="1553"/>
      <c r="E553" s="1553"/>
      <c r="F553" s="1553"/>
      <c r="G553" s="1553"/>
      <c r="H553" s="881"/>
      <c r="I553" s="873"/>
    </row>
    <row r="554" spans="1:9" ht="15" x14ac:dyDescent="0.25">
      <c r="A554" s="853"/>
      <c r="B554" s="872"/>
      <c r="C554" s="1554"/>
      <c r="D554" s="1555"/>
      <c r="E554" s="1555"/>
      <c r="F554" s="1555"/>
      <c r="G554" s="1556"/>
      <c r="H554" s="874"/>
      <c r="I554" s="873"/>
    </row>
    <row r="555" spans="1:9" ht="15" x14ac:dyDescent="0.25">
      <c r="A555" s="853"/>
      <c r="B555" s="872"/>
      <c r="C555" s="1557" t="s">
        <v>1533</v>
      </c>
      <c r="D555" s="1550"/>
      <c r="E555" s="1550"/>
      <c r="F555" s="1550"/>
      <c r="G555" s="1551"/>
      <c r="H555" s="874"/>
      <c r="I555" s="873"/>
    </row>
    <row r="556" spans="1:9" ht="30" x14ac:dyDescent="0.25">
      <c r="A556" s="853"/>
      <c r="B556" s="872"/>
      <c r="C556" s="925" t="s">
        <v>1534</v>
      </c>
      <c r="D556" s="926"/>
      <c r="E556" s="926"/>
      <c r="F556" s="926"/>
      <c r="G556" s="927"/>
      <c r="H556" s="874"/>
      <c r="I556" s="873"/>
    </row>
    <row r="557" spans="1:9" ht="15" x14ac:dyDescent="0.25">
      <c r="A557" s="853"/>
      <c r="B557" s="872"/>
      <c r="C557" s="1549" t="s">
        <v>1535</v>
      </c>
      <c r="D557" s="1550"/>
      <c r="E557" s="1550"/>
      <c r="F557" s="1550"/>
      <c r="G557" s="1551"/>
      <c r="H557" s="874"/>
      <c r="I557" s="873"/>
    </row>
    <row r="558" spans="1:9" ht="15" x14ac:dyDescent="0.25">
      <c r="A558" s="853"/>
      <c r="B558" s="872"/>
      <c r="C558" s="1549" t="s">
        <v>1536</v>
      </c>
      <c r="D558" s="1550"/>
      <c r="E558" s="1550"/>
      <c r="F558" s="1550"/>
      <c r="G558" s="1551"/>
      <c r="H558" s="874"/>
      <c r="I558" s="873"/>
    </row>
    <row r="559" spans="1:9" ht="15" x14ac:dyDescent="0.25">
      <c r="A559" s="853"/>
      <c r="B559" s="872"/>
      <c r="C559" s="1549" t="s">
        <v>1536</v>
      </c>
      <c r="D559" s="1550"/>
      <c r="E559" s="1550"/>
      <c r="F559" s="1550"/>
      <c r="G559" s="1551"/>
      <c r="H559" s="874"/>
      <c r="I559" s="873"/>
    </row>
    <row r="560" spans="1:9" ht="15" x14ac:dyDescent="0.25">
      <c r="A560" s="853"/>
      <c r="B560" s="872"/>
      <c r="C560" s="1549"/>
      <c r="D560" s="1550"/>
      <c r="E560" s="1550"/>
      <c r="F560" s="1550"/>
      <c r="G560" s="1551"/>
      <c r="H560" s="874"/>
      <c r="I560" s="873"/>
    </row>
    <row r="561" spans="1:9" ht="15" x14ac:dyDescent="0.25">
      <c r="A561" s="853"/>
      <c r="B561" s="872"/>
      <c r="C561" s="1552"/>
      <c r="D561" s="1552"/>
      <c r="E561" s="1552"/>
      <c r="F561" s="1552"/>
      <c r="G561" s="1552"/>
      <c r="H561" s="881"/>
      <c r="I561" s="873"/>
    </row>
    <row r="562" spans="1:9" ht="15" x14ac:dyDescent="0.25">
      <c r="A562" s="853"/>
      <c r="B562" s="872"/>
      <c r="C562" s="1529"/>
      <c r="D562" s="1529"/>
      <c r="E562" s="1529"/>
      <c r="F562" s="1529"/>
      <c r="G562" s="1529"/>
      <c r="H562" s="881"/>
      <c r="I562" s="873"/>
    </row>
    <row r="563" spans="1:9" ht="15" x14ac:dyDescent="0.25">
      <c r="A563" s="853"/>
      <c r="B563" s="928" t="s">
        <v>556</v>
      </c>
      <c r="C563" s="929"/>
      <c r="D563" s="929"/>
      <c r="E563" s="929"/>
      <c r="F563" s="929"/>
      <c r="G563" s="929"/>
      <c r="H563" s="929"/>
      <c r="I563" s="930"/>
    </row>
    <row r="564" spans="1:9" ht="15" x14ac:dyDescent="0.25">
      <c r="A564" s="853"/>
      <c r="B564" s="1543"/>
      <c r="C564" s="1544"/>
      <c r="D564" s="1544"/>
      <c r="E564" s="1544"/>
      <c r="F564" s="1544"/>
      <c r="G564" s="1544"/>
      <c r="H564" s="1544"/>
      <c r="I564" s="930"/>
    </row>
    <row r="565" spans="1:9" ht="15" x14ac:dyDescent="0.25">
      <c r="A565" s="853"/>
      <c r="B565" s="1543"/>
      <c r="C565" s="1544"/>
      <c r="D565" s="1544"/>
      <c r="E565" s="1544"/>
      <c r="F565" s="1544"/>
      <c r="G565" s="1544"/>
      <c r="H565" s="1544"/>
      <c r="I565" s="930"/>
    </row>
    <row r="566" spans="1:9" ht="15" x14ac:dyDescent="0.25">
      <c r="A566" s="853"/>
      <c r="B566" s="1543"/>
      <c r="C566" s="1544"/>
      <c r="D566" s="1544"/>
      <c r="E566" s="1544"/>
      <c r="F566" s="1544"/>
      <c r="G566" s="1544"/>
      <c r="H566" s="1544"/>
      <c r="I566" s="930"/>
    </row>
    <row r="567" spans="1:9" ht="15" x14ac:dyDescent="0.25">
      <c r="A567" s="853"/>
      <c r="B567" s="1543"/>
      <c r="C567" s="1544"/>
      <c r="D567" s="1544"/>
      <c r="E567" s="1544"/>
      <c r="F567" s="1544"/>
      <c r="G567" s="1544"/>
      <c r="H567" s="1544"/>
      <c r="I567" s="930"/>
    </row>
    <row r="568" spans="1:9" ht="15" x14ac:dyDescent="0.25">
      <c r="A568" s="853"/>
      <c r="B568" s="1543"/>
      <c r="C568" s="1544"/>
      <c r="D568" s="1544"/>
      <c r="E568" s="1544"/>
      <c r="F568" s="1544"/>
      <c r="G568" s="1544"/>
      <c r="H568" s="1544"/>
      <c r="I568" s="930"/>
    </row>
    <row r="569" spans="1:9" ht="15" x14ac:dyDescent="0.25">
      <c r="A569" s="853"/>
      <c r="B569" s="1543"/>
      <c r="C569" s="1544"/>
      <c r="D569" s="1544"/>
      <c r="E569" s="1544"/>
      <c r="F569" s="1544"/>
      <c r="G569" s="1544"/>
      <c r="H569" s="1544"/>
      <c r="I569" s="930"/>
    </row>
    <row r="570" spans="1:9" ht="15" x14ac:dyDescent="0.25">
      <c r="A570" s="853"/>
      <c r="B570" s="1543"/>
      <c r="C570" s="1544"/>
      <c r="D570" s="1544"/>
      <c r="E570" s="1544"/>
      <c r="F570" s="1544"/>
      <c r="G570" s="1544"/>
      <c r="H570" s="1544"/>
      <c r="I570" s="930"/>
    </row>
    <row r="571" spans="1:9" ht="15" x14ac:dyDescent="0.25">
      <c r="A571" s="853"/>
      <c r="B571" s="1543"/>
      <c r="C571" s="1544"/>
      <c r="D571" s="1544"/>
      <c r="E571" s="1544"/>
      <c r="F571" s="1544"/>
      <c r="G571" s="1544"/>
      <c r="H571" s="1544"/>
      <c r="I571" s="930"/>
    </row>
    <row r="572" spans="1:9" ht="15" x14ac:dyDescent="0.25">
      <c r="A572" s="853"/>
      <c r="B572" s="1543"/>
      <c r="C572" s="1544"/>
      <c r="D572" s="1544"/>
      <c r="E572" s="1544"/>
      <c r="F572" s="1544"/>
      <c r="G572" s="1544"/>
      <c r="H572" s="1544"/>
      <c r="I572" s="930"/>
    </row>
    <row r="573" spans="1:9" ht="15" x14ac:dyDescent="0.25">
      <c r="A573" s="853"/>
      <c r="B573" s="1543"/>
      <c r="C573" s="1544"/>
      <c r="D573" s="1544"/>
      <c r="E573" s="1544"/>
      <c r="F573" s="1544"/>
      <c r="G573" s="1544"/>
      <c r="H573" s="1544"/>
      <c r="I573" s="930"/>
    </row>
    <row r="574" spans="1:9" ht="15" x14ac:dyDescent="0.25">
      <c r="A574" s="853"/>
      <c r="B574" s="1543"/>
      <c r="C574" s="1544"/>
      <c r="D574" s="1544"/>
      <c r="E574" s="1544"/>
      <c r="F574" s="1544"/>
      <c r="G574" s="1544"/>
      <c r="H574" s="1544"/>
      <c r="I574" s="930"/>
    </row>
    <row r="575" spans="1:9" ht="15" x14ac:dyDescent="0.25">
      <c r="A575" s="853"/>
      <c r="B575" s="1543"/>
      <c r="C575" s="1544"/>
      <c r="D575" s="1544"/>
      <c r="E575" s="1544"/>
      <c r="F575" s="1544"/>
      <c r="G575" s="1544"/>
      <c r="H575" s="1544"/>
      <c r="I575" s="930"/>
    </row>
    <row r="576" spans="1:9" ht="15" x14ac:dyDescent="0.25">
      <c r="A576" s="931"/>
      <c r="B576" s="1545" t="s">
        <v>1537</v>
      </c>
      <c r="C576" s="1546"/>
      <c r="D576" s="1546"/>
      <c r="E576" s="1546"/>
      <c r="F576" s="1547"/>
      <c r="G576" s="1548"/>
      <c r="H576" s="932"/>
      <c r="I576" s="930"/>
    </row>
    <row r="577" spans="1:9" ht="15" x14ac:dyDescent="0.25">
      <c r="A577" s="931"/>
      <c r="B577" s="1534" t="s">
        <v>1538</v>
      </c>
      <c r="C577" s="1535"/>
      <c r="D577" s="1535"/>
      <c r="E577" s="1535"/>
      <c r="F577" s="1541" t="s">
        <v>1539</v>
      </c>
      <c r="G577" s="1542"/>
      <c r="H577" s="932"/>
      <c r="I577" s="930"/>
    </row>
    <row r="578" spans="1:9" ht="15" x14ac:dyDescent="0.25">
      <c r="A578" s="931"/>
      <c r="B578" s="1534" t="s">
        <v>1533</v>
      </c>
      <c r="C578" s="1535"/>
      <c r="D578" s="1535"/>
      <c r="E578" s="1535"/>
      <c r="F578" s="933"/>
      <c r="G578" s="932"/>
      <c r="H578" s="932"/>
      <c r="I578" s="930"/>
    </row>
    <row r="579" spans="1:9" ht="15" x14ac:dyDescent="0.25">
      <c r="A579" s="931"/>
      <c r="B579" s="1534" t="s">
        <v>1540</v>
      </c>
      <c r="C579" s="1535"/>
      <c r="D579" s="1535"/>
      <c r="E579" s="1535"/>
      <c r="F579" s="933"/>
      <c r="G579" s="932"/>
      <c r="H579" s="932"/>
      <c r="I579" s="930"/>
    </row>
    <row r="580" spans="1:9" ht="15" x14ac:dyDescent="0.25">
      <c r="A580" s="931"/>
      <c r="B580" s="1534" t="s">
        <v>1541</v>
      </c>
      <c r="C580" s="1535"/>
      <c r="D580" s="1535"/>
      <c r="E580" s="1535"/>
      <c r="F580" s="933"/>
      <c r="G580" s="932"/>
      <c r="H580" s="932"/>
      <c r="I580" s="930"/>
    </row>
    <row r="581" spans="1:9" ht="15" x14ac:dyDescent="0.25">
      <c r="A581" s="931"/>
      <c r="B581" s="1534" t="s">
        <v>1542</v>
      </c>
      <c r="C581" s="1535"/>
      <c r="D581" s="1535"/>
      <c r="E581" s="1535"/>
      <c r="F581" s="933"/>
      <c r="G581" s="932"/>
      <c r="H581" s="932"/>
      <c r="I581" s="930"/>
    </row>
    <row r="582" spans="1:9" ht="15" x14ac:dyDescent="0.25">
      <c r="A582" s="931"/>
      <c r="B582" s="1534" t="s">
        <v>1543</v>
      </c>
      <c r="C582" s="1535"/>
      <c r="D582" s="1535"/>
      <c r="E582" s="1535"/>
      <c r="F582" s="933"/>
      <c r="G582" s="932"/>
      <c r="H582" s="932"/>
      <c r="I582" s="930"/>
    </row>
    <row r="583" spans="1:9" ht="15" x14ac:dyDescent="0.25">
      <c r="A583" s="931"/>
      <c r="B583" s="1534" t="s">
        <v>1544</v>
      </c>
      <c r="C583" s="1535"/>
      <c r="D583" s="1535"/>
      <c r="E583" s="1535"/>
      <c r="F583" s="933"/>
      <c r="G583" s="932"/>
      <c r="H583" s="932"/>
      <c r="I583" s="930"/>
    </row>
    <row r="584" spans="1:9" ht="15" x14ac:dyDescent="0.25">
      <c r="A584" s="931"/>
      <c r="B584" s="1534" t="s">
        <v>1545</v>
      </c>
      <c r="C584" s="1535"/>
      <c r="D584" s="1535"/>
      <c r="E584" s="1535"/>
      <c r="F584" s="933"/>
      <c r="G584" s="932"/>
      <c r="H584" s="932"/>
      <c r="I584" s="930"/>
    </row>
    <row r="585" spans="1:9" ht="15" x14ac:dyDescent="0.25">
      <c r="A585" s="931"/>
      <c r="B585" s="1534" t="s">
        <v>1546</v>
      </c>
      <c r="C585" s="1535"/>
      <c r="D585" s="1535"/>
      <c r="E585" s="1535"/>
      <c r="F585" s="933"/>
      <c r="G585" s="932"/>
      <c r="H585" s="932"/>
      <c r="I585" s="930"/>
    </row>
    <row r="586" spans="1:9" ht="15.75" thickBot="1" x14ac:dyDescent="0.3">
      <c r="A586" s="934"/>
      <c r="B586" s="1536"/>
      <c r="C586" s="1537"/>
      <c r="D586" s="1537"/>
      <c r="E586" s="1538"/>
      <c r="F586" s="935"/>
      <c r="G586" s="936"/>
      <c r="H586" s="936"/>
      <c r="I586" s="937"/>
    </row>
    <row r="587" spans="1:9" ht="15.75" thickTop="1" x14ac:dyDescent="0.25">
      <c r="A587" s="853"/>
      <c r="B587" s="1539" t="s">
        <v>1547</v>
      </c>
      <c r="C587" s="1540"/>
      <c r="D587" s="1540"/>
      <c r="E587" s="1540"/>
      <c r="F587" s="1540"/>
      <c r="G587" s="1540"/>
      <c r="H587" s="1540"/>
      <c r="I587" s="938"/>
    </row>
    <row r="588" spans="1:9" ht="15.75" thickBot="1" x14ac:dyDescent="0.3">
      <c r="A588" s="939"/>
      <c r="B588" s="1532" t="s">
        <v>1548</v>
      </c>
      <c r="C588" s="1533"/>
      <c r="D588" s="1533" t="s">
        <v>1549</v>
      </c>
      <c r="E588" s="1533"/>
      <c r="F588" s="1533"/>
      <c r="G588" s="1533"/>
      <c r="H588" s="940" t="s">
        <v>1550</v>
      </c>
      <c r="I588" s="937"/>
    </row>
    <row r="589" spans="1:9" ht="13.5" thickTop="1" x14ac:dyDescent="0.2"/>
  </sheetData>
  <mergeCells count="573">
    <mergeCell ref="C257:G257"/>
    <mergeCell ref="C258:G258"/>
    <mergeCell ref="C259:G259"/>
    <mergeCell ref="C260:G260"/>
    <mergeCell ref="C261:G261"/>
    <mergeCell ref="C262:G262"/>
    <mergeCell ref="C273:G273"/>
    <mergeCell ref="C209:G209"/>
    <mergeCell ref="C210:G210"/>
    <mergeCell ref="C211:G211"/>
    <mergeCell ref="C212:G212"/>
    <mergeCell ref="C213:G213"/>
    <mergeCell ref="C214:G214"/>
    <mergeCell ref="C215:G215"/>
    <mergeCell ref="C216:G216"/>
    <mergeCell ref="C267:G267"/>
    <mergeCell ref="C268:G268"/>
    <mergeCell ref="C269:G269"/>
    <mergeCell ref="C270:G270"/>
    <mergeCell ref="C272:G272"/>
    <mergeCell ref="C251:G251"/>
    <mergeCell ref="C252:G252"/>
    <mergeCell ref="C253:G253"/>
    <mergeCell ref="C254:G254"/>
    <mergeCell ref="C250:G250"/>
    <mergeCell ref="C236:G236"/>
    <mergeCell ref="C237:G237"/>
    <mergeCell ref="C238:G238"/>
    <mergeCell ref="C239:G239"/>
    <mergeCell ref="C240:G240"/>
    <mergeCell ref="C241:G241"/>
    <mergeCell ref="C235:G235"/>
    <mergeCell ref="C233:G233"/>
    <mergeCell ref="C21:G21"/>
    <mergeCell ref="C171:G171"/>
    <mergeCell ref="C172:G172"/>
    <mergeCell ref="C173:G173"/>
    <mergeCell ref="C174:G174"/>
    <mergeCell ref="C175:G175"/>
    <mergeCell ref="C176:G176"/>
    <mergeCell ref="C136:G136"/>
    <mergeCell ref="C137:G137"/>
    <mergeCell ref="C138:G138"/>
    <mergeCell ref="C139:G139"/>
    <mergeCell ref="C140:G140"/>
    <mergeCell ref="C141:G141"/>
    <mergeCell ref="C37:G37"/>
    <mergeCell ref="C38:G38"/>
    <mergeCell ref="C39:G39"/>
    <mergeCell ref="C40:G40"/>
    <mergeCell ref="C41:G41"/>
    <mergeCell ref="C42:G42"/>
    <mergeCell ref="C43:G43"/>
    <mergeCell ref="C44:G44"/>
    <mergeCell ref="C46:G46"/>
    <mergeCell ref="C47:G47"/>
    <mergeCell ref="C48:G48"/>
    <mergeCell ref="B1:H1"/>
    <mergeCell ref="B2:H2"/>
    <mergeCell ref="B3:H3"/>
    <mergeCell ref="B4:H4"/>
    <mergeCell ref="B6:E6"/>
    <mergeCell ref="B7:C7"/>
    <mergeCell ref="C524:G524"/>
    <mergeCell ref="C525:G525"/>
    <mergeCell ref="C526:G526"/>
    <mergeCell ref="C411:G411"/>
    <mergeCell ref="C412:G412"/>
    <mergeCell ref="C16:G16"/>
    <mergeCell ref="C18:G18"/>
    <mergeCell ref="C19:G19"/>
    <mergeCell ref="C20:G20"/>
    <mergeCell ref="C22:G22"/>
    <mergeCell ref="C23:G23"/>
    <mergeCell ref="C15:G15"/>
    <mergeCell ref="B9:C9"/>
    <mergeCell ref="C10:G10"/>
    <mergeCell ref="C11:G11"/>
    <mergeCell ref="C12:G12"/>
    <mergeCell ref="C13:G13"/>
    <mergeCell ref="C14:G14"/>
    <mergeCell ref="C49:G49"/>
    <mergeCell ref="C50:G50"/>
    <mergeCell ref="C51:G51"/>
    <mergeCell ref="C24:G24"/>
    <mergeCell ref="C25:G25"/>
    <mergeCell ref="C26:G26"/>
    <mergeCell ref="C27:G27"/>
    <mergeCell ref="C28:G28"/>
    <mergeCell ref="C45:G45"/>
    <mergeCell ref="C29:G29"/>
    <mergeCell ref="C30:G30"/>
    <mergeCell ref="C31:G31"/>
    <mergeCell ref="C32:G32"/>
    <mergeCell ref="C33:G33"/>
    <mergeCell ref="C34:G34"/>
    <mergeCell ref="C35:G35"/>
    <mergeCell ref="C36:G36"/>
    <mergeCell ref="C58:G58"/>
    <mergeCell ref="C59:G59"/>
    <mergeCell ref="C60:G60"/>
    <mergeCell ref="C61:G61"/>
    <mergeCell ref="C62:G62"/>
    <mergeCell ref="C63:G63"/>
    <mergeCell ref="C52:G52"/>
    <mergeCell ref="C53:G53"/>
    <mergeCell ref="C54:G54"/>
    <mergeCell ref="C55:G55"/>
    <mergeCell ref="C56:G56"/>
    <mergeCell ref="C57:G57"/>
    <mergeCell ref="C70:G70"/>
    <mergeCell ref="C71:G71"/>
    <mergeCell ref="C72:G72"/>
    <mergeCell ref="C73:G73"/>
    <mergeCell ref="C74:G74"/>
    <mergeCell ref="C75:G75"/>
    <mergeCell ref="C64:G64"/>
    <mergeCell ref="C65:G65"/>
    <mergeCell ref="C66:G66"/>
    <mergeCell ref="C67:G67"/>
    <mergeCell ref="C68:G68"/>
    <mergeCell ref="C69:G69"/>
    <mergeCell ref="C82:G82"/>
    <mergeCell ref="C83:G83"/>
    <mergeCell ref="C84:G84"/>
    <mergeCell ref="C85:G85"/>
    <mergeCell ref="C86:G86"/>
    <mergeCell ref="C87:G87"/>
    <mergeCell ref="C76:G76"/>
    <mergeCell ref="C77:G77"/>
    <mergeCell ref="C78:G78"/>
    <mergeCell ref="C79:G79"/>
    <mergeCell ref="C80:G80"/>
    <mergeCell ref="C81:G81"/>
    <mergeCell ref="C95:G95"/>
    <mergeCell ref="C96:G96"/>
    <mergeCell ref="C97:G97"/>
    <mergeCell ref="C98:G98"/>
    <mergeCell ref="C99:G99"/>
    <mergeCell ref="C100:G100"/>
    <mergeCell ref="C88:G88"/>
    <mergeCell ref="C89:G89"/>
    <mergeCell ref="C90:G90"/>
    <mergeCell ref="B92:G92"/>
    <mergeCell ref="C93:G93"/>
    <mergeCell ref="C94:G94"/>
    <mergeCell ref="C107:G107"/>
    <mergeCell ref="C108:G108"/>
    <mergeCell ref="C109:G109"/>
    <mergeCell ref="C110:G110"/>
    <mergeCell ref="C111:G111"/>
    <mergeCell ref="C112:G112"/>
    <mergeCell ref="C101:G101"/>
    <mergeCell ref="C102:G102"/>
    <mergeCell ref="C103:G103"/>
    <mergeCell ref="C104:G104"/>
    <mergeCell ref="C105:G105"/>
    <mergeCell ref="C106:G106"/>
    <mergeCell ref="C128:G128"/>
    <mergeCell ref="C129:G129"/>
    <mergeCell ref="C130:G130"/>
    <mergeCell ref="C131:G131"/>
    <mergeCell ref="C132:G132"/>
    <mergeCell ref="C133:G133"/>
    <mergeCell ref="C113:G113"/>
    <mergeCell ref="C114:G114"/>
    <mergeCell ref="C115:G115"/>
    <mergeCell ref="C116:G116"/>
    <mergeCell ref="C117:G117"/>
    <mergeCell ref="C127:G127"/>
    <mergeCell ref="C119:G119"/>
    <mergeCell ref="C120:G120"/>
    <mergeCell ref="C121:G121"/>
    <mergeCell ref="C122:G122"/>
    <mergeCell ref="C123:G123"/>
    <mergeCell ref="C124:G124"/>
    <mergeCell ref="C125:G125"/>
    <mergeCell ref="C126:G126"/>
    <mergeCell ref="C159:G159"/>
    <mergeCell ref="C160:G160"/>
    <mergeCell ref="C161:G161"/>
    <mergeCell ref="C162:G162"/>
    <mergeCell ref="C163:G163"/>
    <mergeCell ref="C164:G164"/>
    <mergeCell ref="C134:G134"/>
    <mergeCell ref="C144:G144"/>
    <mergeCell ref="I144:I149"/>
    <mergeCell ref="C145:G145"/>
    <mergeCell ref="C146:G146"/>
    <mergeCell ref="C147:G147"/>
    <mergeCell ref="C148:G148"/>
    <mergeCell ref="C149:G149"/>
    <mergeCell ref="C142:G142"/>
    <mergeCell ref="C151:G151"/>
    <mergeCell ref="C152:G152"/>
    <mergeCell ref="C153:G153"/>
    <mergeCell ref="C154:G154"/>
    <mergeCell ref="C155:G155"/>
    <mergeCell ref="C156:G156"/>
    <mergeCell ref="C157:G157"/>
    <mergeCell ref="C191:G191"/>
    <mergeCell ref="C192:G192"/>
    <mergeCell ref="C193:G193"/>
    <mergeCell ref="C194:G194"/>
    <mergeCell ref="C195:G195"/>
    <mergeCell ref="C196:G196"/>
    <mergeCell ref="C165:G165"/>
    <mergeCell ref="C168:G168"/>
    <mergeCell ref="C187:G187"/>
    <mergeCell ref="C188:G188"/>
    <mergeCell ref="C189:G189"/>
    <mergeCell ref="C190:G190"/>
    <mergeCell ref="C179:G179"/>
    <mergeCell ref="C180:G180"/>
    <mergeCell ref="C181:G181"/>
    <mergeCell ref="C182:G182"/>
    <mergeCell ref="C183:G183"/>
    <mergeCell ref="C184:G184"/>
    <mergeCell ref="C177:G177"/>
    <mergeCell ref="C185:G185"/>
    <mergeCell ref="C166:G166"/>
    <mergeCell ref="C167:G167"/>
    <mergeCell ref="C276:G276"/>
    <mergeCell ref="C277:G277"/>
    <mergeCell ref="C278:G278"/>
    <mergeCell ref="C279:G279"/>
    <mergeCell ref="C280:G280"/>
    <mergeCell ref="C281:G281"/>
    <mergeCell ref="C197:G197"/>
    <mergeCell ref="C198:G198"/>
    <mergeCell ref="C199:G199"/>
    <mergeCell ref="C200:G200"/>
    <mergeCell ref="C274:G274"/>
    <mergeCell ref="C275:G275"/>
    <mergeCell ref="C201:G201"/>
    <mergeCell ref="C202:G202"/>
    <mergeCell ref="C203:G203"/>
    <mergeCell ref="C204:G204"/>
    <mergeCell ref="C205:G205"/>
    <mergeCell ref="C206:G206"/>
    <mergeCell ref="C207:G207"/>
    <mergeCell ref="C208:G208"/>
    <mergeCell ref="C227:G227"/>
    <mergeCell ref="C228:G228"/>
    <mergeCell ref="C229:G229"/>
    <mergeCell ref="C230:G230"/>
    <mergeCell ref="C288:G288"/>
    <mergeCell ref="C289:G289"/>
    <mergeCell ref="C290:G290"/>
    <mergeCell ref="C291:G291"/>
    <mergeCell ref="C292:G292"/>
    <mergeCell ref="C293:G293"/>
    <mergeCell ref="C282:G282"/>
    <mergeCell ref="C283:G283"/>
    <mergeCell ref="C284:G284"/>
    <mergeCell ref="C285:G285"/>
    <mergeCell ref="C286:G286"/>
    <mergeCell ref="C287:G287"/>
    <mergeCell ref="C300:G300"/>
    <mergeCell ref="C301:G301"/>
    <mergeCell ref="C302:G302"/>
    <mergeCell ref="C303:G303"/>
    <mergeCell ref="C304:G304"/>
    <mergeCell ref="C305:G305"/>
    <mergeCell ref="C294:G294"/>
    <mergeCell ref="C295:G295"/>
    <mergeCell ref="C296:G296"/>
    <mergeCell ref="C297:G297"/>
    <mergeCell ref="C298:G298"/>
    <mergeCell ref="C299:G299"/>
    <mergeCell ref="C312:G312"/>
    <mergeCell ref="C313:G313"/>
    <mergeCell ref="C314:G314"/>
    <mergeCell ref="C315:G315"/>
    <mergeCell ref="C316:G316"/>
    <mergeCell ref="C317:G317"/>
    <mergeCell ref="C306:G306"/>
    <mergeCell ref="C307:G307"/>
    <mergeCell ref="C308:G308"/>
    <mergeCell ref="C309:G309"/>
    <mergeCell ref="C310:G310"/>
    <mergeCell ref="C311:G311"/>
    <mergeCell ref="C324:G324"/>
    <mergeCell ref="C325:G325"/>
    <mergeCell ref="C326:G326"/>
    <mergeCell ref="C327:G327"/>
    <mergeCell ref="C328:G328"/>
    <mergeCell ref="C329:G329"/>
    <mergeCell ref="C318:G318"/>
    <mergeCell ref="C319:G319"/>
    <mergeCell ref="C320:G320"/>
    <mergeCell ref="C321:G321"/>
    <mergeCell ref="C322:G322"/>
    <mergeCell ref="C323:G323"/>
    <mergeCell ref="C336:G336"/>
    <mergeCell ref="C337:G337"/>
    <mergeCell ref="C338:G338"/>
    <mergeCell ref="C339:G339"/>
    <mergeCell ref="C340:G340"/>
    <mergeCell ref="C341:G341"/>
    <mergeCell ref="C330:G330"/>
    <mergeCell ref="C331:G331"/>
    <mergeCell ref="C332:G332"/>
    <mergeCell ref="C333:G333"/>
    <mergeCell ref="C334:G334"/>
    <mergeCell ref="C335:G335"/>
    <mergeCell ref="C348:G348"/>
    <mergeCell ref="C349:G349"/>
    <mergeCell ref="C350:G350"/>
    <mergeCell ref="C351:G351"/>
    <mergeCell ref="C352:G352"/>
    <mergeCell ref="C353:G353"/>
    <mergeCell ref="C342:G342"/>
    <mergeCell ref="B343:G343"/>
    <mergeCell ref="C344:G344"/>
    <mergeCell ref="C345:G345"/>
    <mergeCell ref="C346:G346"/>
    <mergeCell ref="C347:G347"/>
    <mergeCell ref="C360:G360"/>
    <mergeCell ref="C361:G361"/>
    <mergeCell ref="C362:G362"/>
    <mergeCell ref="C363:G363"/>
    <mergeCell ref="C364:G364"/>
    <mergeCell ref="C365:G365"/>
    <mergeCell ref="C354:G354"/>
    <mergeCell ref="C355:G355"/>
    <mergeCell ref="C356:G356"/>
    <mergeCell ref="C357:G357"/>
    <mergeCell ref="C358:G358"/>
    <mergeCell ref="C359:G359"/>
    <mergeCell ref="C372:G372"/>
    <mergeCell ref="C373:G373"/>
    <mergeCell ref="C374:G374"/>
    <mergeCell ref="C375:G375"/>
    <mergeCell ref="C376:G376"/>
    <mergeCell ref="C377:G377"/>
    <mergeCell ref="C366:G366"/>
    <mergeCell ref="C367:G367"/>
    <mergeCell ref="C368:G368"/>
    <mergeCell ref="C369:G369"/>
    <mergeCell ref="C370:G370"/>
    <mergeCell ref="C371:G371"/>
    <mergeCell ref="C384:G384"/>
    <mergeCell ref="C385:G385"/>
    <mergeCell ref="C387:G387"/>
    <mergeCell ref="C388:G388"/>
    <mergeCell ref="C389:G389"/>
    <mergeCell ref="C390:G390"/>
    <mergeCell ref="C378:G378"/>
    <mergeCell ref="C379:G379"/>
    <mergeCell ref="C380:G380"/>
    <mergeCell ref="C381:G381"/>
    <mergeCell ref="C382:G382"/>
    <mergeCell ref="C383:G383"/>
    <mergeCell ref="C386:G386"/>
    <mergeCell ref="C397:G397"/>
    <mergeCell ref="C398:G398"/>
    <mergeCell ref="C399:G399"/>
    <mergeCell ref="C400:G400"/>
    <mergeCell ref="C401:G401"/>
    <mergeCell ref="C403:G403"/>
    <mergeCell ref="C391:G391"/>
    <mergeCell ref="C392:G392"/>
    <mergeCell ref="C393:G393"/>
    <mergeCell ref="C394:G394"/>
    <mergeCell ref="C395:G395"/>
    <mergeCell ref="C396:G396"/>
    <mergeCell ref="C410:G410"/>
    <mergeCell ref="C413:G413"/>
    <mergeCell ref="C414:G414"/>
    <mergeCell ref="C415:G415"/>
    <mergeCell ref="C416:G416"/>
    <mergeCell ref="C417:G417"/>
    <mergeCell ref="C404:G404"/>
    <mergeCell ref="C405:G405"/>
    <mergeCell ref="C406:G406"/>
    <mergeCell ref="C407:G407"/>
    <mergeCell ref="C408:G408"/>
    <mergeCell ref="C409:G409"/>
    <mergeCell ref="C424:G424"/>
    <mergeCell ref="C425:G425"/>
    <mergeCell ref="C426:G426"/>
    <mergeCell ref="C427:G427"/>
    <mergeCell ref="C428:G428"/>
    <mergeCell ref="C429:G429"/>
    <mergeCell ref="C418:G418"/>
    <mergeCell ref="C419:G419"/>
    <mergeCell ref="C420:G420"/>
    <mergeCell ref="C421:G421"/>
    <mergeCell ref="C422:G422"/>
    <mergeCell ref="C423:G423"/>
    <mergeCell ref="C436:G436"/>
    <mergeCell ref="C437:G437"/>
    <mergeCell ref="C438:G438"/>
    <mergeCell ref="C439:G439"/>
    <mergeCell ref="C440:G440"/>
    <mergeCell ref="C441:G441"/>
    <mergeCell ref="C430:G430"/>
    <mergeCell ref="C431:G431"/>
    <mergeCell ref="C432:G432"/>
    <mergeCell ref="C433:G433"/>
    <mergeCell ref="C434:G434"/>
    <mergeCell ref="C435:G435"/>
    <mergeCell ref="C448:G448"/>
    <mergeCell ref="C449:G449"/>
    <mergeCell ref="C450:G450"/>
    <mergeCell ref="C451:G451"/>
    <mergeCell ref="C452:G452"/>
    <mergeCell ref="C453:G453"/>
    <mergeCell ref="C442:G442"/>
    <mergeCell ref="C443:G443"/>
    <mergeCell ref="C444:G444"/>
    <mergeCell ref="C445:G445"/>
    <mergeCell ref="C446:G446"/>
    <mergeCell ref="C447:G447"/>
    <mergeCell ref="C460:G460"/>
    <mergeCell ref="C461:G461"/>
    <mergeCell ref="C462:G462"/>
    <mergeCell ref="C463:G463"/>
    <mergeCell ref="C464:G464"/>
    <mergeCell ref="C465:G465"/>
    <mergeCell ref="C454:G454"/>
    <mergeCell ref="C455:G455"/>
    <mergeCell ref="C456:G456"/>
    <mergeCell ref="C457:G457"/>
    <mergeCell ref="C458:G458"/>
    <mergeCell ref="C459:G459"/>
    <mergeCell ref="C472:G472"/>
    <mergeCell ref="C473:G473"/>
    <mergeCell ref="C474:G474"/>
    <mergeCell ref="C475:G475"/>
    <mergeCell ref="C476:G476"/>
    <mergeCell ref="C477:G477"/>
    <mergeCell ref="C466:G466"/>
    <mergeCell ref="C467:G467"/>
    <mergeCell ref="C468:G468"/>
    <mergeCell ref="C469:G469"/>
    <mergeCell ref="C470:G470"/>
    <mergeCell ref="C471:G471"/>
    <mergeCell ref="C484:G484"/>
    <mergeCell ref="C485:G485"/>
    <mergeCell ref="C486:G486"/>
    <mergeCell ref="C487:G487"/>
    <mergeCell ref="C488:G488"/>
    <mergeCell ref="C489:G489"/>
    <mergeCell ref="C478:G478"/>
    <mergeCell ref="C479:G479"/>
    <mergeCell ref="C480:G480"/>
    <mergeCell ref="C481:G481"/>
    <mergeCell ref="C482:G482"/>
    <mergeCell ref="C483:G483"/>
    <mergeCell ref="C497:G497"/>
    <mergeCell ref="C498:G498"/>
    <mergeCell ref="C499:G499"/>
    <mergeCell ref="C500:G500"/>
    <mergeCell ref="C501:G501"/>
    <mergeCell ref="C502:G502"/>
    <mergeCell ref="C490:G490"/>
    <mergeCell ref="C491:G491"/>
    <mergeCell ref="C492:G492"/>
    <mergeCell ref="C494:G494"/>
    <mergeCell ref="C495:G495"/>
    <mergeCell ref="C496:G496"/>
    <mergeCell ref="C509:G509"/>
    <mergeCell ref="C510:G510"/>
    <mergeCell ref="C511:G511"/>
    <mergeCell ref="C512:G512"/>
    <mergeCell ref="C513:G513"/>
    <mergeCell ref="C514:G514"/>
    <mergeCell ref="C503:G503"/>
    <mergeCell ref="C504:G504"/>
    <mergeCell ref="C505:G505"/>
    <mergeCell ref="C506:G506"/>
    <mergeCell ref="C507:G507"/>
    <mergeCell ref="C508:G508"/>
    <mergeCell ref="C521:G521"/>
    <mergeCell ref="C522:G522"/>
    <mergeCell ref="C523:G523"/>
    <mergeCell ref="C531:G531"/>
    <mergeCell ref="C532:G532"/>
    <mergeCell ref="C533:G533"/>
    <mergeCell ref="C515:G515"/>
    <mergeCell ref="C516:G516"/>
    <mergeCell ref="C517:G517"/>
    <mergeCell ref="C518:G518"/>
    <mergeCell ref="C519:G519"/>
    <mergeCell ref="C520:G520"/>
    <mergeCell ref="C527:G527"/>
    <mergeCell ref="C528:G528"/>
    <mergeCell ref="C529:G529"/>
    <mergeCell ref="C530:G530"/>
    <mergeCell ref="C540:G540"/>
    <mergeCell ref="C541:G541"/>
    <mergeCell ref="C542:G542"/>
    <mergeCell ref="C543:G543"/>
    <mergeCell ref="C544:G544"/>
    <mergeCell ref="C545:G545"/>
    <mergeCell ref="C534:G534"/>
    <mergeCell ref="C535:G535"/>
    <mergeCell ref="C536:G536"/>
    <mergeCell ref="C537:G537"/>
    <mergeCell ref="C538:G538"/>
    <mergeCell ref="C539:G539"/>
    <mergeCell ref="C552:G552"/>
    <mergeCell ref="C553:G553"/>
    <mergeCell ref="C554:G554"/>
    <mergeCell ref="C555:G555"/>
    <mergeCell ref="C557:G557"/>
    <mergeCell ref="C558:G558"/>
    <mergeCell ref="C546:G546"/>
    <mergeCell ref="C547:G547"/>
    <mergeCell ref="C548:G548"/>
    <mergeCell ref="C549:G549"/>
    <mergeCell ref="C550:G550"/>
    <mergeCell ref="C551:G551"/>
    <mergeCell ref="B568:H568"/>
    <mergeCell ref="B569:H569"/>
    <mergeCell ref="B570:H570"/>
    <mergeCell ref="B571:H571"/>
    <mergeCell ref="C559:G559"/>
    <mergeCell ref="C560:G560"/>
    <mergeCell ref="C561:G561"/>
    <mergeCell ref="C562:G562"/>
    <mergeCell ref="B564:H564"/>
    <mergeCell ref="B565:H565"/>
    <mergeCell ref="C17:G17"/>
    <mergeCell ref="B588:C588"/>
    <mergeCell ref="D588:G588"/>
    <mergeCell ref="B582:E582"/>
    <mergeCell ref="B583:E583"/>
    <mergeCell ref="B584:E584"/>
    <mergeCell ref="B585:E585"/>
    <mergeCell ref="B586:E586"/>
    <mergeCell ref="B587:D587"/>
    <mergeCell ref="E587:H587"/>
    <mergeCell ref="B577:E577"/>
    <mergeCell ref="F577:G577"/>
    <mergeCell ref="B578:E578"/>
    <mergeCell ref="B579:E579"/>
    <mergeCell ref="B580:E580"/>
    <mergeCell ref="B581:E581"/>
    <mergeCell ref="B572:H572"/>
    <mergeCell ref="B573:H573"/>
    <mergeCell ref="B574:H574"/>
    <mergeCell ref="B575:H575"/>
    <mergeCell ref="B576:E576"/>
    <mergeCell ref="F576:G576"/>
    <mergeCell ref="B566:H566"/>
    <mergeCell ref="B567:H567"/>
    <mergeCell ref="C271:G271"/>
    <mergeCell ref="C221:G221"/>
    <mergeCell ref="C222:G222"/>
    <mergeCell ref="C223:G223"/>
    <mergeCell ref="C224:G224"/>
    <mergeCell ref="C225:G225"/>
    <mergeCell ref="C226:G226"/>
    <mergeCell ref="C220:G220"/>
    <mergeCell ref="C217:G217"/>
    <mergeCell ref="C218:G218"/>
    <mergeCell ref="C219:G219"/>
    <mergeCell ref="C255:G255"/>
    <mergeCell ref="C263:G263"/>
    <mergeCell ref="C264:G264"/>
    <mergeCell ref="C265:G265"/>
    <mergeCell ref="C266:G266"/>
    <mergeCell ref="C231:G231"/>
    <mergeCell ref="C232:G232"/>
    <mergeCell ref="C243:G243"/>
    <mergeCell ref="C244:G244"/>
    <mergeCell ref="C245:G245"/>
    <mergeCell ref="C246:G246"/>
    <mergeCell ref="C247:G247"/>
    <mergeCell ref="C248:G248"/>
  </mergeCells>
  <dataValidations count="2">
    <dataValidation type="list" allowBlank="1" showInputMessage="1" showErrorMessage="1" sqref="H427 H562">
      <formula1>$V$12:$V$15</formula1>
    </dataValidation>
    <dataValidation type="list" allowBlank="1" showInputMessage="1" showErrorMessage="1" sqref="H561">
      <formula1>$Z$398:$Z$413</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'/Users/ptownsend/Library/Containers/com.microsoft.Excel/Data/Documents/C:\Users\rmcneese\Documents\[2018 Underwriting Template.xlsx]Lists'!#REF!</xm:f>
          </x14:formula1>
          <xm:sqref>E7 G9 E587:H587 H494 H355</xm:sqref>
        </x14:dataValidation>
        <x14:dataValidation type="list" allowBlank="1" showInputMessage="1" showErrorMessage="1">
          <x14:formula1>
            <xm:f>Lists!$H$2:$H$4</xm:f>
          </x14:formula1>
          <xm:sqref>H45 H332 H346 H348:H354 H356:H357 H362:H367 H370:H384 H389:H398 H413:H426 H430 H434 H436 H440 H552:H553 H386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pageSetUpPr fitToPage="1"/>
  </sheetPr>
  <dimension ref="A1:X49"/>
  <sheetViews>
    <sheetView zoomScaleNormal="100" zoomScaleSheetLayoutView="100" workbookViewId="0">
      <selection activeCell="E4" sqref="E4:G4"/>
    </sheetView>
  </sheetViews>
  <sheetFormatPr defaultColWidth="8.85546875" defaultRowHeight="12.75" x14ac:dyDescent="0.2"/>
  <cols>
    <col min="1" max="1" width="2.7109375" customWidth="1"/>
    <col min="4" max="4" width="34.7109375" customWidth="1"/>
    <col min="5" max="5" width="10.85546875" customWidth="1"/>
    <col min="6" max="6" width="2.140625" customWidth="1"/>
    <col min="7" max="7" width="7.85546875" customWidth="1"/>
    <col min="8" max="8" width="25.85546875" style="85" customWidth="1"/>
    <col min="9" max="9" width="0.140625" hidden="1" customWidth="1"/>
    <col min="10" max="10" width="16.28515625" customWidth="1"/>
    <col min="11" max="11" width="3.28515625" customWidth="1"/>
    <col min="12" max="22" width="0" hidden="1" customWidth="1"/>
    <col min="23" max="23" width="48.42578125" hidden="1" customWidth="1"/>
    <col min="24" max="24" width="0" hidden="1" customWidth="1"/>
  </cols>
  <sheetData>
    <row r="1" spans="1:24" ht="14.25" thickBot="1" x14ac:dyDescent="0.3">
      <c r="A1" s="1" t="s">
        <v>544</v>
      </c>
      <c r="B1" s="24"/>
      <c r="C1" s="772" t="str">
        <f>+Cover!D7</f>
        <v>02142019.SA1</v>
      </c>
      <c r="D1" s="1632">
        <f>+Cover!E10</f>
        <v>0</v>
      </c>
      <c r="E1" s="1632"/>
      <c r="F1" s="24"/>
      <c r="G1" s="24"/>
      <c r="H1" s="89">
        <f>+Cover!E10</f>
        <v>0</v>
      </c>
      <c r="I1" s="24"/>
      <c r="J1" s="24"/>
      <c r="K1" s="20"/>
    </row>
    <row r="2" spans="1:24" ht="14.25" thickTop="1" thickBot="1" x14ac:dyDescent="0.25">
      <c r="A2" s="24"/>
      <c r="B2" s="1681" t="s">
        <v>605</v>
      </c>
      <c r="C2" s="1682"/>
      <c r="D2" s="1683"/>
      <c r="E2" s="1684"/>
      <c r="F2" s="1685"/>
      <c r="G2" s="1685"/>
      <c r="H2" s="1691"/>
      <c r="I2" s="1692"/>
      <c r="J2" s="1692"/>
      <c r="K2" s="90"/>
      <c r="X2" t="s">
        <v>30</v>
      </c>
    </row>
    <row r="3" spans="1:24" ht="13.5" thickTop="1" x14ac:dyDescent="0.2">
      <c r="A3" s="24"/>
      <c r="B3" s="1686" t="s">
        <v>441</v>
      </c>
      <c r="C3" s="1687"/>
      <c r="D3" s="1688"/>
      <c r="E3" s="1689" t="str">
        <f>IF('Primary Input'!E30="","",'Primary Input'!E30)</f>
        <v/>
      </c>
      <c r="F3" s="1690"/>
      <c r="G3" s="1690"/>
      <c r="H3" s="1645" t="str">
        <f>IF(E3="","Ineligible As Submitted", "OK")</f>
        <v>Ineligible As Submitted</v>
      </c>
      <c r="I3" s="1646"/>
      <c r="J3" s="1646"/>
      <c r="K3" s="90"/>
      <c r="X3" t="s">
        <v>24</v>
      </c>
    </row>
    <row r="4" spans="1:24" x14ac:dyDescent="0.2">
      <c r="A4" s="24"/>
      <c r="B4" s="1654" t="s">
        <v>606</v>
      </c>
      <c r="C4" s="1655"/>
      <c r="D4" s="1656"/>
      <c r="E4" s="1647"/>
      <c r="F4" s="1648"/>
      <c r="G4" s="1648"/>
      <c r="H4" s="1645" t="str">
        <f>IF(E4="Yes","OK",(IF(E4="N/A","OK","Ineligible As Submitted")))</f>
        <v>Ineligible As Submitted</v>
      </c>
      <c r="I4" s="1646"/>
      <c r="J4" s="1646"/>
      <c r="K4" s="90"/>
      <c r="X4" s="106" t="s">
        <v>742</v>
      </c>
    </row>
    <row r="5" spans="1:24" x14ac:dyDescent="0.2">
      <c r="A5" s="24"/>
      <c r="B5" s="1654" t="s">
        <v>474</v>
      </c>
      <c r="C5" s="1655"/>
      <c r="D5" s="1656"/>
      <c r="E5" s="1647"/>
      <c r="F5" s="1648"/>
      <c r="G5" s="1648"/>
      <c r="H5" s="1645" t="str">
        <f>IF(E5="Yes","OK",(IF(E5="N/A","OK","Ineligible As Submitted")))</f>
        <v>Ineligible As Submitted</v>
      </c>
      <c r="I5" s="1646"/>
      <c r="J5" s="1646"/>
      <c r="K5" s="90"/>
    </row>
    <row r="6" spans="1:24" ht="13.5" x14ac:dyDescent="0.25">
      <c r="A6" s="24"/>
      <c r="B6" s="1657" t="s">
        <v>1740</v>
      </c>
      <c r="C6" s="1693"/>
      <c r="D6" s="1694"/>
      <c r="E6" s="1695"/>
      <c r="F6" s="1696"/>
      <c r="G6" s="1697"/>
      <c r="H6" s="1678" t="str">
        <f>IF(E6="YES","Must Provide Proof With the Application", "")</f>
        <v/>
      </c>
      <c r="I6" s="1679"/>
      <c r="J6" s="1680"/>
      <c r="K6" s="90"/>
    </row>
    <row r="7" spans="1:24" x14ac:dyDescent="0.2">
      <c r="A7" s="24"/>
      <c r="B7" s="1654" t="s">
        <v>607</v>
      </c>
      <c r="C7" s="1655"/>
      <c r="D7" s="1656"/>
      <c r="E7" s="1647"/>
      <c r="F7" s="1648"/>
      <c r="G7" s="1648"/>
      <c r="H7" s="1645" t="str">
        <f>IF(E7="Yes","OK",(IF(E7="N/A","OK","Ineligible as Submitted")))</f>
        <v>Ineligible as Submitted</v>
      </c>
      <c r="I7" s="1646"/>
      <c r="J7" s="1646"/>
      <c r="K7" s="90"/>
    </row>
    <row r="8" spans="1:24" x14ac:dyDescent="0.2">
      <c r="A8" s="24"/>
      <c r="B8" s="1654" t="s">
        <v>442</v>
      </c>
      <c r="C8" s="1655"/>
      <c r="D8" s="1656"/>
      <c r="E8" s="1647"/>
      <c r="F8" s="1648"/>
      <c r="G8" s="1648"/>
      <c r="H8" s="1645" t="str">
        <f>IF(E8="Yes","OK",(IF(E8="N/A","OK","Ineligible As Submitted")))</f>
        <v>Ineligible As Submitted</v>
      </c>
      <c r="I8" s="1646"/>
      <c r="J8" s="1646"/>
      <c r="K8" s="90"/>
    </row>
    <row r="9" spans="1:24" x14ac:dyDescent="0.2">
      <c r="A9" s="24"/>
      <c r="B9" s="1654" t="s">
        <v>443</v>
      </c>
      <c r="C9" s="1655"/>
      <c r="D9" s="1656"/>
      <c r="E9" s="1647"/>
      <c r="F9" s="1648"/>
      <c r="G9" s="1648"/>
      <c r="H9" s="1645" t="str">
        <f>IF(E9="Yes","OK",(IF(E9="N/A","OK","Ineligible As Submitted")))</f>
        <v>Ineligible As Submitted</v>
      </c>
      <c r="I9" s="1646"/>
      <c r="J9" s="1646"/>
      <c r="K9" s="90"/>
    </row>
    <row r="10" spans="1:24" x14ac:dyDescent="0.2">
      <c r="A10" s="24"/>
      <c r="B10" s="1657" t="s">
        <v>1580</v>
      </c>
      <c r="C10" s="1655"/>
      <c r="D10" s="1656"/>
      <c r="E10" s="1669">
        <f>+'Primary Input'!E37:G37</f>
        <v>0</v>
      </c>
      <c r="F10" s="1677"/>
      <c r="G10" s="1677"/>
      <c r="H10" s="1645" t="str">
        <f>IF(E10&gt;Lists!F45,"Ineligible As Submitted", "OK")</f>
        <v>OK</v>
      </c>
      <c r="I10" s="1646"/>
      <c r="J10" s="1646"/>
      <c r="K10" s="90"/>
    </row>
    <row r="11" spans="1:24" x14ac:dyDescent="0.2">
      <c r="A11" s="24"/>
      <c r="B11" s="1657" t="s">
        <v>1552</v>
      </c>
      <c r="C11" s="1655"/>
      <c r="D11" s="1656"/>
      <c r="E11" s="1669" t="e">
        <f>+E10/'Primary Input'!E33</f>
        <v>#DIV/0!</v>
      </c>
      <c r="F11" s="1668"/>
      <c r="G11" s="1668"/>
      <c r="H11" s="1645" t="e">
        <f>+IF(SLR!E21="Yes","OK","Ineligible As Submitted")</f>
        <v>#DIV/0!</v>
      </c>
      <c r="I11" s="1646"/>
      <c r="J11" s="1646"/>
      <c r="K11" s="90"/>
    </row>
    <row r="12" spans="1:24" x14ac:dyDescent="0.2">
      <c r="A12" s="24"/>
      <c r="B12" s="1657" t="s">
        <v>849</v>
      </c>
      <c r="C12" s="1655"/>
      <c r="D12" s="1656"/>
      <c r="E12" s="1647"/>
      <c r="F12" s="1648"/>
      <c r="G12" s="1648"/>
      <c r="H12" s="1645" t="str">
        <f>IF(E12="Yes","OK",(IF(E12="N/A","OK","Ineligible As Submitted")))</f>
        <v>Ineligible As Submitted</v>
      </c>
      <c r="I12" s="1646"/>
      <c r="J12" s="1646"/>
      <c r="K12" s="90"/>
    </row>
    <row r="13" spans="1:24" x14ac:dyDescent="0.2">
      <c r="A13" s="24"/>
      <c r="B13" s="1654" t="s">
        <v>445</v>
      </c>
      <c r="C13" s="1655"/>
      <c r="D13" s="1656"/>
      <c r="E13" s="1647"/>
      <c r="F13" s="1648"/>
      <c r="G13" s="1648"/>
      <c r="H13" s="1645" t="str">
        <f>IF(E13="Yes","OK",(IF(E13="N/A","OK","Ineligible As Submitted")))</f>
        <v>Ineligible As Submitted</v>
      </c>
      <c r="I13" s="1646"/>
      <c r="J13" s="1646"/>
      <c r="K13" s="90"/>
    </row>
    <row r="14" spans="1:24" x14ac:dyDescent="0.2">
      <c r="A14" s="24"/>
      <c r="B14" s="1654" t="s">
        <v>446</v>
      </c>
      <c r="C14" s="1655"/>
      <c r="D14" s="1656"/>
      <c r="E14" s="1647"/>
      <c r="F14" s="1648"/>
      <c r="G14" s="1648"/>
      <c r="H14" s="1645" t="str">
        <f>IF(E14="Yes","OK",(IF(E14="N/A","OK","Ineligible As Submitted")))</f>
        <v>Ineligible As Submitted</v>
      </c>
      <c r="I14" s="1646"/>
      <c r="J14" s="1646"/>
      <c r="K14" s="90"/>
    </row>
    <row r="15" spans="1:24" x14ac:dyDescent="0.2">
      <c r="A15" s="24"/>
      <c r="B15" s="1654" t="s">
        <v>545</v>
      </c>
      <c r="C15" s="1655"/>
      <c r="D15" s="1656"/>
      <c r="E15" s="1647"/>
      <c r="F15" s="1648"/>
      <c r="G15" s="1648"/>
      <c r="H15" s="1645" t="str">
        <f>IF(E15="Yes","OK",(IF(E15="N/A","OK","Ineligible As Submitted")))</f>
        <v>Ineligible As Submitted</v>
      </c>
      <c r="I15" s="1646"/>
      <c r="J15" s="1646"/>
      <c r="K15" s="90"/>
    </row>
    <row r="16" spans="1:24" x14ac:dyDescent="0.2">
      <c r="A16" s="24"/>
      <c r="B16" s="1657" t="s">
        <v>725</v>
      </c>
      <c r="C16" s="1655"/>
      <c r="D16" s="1656"/>
      <c r="E16" s="1675"/>
      <c r="F16" s="1676"/>
      <c r="G16" s="1676"/>
      <c r="H16" s="1645" t="str">
        <f ca="1">IF(E16&gt;K16,"OK","Not Required at Submission")</f>
        <v>Not Required at Submission</v>
      </c>
      <c r="I16" s="1646"/>
      <c r="J16" s="1646"/>
      <c r="K16" s="91">
        <f ca="1">NOW()-60</f>
        <v>43450.418838194448</v>
      </c>
    </row>
    <row r="17" spans="1:11" x14ac:dyDescent="0.2">
      <c r="A17" s="24"/>
      <c r="B17" s="1657" t="s">
        <v>699</v>
      </c>
      <c r="C17" s="1655"/>
      <c r="D17" s="1656"/>
      <c r="E17" s="1667">
        <f>IF('Types of Housing'!D31=0,0,(1-'Types of Housing'!D31))</f>
        <v>0</v>
      </c>
      <c r="F17" s="1668"/>
      <c r="G17" s="1668"/>
      <c r="H17" s="1645" t="str">
        <f>IF(E17&lt;0.15,"Ineligible As Submitted", "OK")</f>
        <v>Ineligible As Submitted</v>
      </c>
      <c r="I17" s="1646"/>
      <c r="J17" s="1646"/>
      <c r="K17" s="90"/>
    </row>
    <row r="18" spans="1:11" x14ac:dyDescent="0.2">
      <c r="A18" s="24"/>
      <c r="B18" s="1654" t="s">
        <v>608</v>
      </c>
      <c r="C18" s="1655"/>
      <c r="D18" s="1656"/>
      <c r="E18" s="1647"/>
      <c r="F18" s="1648"/>
      <c r="G18" s="1648"/>
      <c r="H18" s="1645" t="str">
        <f>IF(E18="Yes","OK",(IF(E18="N/A","OK","Ineligible As Submitted")))</f>
        <v>Ineligible As Submitted</v>
      </c>
      <c r="I18" s="1646"/>
      <c r="J18" s="1646"/>
      <c r="K18" s="90"/>
    </row>
    <row r="19" spans="1:11" x14ac:dyDescent="0.2">
      <c r="A19" s="24"/>
      <c r="B19" s="1654" t="s">
        <v>447</v>
      </c>
      <c r="C19" s="1655"/>
      <c r="D19" s="1656"/>
      <c r="E19" s="1647"/>
      <c r="F19" s="1648"/>
      <c r="G19" s="1648"/>
      <c r="H19" s="1645" t="str">
        <f>IF(E19="Yes","OK",(IF(E19="N/A","OK","Ineligible As Submitted")))</f>
        <v>Ineligible As Submitted</v>
      </c>
      <c r="I19" s="1646"/>
      <c r="J19" s="1646"/>
      <c r="K19" s="90"/>
    </row>
    <row r="20" spans="1:11" ht="25.5" customHeight="1" x14ac:dyDescent="0.2">
      <c r="A20" s="24"/>
      <c r="B20" s="1672" t="s">
        <v>542</v>
      </c>
      <c r="C20" s="1673"/>
      <c r="D20" s="1674"/>
      <c r="E20" s="1667">
        <f>IF('Sources and Uses'!F42=0,0,+'Sources and Uses'!I33/'Sources and Uses'!F42)</f>
        <v>0</v>
      </c>
      <c r="F20" s="1668"/>
      <c r="G20" s="1668"/>
      <c r="H20" s="1645" t="str">
        <f>IF(E20&gt;0.15,"Ineligible As Submitted", "OK")</f>
        <v>OK</v>
      </c>
      <c r="I20" s="1646"/>
      <c r="J20" s="1646"/>
      <c r="K20" s="90"/>
    </row>
    <row r="21" spans="1:11" x14ac:dyDescent="0.2">
      <c r="A21" s="24"/>
      <c r="B21" s="1654" t="s">
        <v>609</v>
      </c>
      <c r="C21" s="1655"/>
      <c r="D21" s="1656"/>
      <c r="E21" s="1667">
        <f>IF('Sources and Uses'!F48=0,0,+'Sources and Uses'!I48/'Sources and Uses'!F48)</f>
        <v>0</v>
      </c>
      <c r="F21" s="1668"/>
      <c r="G21" s="1668"/>
      <c r="H21" s="1645" t="str">
        <f>IF(E21&gt;0.2,"Ineligible As Submitted", "OK")</f>
        <v>OK</v>
      </c>
      <c r="I21" s="1646"/>
      <c r="J21" s="1646"/>
      <c r="K21" s="90"/>
    </row>
    <row r="22" spans="1:11" x14ac:dyDescent="0.2">
      <c r="A22" s="24"/>
      <c r="B22" s="1654" t="s">
        <v>448</v>
      </c>
      <c r="C22" s="1655"/>
      <c r="D22" s="1656"/>
      <c r="E22" s="1669">
        <f>+'Sources and Uses'!F24-'Sources and Uses'!F48</f>
        <v>0</v>
      </c>
      <c r="F22" s="1668"/>
      <c r="G22" s="1668"/>
      <c r="H22" s="1645" t="str">
        <f>IF(E22=0,"OK","Ineligible As Submitted")</f>
        <v>OK</v>
      </c>
      <c r="I22" s="1646"/>
      <c r="J22" s="1665"/>
      <c r="K22" s="90"/>
    </row>
    <row r="23" spans="1:11" x14ac:dyDescent="0.2">
      <c r="A23" s="24"/>
      <c r="B23" s="1654" t="s">
        <v>610</v>
      </c>
      <c r="C23" s="1655"/>
      <c r="D23" s="1656"/>
      <c r="E23" s="1647"/>
      <c r="F23" s="1648"/>
      <c r="G23" s="1648"/>
      <c r="H23" s="1645" t="str">
        <f>IF(E23="Yes","Ineligible As Submitted", "OK")</f>
        <v>OK</v>
      </c>
      <c r="I23" s="1646"/>
      <c r="J23" s="1646"/>
      <c r="K23" s="90"/>
    </row>
    <row r="24" spans="1:11" ht="12.75" customHeight="1" x14ac:dyDescent="0.2">
      <c r="A24" s="24"/>
      <c r="B24" s="1654" t="s">
        <v>449</v>
      </c>
      <c r="C24" s="1655"/>
      <c r="D24" s="1656"/>
      <c r="E24" s="1661" t="e">
        <f>+#REF!</f>
        <v>#REF!</v>
      </c>
      <c r="F24" s="1662"/>
      <c r="G24" s="1662"/>
      <c r="H24" s="1645" t="e">
        <f>IF(E24=0,"OK",IF(E24&lt;1.15,"Ineligible As Submitted","OK"))</f>
        <v>#REF!</v>
      </c>
      <c r="I24" s="1646"/>
      <c r="J24" s="1665"/>
      <c r="K24" s="90"/>
    </row>
    <row r="25" spans="1:11" hidden="1" x14ac:dyDescent="0.2">
      <c r="A25" s="24" t="s">
        <v>108</v>
      </c>
      <c r="B25" s="1654" t="s">
        <v>450</v>
      </c>
      <c r="C25" s="1655"/>
      <c r="D25" s="1656"/>
      <c r="E25" s="1670"/>
      <c r="F25" s="1671"/>
      <c r="G25" s="1671"/>
      <c r="H25" s="1645" t="str">
        <f>IF(E25=0,"OK",IF(E25&lt;250,"Waiver Required","OK"))</f>
        <v>OK</v>
      </c>
      <c r="I25" s="1646"/>
      <c r="J25" s="1665"/>
      <c r="K25" s="90"/>
    </row>
    <row r="26" spans="1:11" hidden="1" x14ac:dyDescent="0.2">
      <c r="A26" s="24"/>
      <c r="B26" s="146" t="s">
        <v>451</v>
      </c>
      <c r="C26" s="147"/>
      <c r="D26" s="148"/>
      <c r="E26" s="102"/>
      <c r="F26" s="101"/>
      <c r="G26" s="101"/>
      <c r="H26" s="1645" t="str">
        <f>IF(E2&gt;400,"Waiver Required",IF(E26&lt;250,"Waiver Required","OK"))</f>
        <v>Waiver Required</v>
      </c>
      <c r="I26" s="1646"/>
      <c r="J26" s="1665"/>
      <c r="K26" s="90"/>
    </row>
    <row r="27" spans="1:11" ht="7.5" customHeight="1" x14ac:dyDescent="0.2">
      <c r="A27" s="24"/>
      <c r="B27" s="1714"/>
      <c r="C27" s="1715"/>
      <c r="D27" s="1715"/>
      <c r="E27" s="1666"/>
      <c r="F27" s="1666"/>
      <c r="G27" s="1666"/>
      <c r="H27" s="1663"/>
      <c r="I27" s="1663"/>
      <c r="J27" s="1664"/>
      <c r="K27" s="90"/>
    </row>
    <row r="28" spans="1:11" x14ac:dyDescent="0.2">
      <c r="A28" s="24"/>
      <c r="B28" s="1654" t="s">
        <v>452</v>
      </c>
      <c r="C28" s="1655"/>
      <c r="D28" s="1656"/>
      <c r="E28" s="1647"/>
      <c r="F28" s="1648"/>
      <c r="G28" s="1648"/>
      <c r="H28" s="1645" t="str">
        <f>IF(E28="Yes","OK",(IF(E28="N/A","OK","Ineligible As Submitted")))</f>
        <v>Ineligible As Submitted</v>
      </c>
      <c r="I28" s="1646"/>
      <c r="J28" s="1646"/>
      <c r="K28" s="90"/>
    </row>
    <row r="29" spans="1:11" x14ac:dyDescent="0.2">
      <c r="A29" s="24"/>
      <c r="B29" s="1654" t="s">
        <v>453</v>
      </c>
      <c r="C29" s="1655"/>
      <c r="D29" s="1656"/>
      <c r="E29" s="1647"/>
      <c r="F29" s="1648"/>
      <c r="G29" s="1648"/>
      <c r="H29" s="1645" t="str">
        <f>IF(E29="Yes","OK",(IF(E29="N/A","OK","Ineligible As Submitted")))</f>
        <v>Ineligible As Submitted</v>
      </c>
      <c r="I29" s="1646"/>
      <c r="J29" s="1646"/>
      <c r="K29" s="90"/>
    </row>
    <row r="30" spans="1:11" x14ac:dyDescent="0.2">
      <c r="A30" s="24"/>
      <c r="B30" s="1654" t="s">
        <v>454</v>
      </c>
      <c r="C30" s="1655"/>
      <c r="D30" s="1656"/>
      <c r="E30" s="1647"/>
      <c r="F30" s="1648"/>
      <c r="G30" s="1648"/>
      <c r="H30" s="1645" t="str">
        <f>IF(E30="Yes","OK",(IF(E30="N/A","OK","Ineligible As Submitted")))</f>
        <v>Ineligible As Submitted</v>
      </c>
      <c r="I30" s="1646"/>
      <c r="J30" s="1646"/>
      <c r="K30" s="90"/>
    </row>
    <row r="31" spans="1:11" x14ac:dyDescent="0.2">
      <c r="A31" s="24"/>
      <c r="B31" s="1654" t="s">
        <v>455</v>
      </c>
      <c r="C31" s="1655"/>
      <c r="D31" s="1656"/>
      <c r="E31" s="1647"/>
      <c r="F31" s="1648"/>
      <c r="G31" s="1648"/>
      <c r="H31" s="1645" t="str">
        <f>IF(E31="Yes","OK",(IF(E31="N/A","OK","Ineligible As Submitted")))</f>
        <v>Ineligible As Submitted</v>
      </c>
      <c r="I31" s="1646"/>
      <c r="J31" s="1646"/>
      <c r="K31" s="90"/>
    </row>
    <row r="32" spans="1:11" x14ac:dyDescent="0.2">
      <c r="A32" s="24"/>
      <c r="B32" s="149" t="s">
        <v>456</v>
      </c>
      <c r="C32" s="147"/>
      <c r="D32" s="148"/>
      <c r="E32" s="1647"/>
      <c r="F32" s="1648"/>
      <c r="G32" s="1648"/>
      <c r="H32" s="1645" t="str">
        <f t="shared" ref="H32:H40" si="0">IF(E32="Yes","OK",(IF(E32="N/A","OK","Ineligible as Submitted")))</f>
        <v>Ineligible as Submitted</v>
      </c>
      <c r="I32" s="1646"/>
      <c r="J32" s="1646"/>
      <c r="K32" s="90"/>
    </row>
    <row r="33" spans="1:24" x14ac:dyDescent="0.2">
      <c r="A33" s="24"/>
      <c r="B33" s="149" t="s">
        <v>543</v>
      </c>
      <c r="C33" s="147"/>
      <c r="D33" s="148"/>
      <c r="E33" s="1647"/>
      <c r="F33" s="1648"/>
      <c r="G33" s="1648"/>
      <c r="H33" s="1645" t="str">
        <f t="shared" si="0"/>
        <v>Ineligible as Submitted</v>
      </c>
      <c r="I33" s="1646"/>
      <c r="J33" s="1646"/>
      <c r="K33" s="90"/>
    </row>
    <row r="34" spans="1:24" x14ac:dyDescent="0.2">
      <c r="A34" s="24"/>
      <c r="B34" s="149" t="s">
        <v>457</v>
      </c>
      <c r="C34" s="147"/>
      <c r="D34" s="148"/>
      <c r="E34" s="1647"/>
      <c r="F34" s="1648"/>
      <c r="G34" s="1648"/>
      <c r="H34" s="1645" t="str">
        <f t="shared" si="0"/>
        <v>Ineligible as Submitted</v>
      </c>
      <c r="I34" s="1646"/>
      <c r="J34" s="1646"/>
      <c r="K34" s="90"/>
    </row>
    <row r="35" spans="1:24" x14ac:dyDescent="0.2">
      <c r="A35" s="24"/>
      <c r="B35" s="1654" t="s">
        <v>458</v>
      </c>
      <c r="C35" s="1655"/>
      <c r="D35" s="1656"/>
      <c r="E35" s="1647"/>
      <c r="F35" s="1648"/>
      <c r="G35" s="1648"/>
      <c r="H35" s="1645" t="str">
        <f t="shared" si="0"/>
        <v>Ineligible as Submitted</v>
      </c>
      <c r="I35" s="1646"/>
      <c r="J35" s="1646"/>
      <c r="K35" s="90"/>
    </row>
    <row r="36" spans="1:24" x14ac:dyDescent="0.2">
      <c r="A36" s="24"/>
      <c r="B36" s="1657" t="s">
        <v>459</v>
      </c>
      <c r="C36" s="1658"/>
      <c r="D36" s="1659"/>
      <c r="E36" s="1647"/>
      <c r="F36" s="1648"/>
      <c r="G36" s="1648"/>
      <c r="H36" s="1645" t="str">
        <f t="shared" si="0"/>
        <v>Ineligible as Submitted</v>
      </c>
      <c r="I36" s="1646"/>
      <c r="J36" s="1646"/>
      <c r="K36" s="90"/>
    </row>
    <row r="37" spans="1:24" x14ac:dyDescent="0.2">
      <c r="A37" s="24"/>
      <c r="B37" s="170" t="s">
        <v>724</v>
      </c>
      <c r="C37" s="171"/>
      <c r="D37" s="172"/>
      <c r="E37" s="1647"/>
      <c r="F37" s="1648"/>
      <c r="G37" s="1660"/>
      <c r="H37" s="1645" t="str">
        <f>IF(E37="Yes","OK. Must Provide Proof With Application",(IF(E37="N/A","OK","Ineligible as Submitted")))</f>
        <v>Ineligible as Submitted</v>
      </c>
      <c r="I37" s="1646"/>
      <c r="J37" s="1646"/>
      <c r="K37" s="90"/>
    </row>
    <row r="38" spans="1:24" x14ac:dyDescent="0.2">
      <c r="A38" s="24"/>
      <c r="B38" s="170" t="s">
        <v>741</v>
      </c>
      <c r="C38" s="171"/>
      <c r="D38" s="172"/>
      <c r="E38" s="1647"/>
      <c r="F38" s="1648"/>
      <c r="G38" s="1660"/>
      <c r="H38" s="1645" t="str">
        <f>IF(E38="No","OK",(IF(E38="Yes","Ineligible to apply",(IF(E38="","Ineligible as Submitted")))))</f>
        <v>Ineligible as Submitted</v>
      </c>
      <c r="I38" s="1646"/>
      <c r="J38" s="1646"/>
      <c r="K38" s="90"/>
    </row>
    <row r="39" spans="1:24" x14ac:dyDescent="0.2">
      <c r="A39" s="24"/>
      <c r="B39" s="170" t="s">
        <v>1945</v>
      </c>
      <c r="C39" s="171"/>
      <c r="D39" s="172"/>
      <c r="E39" s="1647"/>
      <c r="F39" s="1648"/>
      <c r="G39" s="1660"/>
      <c r="H39" s="1645" t="str">
        <f>IF(E39="Yes","OK",(IF(E39="N/A","OK","Not Required Under NOAH")))</f>
        <v>Not Required Under NOAH</v>
      </c>
      <c r="I39" s="1646"/>
      <c r="J39" s="1646"/>
      <c r="K39" s="90"/>
    </row>
    <row r="40" spans="1:24" ht="25.5" customHeight="1" thickBot="1" x14ac:dyDescent="0.25">
      <c r="A40" s="24"/>
      <c r="B40" s="1642" t="s">
        <v>460</v>
      </c>
      <c r="C40" s="1643"/>
      <c r="D40" s="1644"/>
      <c r="E40" s="1649"/>
      <c r="F40" s="1650"/>
      <c r="G40" s="1650"/>
      <c r="H40" s="1651" t="str">
        <f t="shared" si="0"/>
        <v>Ineligible as Submitted</v>
      </c>
      <c r="I40" s="1652"/>
      <c r="J40" s="1653"/>
      <c r="K40" s="90"/>
    </row>
    <row r="41" spans="1:24" ht="25.5" hidden="1" customHeight="1" thickBot="1" x14ac:dyDescent="0.25">
      <c r="A41" s="24"/>
      <c r="B41" s="1633" t="s">
        <v>461</v>
      </c>
      <c r="C41" s="1634"/>
      <c r="D41" s="1635"/>
      <c r="E41" s="1636"/>
      <c r="F41" s="1637"/>
      <c r="G41" s="1638"/>
      <c r="H41" s="1639" t="str">
        <f>IF(E41="Yes","OK",(IF(E41="N/A","OK","Waiver Required")))</f>
        <v>Waiver Required</v>
      </c>
      <c r="I41" s="1640"/>
      <c r="J41" s="1641"/>
      <c r="K41" s="90"/>
    </row>
    <row r="42" spans="1:24" ht="13.5" thickTop="1" x14ac:dyDescent="0.2">
      <c r="A42" s="24"/>
      <c r="B42" s="24"/>
      <c r="C42" s="24"/>
      <c r="D42" s="24"/>
      <c r="E42" s="24"/>
      <c r="F42" s="24"/>
      <c r="G42" s="24"/>
      <c r="H42" s="92"/>
      <c r="I42" s="92"/>
      <c r="J42" s="92"/>
      <c r="K42" s="24"/>
    </row>
    <row r="43" spans="1:24" ht="14.25" thickBot="1" x14ac:dyDescent="0.3">
      <c r="A43" s="24"/>
      <c r="B43" s="24"/>
      <c r="C43" s="24"/>
      <c r="D43" s="1632"/>
      <c r="E43" s="1632"/>
      <c r="F43" s="24"/>
      <c r="G43" s="24"/>
      <c r="H43" s="89"/>
      <c r="I43" s="24"/>
      <c r="J43" s="24"/>
      <c r="K43" s="20"/>
    </row>
    <row r="44" spans="1:24" ht="14.25" thickTop="1" thickBot="1" x14ac:dyDescent="0.25">
      <c r="A44" s="24"/>
      <c r="B44" s="1707" t="s">
        <v>704</v>
      </c>
      <c r="C44" s="1708"/>
      <c r="D44" s="1709"/>
      <c r="E44" s="1704"/>
      <c r="F44" s="1705"/>
      <c r="G44" s="1705"/>
      <c r="H44" s="1705"/>
      <c r="I44" s="1705"/>
      <c r="J44" s="1706"/>
      <c r="K44" s="24"/>
    </row>
    <row r="45" spans="1:24" ht="29.25" customHeight="1" thickTop="1" thickBot="1" x14ac:dyDescent="0.25">
      <c r="A45" s="24"/>
      <c r="B45" s="1710" t="s">
        <v>708</v>
      </c>
      <c r="C45" s="1711"/>
      <c r="D45" s="1711"/>
      <c r="E45" s="1712" t="s">
        <v>561</v>
      </c>
      <c r="F45" s="1712"/>
      <c r="G45" s="1713"/>
      <c r="H45" s="1700" t="str">
        <f>IF(E45="Not Included","Ineligible as Submitted",(IF(E45="Included","Ok",(IF(E45="No Change","Ok")))))</f>
        <v>Ok</v>
      </c>
      <c r="I45" s="1700"/>
      <c r="J45" s="1701"/>
      <c r="K45" s="24"/>
      <c r="X45" t="s">
        <v>561</v>
      </c>
    </row>
    <row r="46" spans="1:24" ht="15" thickTop="1" thickBot="1" x14ac:dyDescent="0.25">
      <c r="B46" s="157" t="s">
        <v>705</v>
      </c>
      <c r="C46" s="161"/>
      <c r="D46" s="162"/>
      <c r="E46" s="1698" t="s">
        <v>561</v>
      </c>
      <c r="F46" s="1698"/>
      <c r="G46" s="1699"/>
      <c r="H46" s="1700" t="str">
        <f>IF(E46="Not Included","Ineligible as Submitted",(IF(E46="Included","Ok",(IF(E46="No Change","Ok")))))</f>
        <v>Ok</v>
      </c>
      <c r="I46" s="1700"/>
      <c r="J46" s="1701"/>
      <c r="X46" s="106" t="s">
        <v>723</v>
      </c>
    </row>
    <row r="47" spans="1:24" ht="15" thickTop="1" thickBot="1" x14ac:dyDescent="0.25">
      <c r="B47" s="157" t="s">
        <v>707</v>
      </c>
      <c r="C47" s="158"/>
      <c r="D47" s="158"/>
      <c r="E47" s="1698" t="s">
        <v>723</v>
      </c>
      <c r="F47" s="1698"/>
      <c r="G47" s="1699"/>
      <c r="H47" s="1700" t="str">
        <f>IF(E47="Not Included","Ineligible as Submitted",(IF(E47="Included","Ok",(IF(E47="No Change","Ok")))))</f>
        <v>Ok</v>
      </c>
      <c r="I47" s="1700"/>
      <c r="J47" s="1701"/>
      <c r="X47" t="s">
        <v>709</v>
      </c>
    </row>
    <row r="48" spans="1:24" ht="15" thickTop="1" thickBot="1" x14ac:dyDescent="0.25">
      <c r="B48" s="159" t="s">
        <v>706</v>
      </c>
      <c r="C48" s="160"/>
      <c r="D48" s="160"/>
      <c r="E48" s="1702" t="s">
        <v>561</v>
      </c>
      <c r="F48" s="1702"/>
      <c r="G48" s="1703"/>
      <c r="H48" s="1700" t="str">
        <f>IF(E48="Not Included","Ineligible as Submitted",(IF(E48="Included","Ok",(IF(E48="No Change","Ok")))))</f>
        <v>Ok</v>
      </c>
      <c r="I48" s="1700"/>
      <c r="J48" s="1701"/>
    </row>
    <row r="49" ht="13.5" thickTop="1" x14ac:dyDescent="0.2"/>
  </sheetData>
  <sheetProtection password="CC14" sheet="1" objects="1" scenarios="1"/>
  <mergeCells count="126">
    <mergeCell ref="B6:D6"/>
    <mergeCell ref="E6:G6"/>
    <mergeCell ref="E47:G47"/>
    <mergeCell ref="H47:J47"/>
    <mergeCell ref="E48:G48"/>
    <mergeCell ref="H48:J48"/>
    <mergeCell ref="E44:G44"/>
    <mergeCell ref="H44:J44"/>
    <mergeCell ref="B44:D44"/>
    <mergeCell ref="B45:D45"/>
    <mergeCell ref="E45:G45"/>
    <mergeCell ref="H45:J45"/>
    <mergeCell ref="E46:G46"/>
    <mergeCell ref="H46:J46"/>
    <mergeCell ref="B15:D15"/>
    <mergeCell ref="E15:G15"/>
    <mergeCell ref="B17:D17"/>
    <mergeCell ref="E17:G17"/>
    <mergeCell ref="B16:D16"/>
    <mergeCell ref="B27:D27"/>
    <mergeCell ref="E23:G23"/>
    <mergeCell ref="E19:G19"/>
    <mergeCell ref="B18:D18"/>
    <mergeCell ref="E18:G18"/>
    <mergeCell ref="B2:D2"/>
    <mergeCell ref="E2:G2"/>
    <mergeCell ref="B3:D3"/>
    <mergeCell ref="E3:G3"/>
    <mergeCell ref="B4:D4"/>
    <mergeCell ref="E4:G4"/>
    <mergeCell ref="B7:D7"/>
    <mergeCell ref="E7:G7"/>
    <mergeCell ref="H26:J26"/>
    <mergeCell ref="B5:D5"/>
    <mergeCell ref="B8:D8"/>
    <mergeCell ref="E8:G8"/>
    <mergeCell ref="B9:D9"/>
    <mergeCell ref="E9:G9"/>
    <mergeCell ref="B10:D10"/>
    <mergeCell ref="B11:D11"/>
    <mergeCell ref="B12:D12"/>
    <mergeCell ref="E12:G12"/>
    <mergeCell ref="B13:D13"/>
    <mergeCell ref="E13:G13"/>
    <mergeCell ref="B14:D14"/>
    <mergeCell ref="E14:G14"/>
    <mergeCell ref="H8:J8"/>
    <mergeCell ref="H2:J2"/>
    <mergeCell ref="H3:J3"/>
    <mergeCell ref="H4:J4"/>
    <mergeCell ref="H5:J5"/>
    <mergeCell ref="H7:J7"/>
    <mergeCell ref="E5:G5"/>
    <mergeCell ref="E11:G11"/>
    <mergeCell ref="E16:G16"/>
    <mergeCell ref="H9:J9"/>
    <mergeCell ref="H10:J10"/>
    <mergeCell ref="H11:J11"/>
    <mergeCell ref="H12:J12"/>
    <mergeCell ref="H13:J13"/>
    <mergeCell ref="H14:J14"/>
    <mergeCell ref="E10:G10"/>
    <mergeCell ref="H15:J15"/>
    <mergeCell ref="H16:J16"/>
    <mergeCell ref="H6:J6"/>
    <mergeCell ref="B31:D31"/>
    <mergeCell ref="B28:D28"/>
    <mergeCell ref="B22:D22"/>
    <mergeCell ref="B23:D23"/>
    <mergeCell ref="B24:D24"/>
    <mergeCell ref="B25:D25"/>
    <mergeCell ref="E30:G30"/>
    <mergeCell ref="H17:J17"/>
    <mergeCell ref="H34:J34"/>
    <mergeCell ref="H18:J18"/>
    <mergeCell ref="H24:J24"/>
    <mergeCell ref="H23:J23"/>
    <mergeCell ref="H19:J19"/>
    <mergeCell ref="E20:G20"/>
    <mergeCell ref="H20:J20"/>
    <mergeCell ref="H22:J22"/>
    <mergeCell ref="H21:J21"/>
    <mergeCell ref="E21:G21"/>
    <mergeCell ref="E22:G22"/>
    <mergeCell ref="E25:G25"/>
    <mergeCell ref="B19:D19"/>
    <mergeCell ref="B20:D20"/>
    <mergeCell ref="B21:D21"/>
    <mergeCell ref="H38:J38"/>
    <mergeCell ref="E38:G38"/>
    <mergeCell ref="H39:J39"/>
    <mergeCell ref="H37:J37"/>
    <mergeCell ref="H27:J27"/>
    <mergeCell ref="H28:J28"/>
    <mergeCell ref="H25:J25"/>
    <mergeCell ref="E37:G37"/>
    <mergeCell ref="E33:G33"/>
    <mergeCell ref="E32:G32"/>
    <mergeCell ref="H32:J32"/>
    <mergeCell ref="H29:J29"/>
    <mergeCell ref="E27:G27"/>
    <mergeCell ref="E28:G28"/>
    <mergeCell ref="D43:E43"/>
    <mergeCell ref="B41:D41"/>
    <mergeCell ref="E41:G41"/>
    <mergeCell ref="H41:J41"/>
    <mergeCell ref="B40:D40"/>
    <mergeCell ref="D1:E1"/>
    <mergeCell ref="H30:J30"/>
    <mergeCell ref="E31:G31"/>
    <mergeCell ref="E40:G40"/>
    <mergeCell ref="H40:J40"/>
    <mergeCell ref="B35:D35"/>
    <mergeCell ref="E35:G35"/>
    <mergeCell ref="H35:J35"/>
    <mergeCell ref="B36:D36"/>
    <mergeCell ref="E36:G36"/>
    <mergeCell ref="E39:G39"/>
    <mergeCell ref="E24:G24"/>
    <mergeCell ref="B30:D30"/>
    <mergeCell ref="H31:J31"/>
    <mergeCell ref="B29:D29"/>
    <mergeCell ref="E29:G29"/>
    <mergeCell ref="H36:J36"/>
    <mergeCell ref="H33:J33"/>
    <mergeCell ref="E34:G34"/>
  </mergeCells>
  <phoneticPr fontId="25" type="noConversion"/>
  <dataValidations count="3">
    <dataValidation type="list" allowBlank="1" showInputMessage="1" showErrorMessage="1" sqref="E41 E33:E34 E19:G19 F41:G41 E31 F31:G31 F33:G34 E5:E6 F5:G5">
      <formula1>$X$1:$X$4</formula1>
    </dataValidation>
    <dataValidation type="list" allowBlank="1" showInputMessage="1" showErrorMessage="1" sqref="E45:G48">
      <formula1>$X$45:$X$47</formula1>
    </dataValidation>
    <dataValidation type="list" allowBlank="1" showInputMessage="1" showErrorMessage="1" sqref="E7:G7 E8:G8 E4:G4 E9:G9 E12:G12 E13:G13 E14:G14 E15:G15 E18:G18 E23:G23 E27:G27 E28:G28 E29:G29 E30:G30 E32:G32 E35:G35 E36:G36 E37:G37 E38:G38 E39:G39 E40:G40">
      <formula1>$X$1:$X$3</formula1>
    </dataValidation>
  </dataValidations>
  <printOptions horizontalCentered="1"/>
  <pageMargins left="0.75" right="0.75" top="1" bottom="1" header="0.5" footer="0.5"/>
  <pageSetup scale="74" orientation="portrait" r:id="rId1"/>
  <headerFooter alignWithMargins="0">
    <oddFooter>&amp;C&amp;P</oddFooter>
  </headerFooter>
  <rowBreaks count="1" manualBreakCount="1">
    <brk id="42" max="10" man="1"/>
  </rowBreaks>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39997558519241921"/>
    <pageSetUpPr fitToPage="1"/>
  </sheetPr>
  <dimension ref="A1:M43"/>
  <sheetViews>
    <sheetView zoomScaleNormal="100" workbookViewId="0">
      <selection activeCell="B6" sqref="B6:I6"/>
    </sheetView>
  </sheetViews>
  <sheetFormatPr defaultColWidth="9.140625" defaultRowHeight="12.75" x14ac:dyDescent="0.2"/>
  <cols>
    <col min="1" max="1" width="3.42578125" style="21" customWidth="1"/>
    <col min="2" max="9" width="9.140625" style="21"/>
    <col min="10" max="10" width="3.7109375" style="21" customWidth="1"/>
    <col min="11" max="11" width="2.7109375" style="21" customWidth="1"/>
    <col min="12" max="16384" width="9.140625" style="21"/>
  </cols>
  <sheetData>
    <row r="1" spans="1:13" ht="13.5" x14ac:dyDescent="0.25">
      <c r="A1" s="188" t="s">
        <v>109</v>
      </c>
      <c r="B1" s="212"/>
      <c r="C1" s="212"/>
      <c r="D1" s="212">
        <f>+Cover!E10</f>
        <v>0</v>
      </c>
      <c r="E1" s="212"/>
      <c r="F1" s="212"/>
      <c r="G1" s="1723"/>
      <c r="H1" s="1723"/>
      <c r="I1" s="212"/>
      <c r="J1" s="1020">
        <f>+Cover!E10</f>
        <v>0</v>
      </c>
      <c r="K1" s="212"/>
      <c r="L1" s="212"/>
      <c r="M1" s="212"/>
    </row>
    <row r="2" spans="1:13" x14ac:dyDescent="0.2">
      <c r="A2" s="1737" t="str">
        <f>+Cover!D7</f>
        <v>02142019.SA1</v>
      </c>
      <c r="B2" s="1737"/>
      <c r="C2" s="212"/>
      <c r="D2" s="212"/>
      <c r="E2" s="212"/>
      <c r="F2" s="212"/>
      <c r="G2" s="212"/>
      <c r="H2" s="212"/>
      <c r="I2" s="212"/>
      <c r="J2" s="212"/>
      <c r="K2" s="212"/>
      <c r="L2" s="212"/>
      <c r="M2" s="212"/>
    </row>
    <row r="3" spans="1:13" ht="84" customHeight="1" x14ac:dyDescent="0.2">
      <c r="A3" s="212"/>
      <c r="B3" s="1724" t="s">
        <v>846</v>
      </c>
      <c r="C3" s="1725"/>
      <c r="D3" s="1725"/>
      <c r="E3" s="1725"/>
      <c r="F3" s="1725"/>
      <c r="G3" s="1725"/>
      <c r="H3" s="1725"/>
      <c r="I3" s="1726"/>
      <c r="J3" s="212"/>
      <c r="K3" s="212"/>
      <c r="L3" s="212"/>
      <c r="M3" s="212"/>
    </row>
    <row r="4" spans="1:13" x14ac:dyDescent="0.2">
      <c r="A4" s="212"/>
      <c r="B4" s="212"/>
      <c r="C4" s="212"/>
      <c r="D4" s="212"/>
      <c r="E4" s="212"/>
      <c r="F4" s="212"/>
      <c r="G4" s="212"/>
      <c r="H4" s="212"/>
      <c r="I4" s="212"/>
      <c r="J4" s="212"/>
      <c r="K4" s="212"/>
      <c r="L4" s="212"/>
      <c r="M4" s="212"/>
    </row>
    <row r="5" spans="1:13" x14ac:dyDescent="0.2">
      <c r="A5" s="212"/>
      <c r="B5" s="212"/>
      <c r="C5" s="212"/>
      <c r="D5" s="212"/>
      <c r="E5" s="212"/>
      <c r="F5" s="212"/>
      <c r="G5" s="212"/>
      <c r="H5" s="212"/>
      <c r="I5" s="212"/>
      <c r="J5" s="212"/>
      <c r="K5" s="212"/>
      <c r="L5" s="212"/>
      <c r="M5" s="212"/>
    </row>
    <row r="6" spans="1:13" ht="42" customHeight="1" x14ac:dyDescent="0.2">
      <c r="A6" s="212"/>
      <c r="B6" s="1727"/>
      <c r="C6" s="1716"/>
      <c r="D6" s="1716"/>
      <c r="E6" s="1716"/>
      <c r="F6" s="1716"/>
      <c r="G6" s="1716"/>
      <c r="H6" s="1716"/>
      <c r="I6" s="1716"/>
      <c r="J6" s="212"/>
      <c r="K6" s="212"/>
      <c r="L6" s="212"/>
      <c r="M6" s="212"/>
    </row>
    <row r="7" spans="1:13" x14ac:dyDescent="0.2">
      <c r="A7" s="212"/>
      <c r="B7" s="212"/>
      <c r="C7" s="212"/>
      <c r="D7" s="212"/>
      <c r="E7" s="212"/>
      <c r="F7" s="212"/>
      <c r="G7" s="212"/>
      <c r="H7" s="212"/>
      <c r="I7" s="212"/>
      <c r="J7" s="212"/>
      <c r="K7" s="212"/>
      <c r="L7" s="212"/>
      <c r="M7" s="212"/>
    </row>
    <row r="8" spans="1:13" x14ac:dyDescent="0.2">
      <c r="A8" s="212"/>
      <c r="B8" s="213" t="s">
        <v>110</v>
      </c>
      <c r="C8" s="213"/>
      <c r="D8" s="1728">
        <f>+'Primary Input'!E32</f>
        <v>0</v>
      </c>
      <c r="E8" s="1729"/>
      <c r="F8" s="1730"/>
      <c r="G8" s="213"/>
      <c r="H8" s="1731" t="str">
        <f>IF(D8&gt;0,"OK","Invalid Entry")</f>
        <v>Invalid Entry</v>
      </c>
      <c r="I8" s="1732"/>
      <c r="J8" s="212"/>
      <c r="K8" s="212"/>
      <c r="L8" s="212"/>
      <c r="M8" s="212"/>
    </row>
    <row r="9" spans="1:13" x14ac:dyDescent="0.2">
      <c r="A9" s="212"/>
      <c r="B9" s="213"/>
      <c r="C9" s="213"/>
      <c r="D9" s="213"/>
      <c r="E9" s="213"/>
      <c r="F9" s="213"/>
      <c r="G9" s="213"/>
      <c r="H9" s="213"/>
      <c r="I9" s="213"/>
      <c r="J9" s="212"/>
      <c r="K9" s="212"/>
      <c r="L9" s="212"/>
      <c r="M9" s="212"/>
    </row>
    <row r="10" spans="1:13" x14ac:dyDescent="0.2">
      <c r="A10" s="212"/>
      <c r="B10" s="213"/>
      <c r="C10" s="213"/>
      <c r="D10" s="213"/>
      <c r="E10" s="213"/>
      <c r="F10" s="213"/>
      <c r="G10" s="213"/>
      <c r="H10" s="213"/>
      <c r="I10" s="213"/>
      <c r="J10" s="212"/>
      <c r="K10" s="212"/>
      <c r="L10" s="212"/>
      <c r="M10" s="212"/>
    </row>
    <row r="11" spans="1:13" ht="15.75" customHeight="1" x14ac:dyDescent="0.2">
      <c r="A11" s="212"/>
      <c r="B11" s="1716" t="s">
        <v>294</v>
      </c>
      <c r="C11" s="1716"/>
      <c r="D11" s="1716"/>
      <c r="E11" s="1716"/>
      <c r="F11" s="1716"/>
      <c r="G11" s="1716"/>
      <c r="H11" s="1716"/>
      <c r="I11" s="1716"/>
      <c r="J11" s="212"/>
      <c r="K11" s="212"/>
      <c r="L11" s="212"/>
      <c r="M11" s="212"/>
    </row>
    <row r="12" spans="1:13" ht="18.75" customHeight="1" thickBot="1" x14ac:dyDescent="0.25">
      <c r="A12" s="212"/>
      <c r="B12" s="213"/>
      <c r="C12" s="213"/>
      <c r="D12" s="213"/>
      <c r="E12" s="213"/>
      <c r="F12" s="213"/>
      <c r="G12" s="213"/>
      <c r="H12" s="214"/>
      <c r="I12" s="212"/>
      <c r="J12" s="212"/>
      <c r="K12" s="212"/>
      <c r="L12" s="212"/>
      <c r="M12" s="212"/>
    </row>
    <row r="13" spans="1:13" ht="19.5" customHeight="1" thickTop="1" thickBot="1" x14ac:dyDescent="0.25">
      <c r="A13" s="547"/>
      <c r="B13" s="546" t="s">
        <v>111</v>
      </c>
      <c r="C13" s="546"/>
      <c r="D13" s="1717">
        <f>+'Primary Input'!E10</f>
        <v>0</v>
      </c>
      <c r="E13" s="1718"/>
      <c r="F13" s="1719"/>
      <c r="G13" s="546"/>
      <c r="H13" s="1733" t="s">
        <v>115</v>
      </c>
      <c r="I13" s="466"/>
      <c r="J13" s="466"/>
      <c r="K13" s="466"/>
      <c r="L13" s="466"/>
      <c r="M13" s="467"/>
    </row>
    <row r="14" spans="1:13" ht="26.25" customHeight="1" thickTop="1" thickBot="1" x14ac:dyDescent="0.25">
      <c r="A14" s="212"/>
      <c r="B14" s="213" t="s">
        <v>112</v>
      </c>
      <c r="C14" s="213"/>
      <c r="D14" s="1720">
        <f>IF('Primary Input'!E10= "",0, VLOOKUP('Primary Input'!E10,'Primary Input'!AI7:AJ113,2))</f>
        <v>0</v>
      </c>
      <c r="E14" s="1721"/>
      <c r="F14" s="1722"/>
      <c r="G14" s="213"/>
      <c r="H14" s="1734"/>
      <c r="I14" s="1735" t="str">
        <f>+IF(SUM(H15:H25)&lt;&gt;D8,"Invalid Entry. Number of Units on Primary Input must equal Sum of units below", "OK")</f>
        <v>OK</v>
      </c>
      <c r="J14" s="1735"/>
      <c r="K14" s="1735"/>
      <c r="L14" s="1735"/>
      <c r="M14" s="1736"/>
    </row>
    <row r="15" spans="1:13" ht="13.5" thickTop="1" x14ac:dyDescent="0.2">
      <c r="A15" s="212"/>
      <c r="B15" s="213" t="s">
        <v>176</v>
      </c>
      <c r="C15" s="213"/>
      <c r="D15" s="1738">
        <f>0.3*D$14</f>
        <v>0</v>
      </c>
      <c r="E15" s="1721"/>
      <c r="F15" s="1722"/>
      <c r="G15" s="213"/>
      <c r="H15" s="116"/>
      <c r="I15" s="213"/>
      <c r="J15" s="212"/>
      <c r="K15" s="212"/>
      <c r="L15" s="212"/>
      <c r="M15" s="212"/>
    </row>
    <row r="16" spans="1:13" x14ac:dyDescent="0.2">
      <c r="A16" s="212"/>
      <c r="B16" s="213" t="s">
        <v>74</v>
      </c>
      <c r="C16" s="213"/>
      <c r="D16" s="1738">
        <f>0.35*D$14</f>
        <v>0</v>
      </c>
      <c r="E16" s="1721"/>
      <c r="F16" s="1722"/>
      <c r="G16" s="213"/>
      <c r="H16" s="118"/>
      <c r="I16" s="213"/>
      <c r="J16" s="212"/>
      <c r="K16" s="212"/>
      <c r="L16" s="212"/>
      <c r="M16" s="212"/>
    </row>
    <row r="17" spans="1:13" x14ac:dyDescent="0.2">
      <c r="A17" s="212"/>
      <c r="B17" s="213" t="s">
        <v>75</v>
      </c>
      <c r="C17" s="213"/>
      <c r="D17" s="1738">
        <f>0.4*D$14</f>
        <v>0</v>
      </c>
      <c r="E17" s="1721"/>
      <c r="F17" s="1722"/>
      <c r="G17" s="213"/>
      <c r="H17" s="118"/>
      <c r="I17" s="213"/>
      <c r="J17" s="212"/>
      <c r="K17" s="212"/>
      <c r="L17" s="212"/>
      <c r="M17" s="212"/>
    </row>
    <row r="18" spans="1:13" x14ac:dyDescent="0.2">
      <c r="A18" s="212"/>
      <c r="B18" s="213" t="s">
        <v>76</v>
      </c>
      <c r="C18" s="213"/>
      <c r="D18" s="1738">
        <f>0.45*D$14</f>
        <v>0</v>
      </c>
      <c r="E18" s="1721"/>
      <c r="F18" s="1722"/>
      <c r="G18" s="213"/>
      <c r="H18" s="118"/>
      <c r="I18" s="213"/>
      <c r="J18" s="212"/>
      <c r="K18" s="212"/>
      <c r="L18" s="212"/>
      <c r="M18" s="212"/>
    </row>
    <row r="19" spans="1:13" x14ac:dyDescent="0.2">
      <c r="A19" s="212"/>
      <c r="B19" s="213" t="s">
        <v>475</v>
      </c>
      <c r="C19" s="213"/>
      <c r="D19" s="1738">
        <f>0.5*D$14</f>
        <v>0</v>
      </c>
      <c r="E19" s="1721"/>
      <c r="F19" s="1722"/>
      <c r="G19" s="213"/>
      <c r="H19" s="118"/>
      <c r="I19" s="213"/>
      <c r="J19" s="212"/>
      <c r="K19" s="212"/>
      <c r="L19" s="212"/>
      <c r="M19" s="212"/>
    </row>
    <row r="20" spans="1:13" x14ac:dyDescent="0.2">
      <c r="A20" s="212"/>
      <c r="B20" s="213" t="s">
        <v>77</v>
      </c>
      <c r="C20" s="213"/>
      <c r="D20" s="1738">
        <f>0.55*D$14</f>
        <v>0</v>
      </c>
      <c r="E20" s="1721"/>
      <c r="F20" s="1722"/>
      <c r="G20" s="213"/>
      <c r="H20" s="118"/>
      <c r="I20" s="213"/>
      <c r="J20" s="212"/>
      <c r="K20" s="212"/>
      <c r="L20" s="212"/>
      <c r="M20" s="212"/>
    </row>
    <row r="21" spans="1:13" x14ac:dyDescent="0.2">
      <c r="A21" s="212"/>
      <c r="B21" s="213" t="s">
        <v>78</v>
      </c>
      <c r="C21" s="213"/>
      <c r="D21" s="1738">
        <f>0.6*D$14</f>
        <v>0</v>
      </c>
      <c r="E21" s="1721"/>
      <c r="F21" s="1722"/>
      <c r="G21" s="213"/>
      <c r="H21" s="118"/>
      <c r="I21" s="213"/>
      <c r="J21" s="212"/>
      <c r="K21" s="212"/>
      <c r="L21" s="212"/>
      <c r="M21" s="212"/>
    </row>
    <row r="22" spans="1:13" x14ac:dyDescent="0.2">
      <c r="A22" s="212"/>
      <c r="B22" s="213" t="s">
        <v>79</v>
      </c>
      <c r="C22" s="213"/>
      <c r="D22" s="1738">
        <f>0.65*D$14</f>
        <v>0</v>
      </c>
      <c r="E22" s="1721"/>
      <c r="F22" s="1722"/>
      <c r="G22" s="213"/>
      <c r="H22" s="118"/>
      <c r="I22" s="213"/>
      <c r="J22" s="212"/>
      <c r="K22" s="212"/>
      <c r="L22" s="212"/>
      <c r="M22" s="212"/>
    </row>
    <row r="23" spans="1:13" x14ac:dyDescent="0.2">
      <c r="A23" s="212"/>
      <c r="B23" s="213" t="s">
        <v>80</v>
      </c>
      <c r="C23" s="213"/>
      <c r="D23" s="1738">
        <f>0.7*D$14</f>
        <v>0</v>
      </c>
      <c r="E23" s="1721"/>
      <c r="F23" s="1722"/>
      <c r="G23" s="213"/>
      <c r="H23" s="118"/>
      <c r="I23" s="213"/>
      <c r="J23" s="212"/>
      <c r="K23" s="212"/>
      <c r="L23" s="212"/>
      <c r="M23" s="212"/>
    </row>
    <row r="24" spans="1:13" x14ac:dyDescent="0.2">
      <c r="A24" s="212"/>
      <c r="B24" s="213" t="s">
        <v>81</v>
      </c>
      <c r="C24" s="213"/>
      <c r="D24" s="1738">
        <f>0.75*D$14</f>
        <v>0</v>
      </c>
      <c r="E24" s="1721"/>
      <c r="F24" s="1722"/>
      <c r="G24" s="213"/>
      <c r="H24" s="118"/>
      <c r="I24" s="213"/>
      <c r="J24" s="212"/>
      <c r="K24" s="212"/>
      <c r="L24" s="212"/>
      <c r="M24" s="212"/>
    </row>
    <row r="25" spans="1:13" x14ac:dyDescent="0.2">
      <c r="A25" s="212"/>
      <c r="B25" s="213" t="s">
        <v>476</v>
      </c>
      <c r="C25" s="213"/>
      <c r="D25" s="1738">
        <f>0.8*D$14</f>
        <v>0</v>
      </c>
      <c r="E25" s="1721"/>
      <c r="F25" s="1722"/>
      <c r="G25" s="213"/>
      <c r="H25" s="118"/>
      <c r="I25" s="213"/>
      <c r="J25" s="212"/>
      <c r="K25" s="212"/>
      <c r="L25" s="212"/>
      <c r="M25" s="212"/>
    </row>
    <row r="26" spans="1:13" x14ac:dyDescent="0.2">
      <c r="A26" s="212"/>
      <c r="B26" s="213"/>
      <c r="C26" s="213"/>
      <c r="D26" s="213"/>
      <c r="E26" s="213"/>
      <c r="F26" s="213"/>
      <c r="G26" s="213"/>
      <c r="H26" s="213"/>
      <c r="I26" s="213"/>
      <c r="J26" s="212"/>
      <c r="K26" s="212"/>
      <c r="L26" s="212"/>
      <c r="M26" s="212"/>
    </row>
    <row r="27" spans="1:13" ht="83.25" customHeight="1" x14ac:dyDescent="0.2">
      <c r="A27" s="212"/>
      <c r="B27" s="1741" t="s">
        <v>847</v>
      </c>
      <c r="C27" s="1716"/>
      <c r="D27" s="1716"/>
      <c r="E27" s="1716"/>
      <c r="F27" s="1716"/>
      <c r="G27" s="1716"/>
      <c r="H27" s="1716"/>
      <c r="I27" s="1716"/>
      <c r="J27" s="212"/>
      <c r="K27" s="212"/>
      <c r="L27" s="212"/>
      <c r="M27" s="212"/>
    </row>
    <row r="28" spans="1:13" x14ac:dyDescent="0.2">
      <c r="A28" s="212"/>
      <c r="B28" s="212"/>
      <c r="C28" s="212"/>
      <c r="D28" s="212"/>
      <c r="E28" s="212"/>
      <c r="F28" s="212"/>
      <c r="G28" s="212"/>
      <c r="H28" s="212"/>
      <c r="I28" s="212"/>
      <c r="J28" s="212"/>
      <c r="K28" s="212"/>
      <c r="L28" s="212"/>
      <c r="M28" s="212"/>
    </row>
    <row r="29" spans="1:13" x14ac:dyDescent="0.2">
      <c r="A29" s="212"/>
      <c r="B29" s="213" t="s">
        <v>113</v>
      </c>
      <c r="C29" s="213"/>
      <c r="D29" s="1738">
        <f>+'Sources and Uses'!F42</f>
        <v>0</v>
      </c>
      <c r="E29" s="1721"/>
      <c r="F29" s="1722"/>
      <c r="G29" s="212"/>
      <c r="H29" s="212"/>
      <c r="I29" s="212"/>
      <c r="J29" s="212"/>
      <c r="K29" s="212"/>
      <c r="L29" s="212"/>
      <c r="M29" s="212"/>
    </row>
    <row r="30" spans="1:13" x14ac:dyDescent="0.2">
      <c r="A30" s="212"/>
      <c r="B30" s="213" t="s">
        <v>611</v>
      </c>
      <c r="C30" s="213"/>
      <c r="D30" s="1738">
        <f>+'Primary Input'!E37</f>
        <v>0</v>
      </c>
      <c r="E30" s="1721"/>
      <c r="F30" s="1722"/>
      <c r="G30" s="212"/>
      <c r="H30" s="212"/>
      <c r="I30" s="212"/>
      <c r="J30" s="212"/>
      <c r="K30" s="212"/>
      <c r="L30" s="212"/>
      <c r="M30" s="212"/>
    </row>
    <row r="31" spans="1:13" x14ac:dyDescent="0.2">
      <c r="A31" s="212"/>
      <c r="B31" s="213" t="s">
        <v>114</v>
      </c>
      <c r="C31" s="213"/>
      <c r="D31" s="1742">
        <f>IF(D29=0,0,D30/D29)</f>
        <v>0</v>
      </c>
      <c r="E31" s="1743"/>
      <c r="F31" s="1744"/>
      <c r="G31" s="212"/>
      <c r="H31" s="1739" t="str">
        <f>IF(D31&lt;=0.85,"OK","Ineligible As Submitted")</f>
        <v>OK</v>
      </c>
      <c r="I31" s="1740"/>
      <c r="J31" s="212"/>
      <c r="K31" s="212"/>
      <c r="L31" s="212"/>
      <c r="M31" s="212"/>
    </row>
    <row r="32" spans="1:13" x14ac:dyDescent="0.2">
      <c r="A32" s="212"/>
      <c r="B32" s="212"/>
      <c r="C32" s="212"/>
      <c r="D32" s="212"/>
      <c r="E32" s="212"/>
      <c r="F32" s="212"/>
      <c r="G32" s="212"/>
      <c r="H32" s="212"/>
      <c r="I32" s="212"/>
      <c r="J32" s="212"/>
      <c r="K32" s="212"/>
      <c r="L32" s="212"/>
      <c r="M32" s="212"/>
    </row>
    <row r="33" spans="1:13" x14ac:dyDescent="0.2">
      <c r="A33" s="212"/>
      <c r="B33" s="212"/>
      <c r="C33" s="212"/>
      <c r="D33" s="212"/>
      <c r="E33" s="212"/>
      <c r="F33" s="212"/>
      <c r="G33" s="212"/>
      <c r="H33" s="212"/>
      <c r="I33" s="212"/>
      <c r="J33" s="212"/>
      <c r="K33" s="212"/>
      <c r="L33" s="212"/>
      <c r="M33" s="212"/>
    </row>
    <row r="34" spans="1:13" x14ac:dyDescent="0.2">
      <c r="A34" s="212"/>
      <c r="B34" s="212"/>
      <c r="C34" s="212"/>
      <c r="D34" s="212"/>
      <c r="E34" s="212"/>
      <c r="F34" s="212"/>
      <c r="G34" s="212"/>
      <c r="H34" s="212"/>
      <c r="I34" s="212"/>
      <c r="J34" s="212"/>
      <c r="K34" s="212"/>
      <c r="L34" s="212"/>
      <c r="M34" s="212"/>
    </row>
    <row r="35" spans="1:13" x14ac:dyDescent="0.2">
      <c r="A35" s="212"/>
      <c r="B35" s="115"/>
      <c r="C35" s="115"/>
      <c r="G35" s="115"/>
      <c r="H35" s="115"/>
      <c r="I35" s="115"/>
      <c r="J35" s="115"/>
      <c r="K35" s="212"/>
      <c r="L35" s="212"/>
      <c r="M35" s="212"/>
    </row>
    <row r="36" spans="1:13" x14ac:dyDescent="0.2">
      <c r="A36" s="212"/>
      <c r="B36" s="115"/>
      <c r="C36" s="115"/>
      <c r="G36" s="115"/>
      <c r="H36" s="115"/>
      <c r="I36" s="115"/>
      <c r="J36" s="115"/>
      <c r="K36" s="212"/>
      <c r="L36" s="212"/>
      <c r="M36" s="212"/>
    </row>
    <row r="37" spans="1:13" x14ac:dyDescent="0.2">
      <c r="A37" s="212"/>
      <c r="B37" s="115"/>
      <c r="C37" s="115"/>
      <c r="G37" s="115"/>
      <c r="H37" s="115"/>
      <c r="I37" s="115"/>
      <c r="J37" s="115"/>
      <c r="K37" s="212"/>
      <c r="L37" s="212"/>
      <c r="M37" s="212"/>
    </row>
    <row r="38" spans="1:13" x14ac:dyDescent="0.2">
      <c r="A38" s="212"/>
      <c r="B38" s="115"/>
      <c r="C38" s="115"/>
      <c r="G38" s="115"/>
      <c r="H38" s="115"/>
      <c r="I38" s="115"/>
      <c r="J38" s="115"/>
      <c r="K38" s="212"/>
      <c r="L38" s="212"/>
      <c r="M38" s="212"/>
    </row>
    <row r="39" spans="1:13" x14ac:dyDescent="0.2">
      <c r="A39" s="212"/>
      <c r="B39" s="115"/>
      <c r="C39" s="115"/>
      <c r="G39" s="115"/>
      <c r="H39" s="115"/>
      <c r="I39" s="115"/>
      <c r="J39" s="115"/>
      <c r="K39" s="212"/>
      <c r="L39" s="212"/>
      <c r="M39" s="212"/>
    </row>
    <row r="40" spans="1:13" x14ac:dyDescent="0.2">
      <c r="A40" s="212"/>
      <c r="B40" s="115"/>
      <c r="C40" s="115"/>
      <c r="G40" s="115"/>
      <c r="H40" s="115"/>
      <c r="I40" s="115"/>
      <c r="J40" s="115"/>
      <c r="K40" s="212"/>
      <c r="L40" s="212"/>
      <c r="M40" s="212"/>
    </row>
    <row r="41" spans="1:13" x14ac:dyDescent="0.2">
      <c r="A41" s="212"/>
      <c r="B41" s="115"/>
      <c r="C41" s="115"/>
      <c r="G41" s="115"/>
      <c r="H41" s="115"/>
      <c r="I41" s="115"/>
      <c r="J41" s="115"/>
      <c r="K41" s="212"/>
      <c r="L41" s="212"/>
      <c r="M41" s="212"/>
    </row>
    <row r="42" spans="1:13" x14ac:dyDescent="0.2">
      <c r="A42" s="212"/>
      <c r="B42" s="115"/>
      <c r="C42" s="115"/>
      <c r="G42" s="115"/>
      <c r="H42" s="115"/>
      <c r="I42" s="115"/>
      <c r="J42" s="115"/>
      <c r="K42" s="212"/>
      <c r="L42" s="212"/>
      <c r="M42" s="212"/>
    </row>
    <row r="43" spans="1:13" x14ac:dyDescent="0.2">
      <c r="J43" s="138"/>
      <c r="K43" s="138"/>
    </row>
  </sheetData>
  <sheetProtection password="CC14" sheet="1" objects="1" scenarios="1"/>
  <mergeCells count="27">
    <mergeCell ref="H31:I31"/>
    <mergeCell ref="B27:I27"/>
    <mergeCell ref="D29:F29"/>
    <mergeCell ref="D30:F30"/>
    <mergeCell ref="D31:F31"/>
    <mergeCell ref="D15:F15"/>
    <mergeCell ref="D19:F19"/>
    <mergeCell ref="D25:F25"/>
    <mergeCell ref="D16:F16"/>
    <mergeCell ref="D17:F17"/>
    <mergeCell ref="D18:F18"/>
    <mergeCell ref="D22:F22"/>
    <mergeCell ref="D23:F23"/>
    <mergeCell ref="D24:F24"/>
    <mergeCell ref="D20:F20"/>
    <mergeCell ref="D21:F21"/>
    <mergeCell ref="B11:I11"/>
    <mergeCell ref="D13:F13"/>
    <mergeCell ref="D14:F14"/>
    <mergeCell ref="G1:H1"/>
    <mergeCell ref="B3:I3"/>
    <mergeCell ref="B6:I6"/>
    <mergeCell ref="D8:F8"/>
    <mergeCell ref="H8:I8"/>
    <mergeCell ref="H13:H14"/>
    <mergeCell ref="I14:M14"/>
    <mergeCell ref="A2:B2"/>
  </mergeCells>
  <phoneticPr fontId="25" type="noConversion"/>
  <printOptions horizontalCentered="1"/>
  <pageMargins left="0.75" right="0.75" top="1" bottom="1" header="0.5" footer="0.5"/>
  <pageSetup scale="88" orientation="portrait" r:id="rId1"/>
  <headerFooter alignWithMargins="0">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6" tint="0.39997558519241921"/>
    <pageSetUpPr fitToPage="1"/>
  </sheetPr>
  <dimension ref="A1:AJ56"/>
  <sheetViews>
    <sheetView zoomScaleNormal="100" workbookViewId="0">
      <selection activeCell="M4" sqref="M4"/>
    </sheetView>
  </sheetViews>
  <sheetFormatPr defaultColWidth="8.85546875" defaultRowHeight="12.75" x14ac:dyDescent="0.2"/>
  <cols>
    <col min="1" max="1" width="3.140625" customWidth="1"/>
    <col min="11" max="11" width="5.140625" customWidth="1"/>
    <col min="12" max="12" width="14.140625" style="154" customWidth="1"/>
  </cols>
  <sheetData>
    <row r="1" spans="1:36" ht="15" thickTop="1" thickBot="1" x14ac:dyDescent="0.3">
      <c r="A1" s="215" t="s">
        <v>116</v>
      </c>
      <c r="B1" s="216"/>
      <c r="C1" s="217"/>
      <c r="D1" s="217"/>
      <c r="E1" s="217"/>
      <c r="F1" s="773" t="str">
        <f>+Cover!D7</f>
        <v>02142019.SA1</v>
      </c>
      <c r="G1" s="217"/>
      <c r="H1" s="820">
        <f>+Cover!E10</f>
        <v>0</v>
      </c>
      <c r="I1" s="820"/>
      <c r="J1" s="217"/>
      <c r="K1" s="218"/>
      <c r="L1" s="219"/>
      <c r="M1" s="220"/>
      <c r="N1" s="221"/>
      <c r="O1" s="222"/>
      <c r="P1" s="220"/>
      <c r="Q1" s="220"/>
      <c r="R1" s="220"/>
      <c r="S1" s="220"/>
      <c r="T1" s="221"/>
    </row>
    <row r="2" spans="1:36" ht="128.25" customHeight="1" thickTop="1" thickBot="1" x14ac:dyDescent="0.25">
      <c r="A2" s="233"/>
      <c r="B2" s="1754" t="s">
        <v>1553</v>
      </c>
      <c r="C2" s="1755"/>
      <c r="D2" s="1755"/>
      <c r="E2" s="1755"/>
      <c r="F2" s="1755"/>
      <c r="G2" s="1755"/>
      <c r="H2" s="1755"/>
      <c r="I2" s="1755"/>
      <c r="J2" s="1756"/>
      <c r="K2" s="223"/>
      <c r="L2" s="224" t="s">
        <v>701</v>
      </c>
      <c r="M2" s="225" t="s">
        <v>848</v>
      </c>
      <c r="N2" s="226" t="s">
        <v>702</v>
      </c>
      <c r="O2" s="1762" t="s">
        <v>703</v>
      </c>
      <c r="P2" s="1763"/>
      <c r="Q2" s="1763"/>
      <c r="R2" s="1763"/>
      <c r="S2" s="1763"/>
      <c r="T2" s="1764"/>
    </row>
    <row r="3" spans="1:36" ht="15.75" customHeight="1" thickTop="1" thickBot="1" x14ac:dyDescent="0.25">
      <c r="A3" s="233"/>
      <c r="B3" s="234"/>
      <c r="C3" s="235"/>
      <c r="D3" s="235"/>
      <c r="E3" s="235"/>
      <c r="F3" s="235"/>
      <c r="G3" s="235"/>
      <c r="H3" s="235"/>
      <c r="I3" s="235"/>
      <c r="J3" s="235"/>
      <c r="K3" s="227"/>
      <c r="L3" s="228"/>
      <c r="M3" s="229"/>
      <c r="N3" s="230"/>
      <c r="O3" s="231"/>
      <c r="P3" s="223"/>
      <c r="Q3" s="223"/>
      <c r="R3" s="223"/>
      <c r="S3" s="223"/>
      <c r="T3" s="232"/>
    </row>
    <row r="4" spans="1:36" ht="13.5" thickTop="1" x14ac:dyDescent="0.2">
      <c r="A4" s="233"/>
      <c r="B4" s="236" t="s">
        <v>722</v>
      </c>
      <c r="C4" s="237"/>
      <c r="D4" s="237"/>
      <c r="E4" s="1054"/>
      <c r="F4" s="1765"/>
      <c r="G4" s="1765"/>
      <c r="H4" s="1765"/>
      <c r="I4" s="1765"/>
      <c r="J4" s="1765"/>
      <c r="K4" s="1765"/>
      <c r="L4" s="1055"/>
      <c r="M4" s="1056"/>
      <c r="N4" s="1057"/>
      <c r="O4" s="1759"/>
      <c r="P4" s="1760"/>
      <c r="Q4" s="1760"/>
      <c r="R4" s="1760"/>
      <c r="S4" s="1760"/>
      <c r="T4" s="1761"/>
      <c r="AJ4" s="106" t="s">
        <v>30</v>
      </c>
    </row>
    <row r="5" spans="1:36" x14ac:dyDescent="0.2">
      <c r="A5" s="233"/>
      <c r="B5" s="238" t="s">
        <v>467</v>
      </c>
      <c r="C5" s="239"/>
      <c r="D5" s="239"/>
      <c r="E5" s="1058"/>
      <c r="F5" s="1745"/>
      <c r="G5" s="1745"/>
      <c r="H5" s="1745"/>
      <c r="I5" s="1745"/>
      <c r="J5" s="1745"/>
      <c r="K5" s="1745"/>
      <c r="L5" s="1059"/>
      <c r="M5" s="254"/>
      <c r="N5" s="255"/>
      <c r="O5" s="1751"/>
      <c r="P5" s="1752"/>
      <c r="Q5" s="1752"/>
      <c r="R5" s="1752"/>
      <c r="S5" s="1752"/>
      <c r="T5" s="1753"/>
      <c r="AJ5" s="106" t="s">
        <v>24</v>
      </c>
    </row>
    <row r="6" spans="1:36" x14ac:dyDescent="0.2">
      <c r="A6" s="233"/>
      <c r="B6" s="240"/>
      <c r="C6" s="239"/>
      <c r="D6" s="239"/>
      <c r="E6" s="1058"/>
      <c r="F6" s="1058"/>
      <c r="G6" s="1058"/>
      <c r="H6" s="1058"/>
      <c r="I6" s="1058"/>
      <c r="J6" s="1058"/>
      <c r="K6" s="1058"/>
      <c r="L6" s="1059"/>
      <c r="M6" s="254"/>
      <c r="N6" s="255"/>
      <c r="O6" s="1751"/>
      <c r="P6" s="1752"/>
      <c r="Q6" s="1752"/>
      <c r="R6" s="1752"/>
      <c r="S6" s="1752"/>
      <c r="T6" s="1753"/>
    </row>
    <row r="7" spans="1:36" x14ac:dyDescent="0.2">
      <c r="A7" s="233"/>
      <c r="B7" s="240"/>
      <c r="C7" s="239"/>
      <c r="D7" s="239"/>
      <c r="E7" s="1058"/>
      <c r="F7" s="1058" t="s">
        <v>117</v>
      </c>
      <c r="G7" s="1746"/>
      <c r="H7" s="1746"/>
      <c r="I7" s="1746"/>
      <c r="J7" s="1058" t="s">
        <v>118</v>
      </c>
      <c r="K7" s="1060">
        <v>2253642843</v>
      </c>
      <c r="L7" s="1059"/>
      <c r="M7" s="254"/>
      <c r="N7" s="255"/>
      <c r="O7" s="1751"/>
      <c r="P7" s="1752"/>
      <c r="Q7" s="1752"/>
      <c r="R7" s="1752"/>
      <c r="S7" s="1752"/>
      <c r="T7" s="1753"/>
    </row>
    <row r="8" spans="1:36" x14ac:dyDescent="0.2">
      <c r="A8" s="233"/>
      <c r="B8" s="240"/>
      <c r="C8" s="239"/>
      <c r="D8" s="239"/>
      <c r="E8" s="1058"/>
      <c r="F8" s="1058"/>
      <c r="G8" s="1061"/>
      <c r="H8" s="1061"/>
      <c r="I8" s="1061"/>
      <c r="J8" s="1058"/>
      <c r="K8" s="1062"/>
      <c r="L8" s="1059"/>
      <c r="M8" s="254"/>
      <c r="N8" s="255"/>
      <c r="O8" s="1751"/>
      <c r="P8" s="1752"/>
      <c r="Q8" s="1752"/>
      <c r="R8" s="1752"/>
      <c r="S8" s="1752"/>
      <c r="T8" s="1753"/>
    </row>
    <row r="9" spans="1:36" ht="13.5" thickBot="1" x14ac:dyDescent="0.25">
      <c r="A9" s="233"/>
      <c r="B9" s="241"/>
      <c r="C9" s="242"/>
      <c r="D9" s="242"/>
      <c r="E9" s="242"/>
      <c r="F9" s="242" t="s">
        <v>119</v>
      </c>
      <c r="G9" s="250"/>
      <c r="H9" s="1766"/>
      <c r="I9" s="1766"/>
      <c r="J9" s="242" t="s">
        <v>120</v>
      </c>
      <c r="K9" s="1060">
        <v>2253666855</v>
      </c>
      <c r="L9" s="249"/>
      <c r="M9" s="256"/>
      <c r="N9" s="257"/>
      <c r="O9" s="258"/>
      <c r="P9" s="227"/>
      <c r="Q9" s="227"/>
      <c r="R9" s="227"/>
      <c r="S9" s="227"/>
      <c r="T9" s="259"/>
    </row>
    <row r="10" spans="1:36" ht="13.5" thickTop="1" x14ac:dyDescent="0.2">
      <c r="A10" s="233"/>
      <c r="B10" s="243"/>
      <c r="C10" s="237"/>
      <c r="D10" s="237"/>
      <c r="E10" s="1054"/>
      <c r="F10" s="1054"/>
      <c r="G10" s="1054"/>
      <c r="H10" s="1054"/>
      <c r="I10" s="1054"/>
      <c r="J10" s="1054"/>
      <c r="K10" s="1054"/>
      <c r="L10" s="1063"/>
      <c r="M10" s="1064"/>
      <c r="N10" s="791"/>
      <c r="O10" s="251"/>
      <c r="P10" s="252"/>
      <c r="Q10" s="252"/>
      <c r="R10" s="252"/>
      <c r="S10" s="252"/>
      <c r="T10" s="253"/>
    </row>
    <row r="11" spans="1:36" x14ac:dyDescent="0.2">
      <c r="A11" s="233"/>
      <c r="B11" s="436" t="s">
        <v>612</v>
      </c>
      <c r="C11" s="239"/>
      <c r="D11" s="239"/>
      <c r="E11" s="1058"/>
      <c r="F11" s="1745"/>
      <c r="G11" s="1745"/>
      <c r="H11" s="1745"/>
      <c r="I11" s="1745"/>
      <c r="J11" s="1745"/>
      <c r="K11" s="1745"/>
      <c r="L11" s="1059"/>
      <c r="M11" s="156"/>
      <c r="N11" s="1057"/>
      <c r="O11" s="1757"/>
      <c r="P11" s="1752"/>
      <c r="Q11" s="1752"/>
      <c r="R11" s="1752"/>
      <c r="S11" s="1752"/>
      <c r="T11" s="1758"/>
      <c r="X11" s="1027"/>
    </row>
    <row r="12" spans="1:36" x14ac:dyDescent="0.2">
      <c r="A12" s="233"/>
      <c r="B12" s="238" t="s">
        <v>467</v>
      </c>
      <c r="C12" s="239"/>
      <c r="D12" s="239"/>
      <c r="E12" s="1058"/>
      <c r="F12" s="1745"/>
      <c r="G12" s="1745"/>
      <c r="H12" s="1745"/>
      <c r="I12" s="1745"/>
      <c r="J12" s="1745"/>
      <c r="K12" s="1745"/>
      <c r="L12" s="1059"/>
      <c r="M12" s="254"/>
      <c r="N12" s="255"/>
      <c r="O12" s="1757"/>
      <c r="P12" s="1752"/>
      <c r="Q12" s="1752"/>
      <c r="R12" s="1752"/>
      <c r="S12" s="1752"/>
      <c r="T12" s="1758"/>
    </row>
    <row r="13" spans="1:36" x14ac:dyDescent="0.2">
      <c r="A13" s="233"/>
      <c r="B13" s="240"/>
      <c r="C13" s="239"/>
      <c r="D13" s="239"/>
      <c r="E13" s="1058"/>
      <c r="F13" s="1058"/>
      <c r="G13" s="1058"/>
      <c r="H13" s="1058"/>
      <c r="I13" s="1058"/>
      <c r="J13" s="1058"/>
      <c r="K13" s="1058"/>
      <c r="L13" s="1059"/>
      <c r="M13" s="254"/>
      <c r="N13" s="255"/>
      <c r="O13" s="1757"/>
      <c r="P13" s="1752"/>
      <c r="Q13" s="1752"/>
      <c r="R13" s="1752"/>
      <c r="S13" s="1752"/>
      <c r="T13" s="1758"/>
    </row>
    <row r="14" spans="1:36" ht="13.5" thickBot="1" x14ac:dyDescent="0.25">
      <c r="A14" s="233"/>
      <c r="B14" s="241"/>
      <c r="C14" s="242"/>
      <c r="D14" s="242"/>
      <c r="E14" s="242"/>
      <c r="F14" s="242" t="s">
        <v>117</v>
      </c>
      <c r="G14" s="1747"/>
      <c r="H14" s="1747"/>
      <c r="I14" s="1747"/>
      <c r="J14" s="242" t="s">
        <v>118</v>
      </c>
      <c r="K14" s="155"/>
      <c r="L14" s="249"/>
      <c r="M14" s="256"/>
      <c r="N14" s="257"/>
      <c r="O14" s="264"/>
      <c r="P14" s="265"/>
      <c r="Q14" s="265"/>
      <c r="R14" s="265"/>
      <c r="S14" s="265"/>
      <c r="T14" s="266"/>
    </row>
    <row r="15" spans="1:36" ht="13.5" thickTop="1" x14ac:dyDescent="0.2">
      <c r="A15" s="233"/>
      <c r="B15" s="243"/>
      <c r="C15" s="237"/>
      <c r="D15" s="237"/>
      <c r="E15" s="1054"/>
      <c r="F15" s="1054"/>
      <c r="G15" s="1054"/>
      <c r="H15" s="1054"/>
      <c r="I15" s="1054"/>
      <c r="J15" s="1054"/>
      <c r="K15" s="1054"/>
      <c r="L15" s="1063"/>
      <c r="M15" s="1064"/>
      <c r="N15" s="791"/>
      <c r="O15" s="267"/>
      <c r="P15" s="268"/>
      <c r="Q15" s="268"/>
      <c r="R15" s="268"/>
      <c r="S15" s="268"/>
      <c r="T15" s="269"/>
    </row>
    <row r="16" spans="1:36" x14ac:dyDescent="0.2">
      <c r="A16" s="233"/>
      <c r="B16" s="436" t="s">
        <v>121</v>
      </c>
      <c r="C16" s="239"/>
      <c r="D16" s="239"/>
      <c r="E16" s="1058"/>
      <c r="F16" s="1745"/>
      <c r="G16" s="1745"/>
      <c r="H16" s="1745"/>
      <c r="I16" s="1745"/>
      <c r="J16" s="1745"/>
      <c r="K16" s="1745"/>
      <c r="L16" s="1065"/>
      <c r="M16" s="156"/>
      <c r="N16" s="1057"/>
      <c r="O16" s="1751"/>
      <c r="P16" s="1752"/>
      <c r="Q16" s="1752"/>
      <c r="R16" s="1752"/>
      <c r="S16" s="1752"/>
      <c r="T16" s="1753"/>
    </row>
    <row r="17" spans="1:25" x14ac:dyDescent="0.2">
      <c r="A17" s="233"/>
      <c r="B17" s="240"/>
      <c r="C17" s="239"/>
      <c r="D17" s="239"/>
      <c r="E17" s="1058"/>
      <c r="F17" s="1745"/>
      <c r="G17" s="1745"/>
      <c r="H17" s="1745"/>
      <c r="I17" s="1745"/>
      <c r="J17" s="1745"/>
      <c r="K17" s="1745"/>
      <c r="L17" s="1065"/>
      <c r="M17" s="254"/>
      <c r="N17" s="255"/>
      <c r="O17" s="1751"/>
      <c r="P17" s="1752"/>
      <c r="Q17" s="1752"/>
      <c r="R17" s="1752"/>
      <c r="S17" s="1752"/>
      <c r="T17" s="1753"/>
    </row>
    <row r="18" spans="1:25" x14ac:dyDescent="0.2">
      <c r="A18" s="233"/>
      <c r="B18" s="240"/>
      <c r="C18" s="239"/>
      <c r="D18" s="239"/>
      <c r="E18" s="1058"/>
      <c r="F18" s="1058"/>
      <c r="G18" s="1058"/>
      <c r="H18" s="1058"/>
      <c r="I18" s="1058"/>
      <c r="J18" s="1058"/>
      <c r="K18" s="1058"/>
      <c r="L18" s="1065"/>
      <c r="M18" s="254"/>
      <c r="N18" s="255"/>
      <c r="O18" s="1751"/>
      <c r="P18" s="1752"/>
      <c r="Q18" s="1752"/>
      <c r="R18" s="1752"/>
      <c r="S18" s="1752"/>
      <c r="T18" s="1753"/>
    </row>
    <row r="19" spans="1:25" ht="13.5" thickBot="1" x14ac:dyDescent="0.25">
      <c r="A19" s="233"/>
      <c r="B19" s="241"/>
      <c r="C19" s="242"/>
      <c r="D19" s="242"/>
      <c r="E19" s="242"/>
      <c r="F19" s="242" t="s">
        <v>117</v>
      </c>
      <c r="G19" s="1746"/>
      <c r="H19" s="1746"/>
      <c r="I19" s="1746"/>
      <c r="J19" s="242" t="s">
        <v>118</v>
      </c>
      <c r="K19" s="1060">
        <v>2253438889</v>
      </c>
      <c r="L19" s="261"/>
      <c r="M19" s="256"/>
      <c r="N19" s="257"/>
      <c r="O19" s="264"/>
      <c r="P19" s="265"/>
      <c r="Q19" s="265"/>
      <c r="R19" s="265"/>
      <c r="S19" s="265"/>
      <c r="T19" s="266"/>
    </row>
    <row r="20" spans="1:25" ht="13.5" thickTop="1" x14ac:dyDescent="0.2">
      <c r="A20" s="233"/>
      <c r="B20" s="244"/>
      <c r="C20" s="245"/>
      <c r="D20" s="245"/>
      <c r="E20" s="1066"/>
      <c r="F20" s="1066"/>
      <c r="G20" s="1066"/>
      <c r="H20" s="1066"/>
      <c r="I20" s="1066"/>
      <c r="J20" s="1066"/>
      <c r="K20" s="1066"/>
      <c r="L20" s="1067"/>
      <c r="M20" s="1068"/>
      <c r="N20" s="1069"/>
      <c r="O20" s="267"/>
      <c r="P20" s="268"/>
      <c r="Q20" s="268"/>
      <c r="R20" s="268"/>
      <c r="S20" s="268"/>
      <c r="T20" s="269"/>
    </row>
    <row r="21" spans="1:25" x14ac:dyDescent="0.2">
      <c r="A21" s="233"/>
      <c r="B21" s="436" t="s">
        <v>122</v>
      </c>
      <c r="C21" s="239"/>
      <c r="D21" s="239"/>
      <c r="E21" s="1058"/>
      <c r="F21" s="1745"/>
      <c r="G21" s="1745"/>
      <c r="H21" s="1745"/>
      <c r="I21" s="1745"/>
      <c r="J21" s="1745"/>
      <c r="K21" s="1745"/>
      <c r="L21" s="1065"/>
      <c r="M21" s="156"/>
      <c r="N21" s="1057"/>
      <c r="O21" s="1751"/>
      <c r="P21" s="1752"/>
      <c r="Q21" s="1752"/>
      <c r="R21" s="1752"/>
      <c r="S21" s="1752"/>
      <c r="T21" s="1753"/>
    </row>
    <row r="22" spans="1:25" x14ac:dyDescent="0.2">
      <c r="A22" s="233"/>
      <c r="B22" s="240"/>
      <c r="C22" s="239"/>
      <c r="D22" s="239"/>
      <c r="E22" s="1058"/>
      <c r="F22" s="1745"/>
      <c r="G22" s="1745"/>
      <c r="H22" s="1745"/>
      <c r="I22" s="1745"/>
      <c r="J22" s="1745"/>
      <c r="K22" s="1745"/>
      <c r="L22" s="1065"/>
      <c r="M22" s="254"/>
      <c r="N22" s="255"/>
      <c r="O22" s="1751"/>
      <c r="P22" s="1752"/>
      <c r="Q22" s="1752"/>
      <c r="R22" s="1752"/>
      <c r="S22" s="1752"/>
      <c r="T22" s="1753"/>
    </row>
    <row r="23" spans="1:25" x14ac:dyDescent="0.2">
      <c r="A23" s="233"/>
      <c r="B23" s="240"/>
      <c r="C23" s="239"/>
      <c r="D23" s="239"/>
      <c r="E23" s="1058"/>
      <c r="F23" s="1058"/>
      <c r="G23" s="1058"/>
      <c r="H23" s="1058"/>
      <c r="I23" s="1058"/>
      <c r="J23" s="1058"/>
      <c r="K23" s="1058"/>
      <c r="L23" s="1065"/>
      <c r="M23" s="254"/>
      <c r="N23" s="255"/>
      <c r="O23" s="1751"/>
      <c r="P23" s="1752"/>
      <c r="Q23" s="1752"/>
      <c r="R23" s="1752"/>
      <c r="S23" s="1752"/>
      <c r="T23" s="1753"/>
    </row>
    <row r="24" spans="1:25" ht="13.5" thickBot="1" x14ac:dyDescent="0.25">
      <c r="A24" s="233"/>
      <c r="B24" s="241"/>
      <c r="C24" s="242"/>
      <c r="D24" s="242"/>
      <c r="E24" s="242"/>
      <c r="F24" s="242" t="s">
        <v>117</v>
      </c>
      <c r="G24" s="1746"/>
      <c r="H24" s="1746"/>
      <c r="I24" s="1746"/>
      <c r="J24" s="242" t="s">
        <v>118</v>
      </c>
      <c r="K24" s="1060">
        <v>2259640212</v>
      </c>
      <c r="L24" s="261"/>
      <c r="M24" s="256"/>
      <c r="N24" s="257"/>
      <c r="O24" s="258"/>
      <c r="P24" s="227"/>
      <c r="Q24" s="227"/>
      <c r="R24" s="227"/>
      <c r="S24" s="227"/>
      <c r="T24" s="259"/>
    </row>
    <row r="25" spans="1:25" ht="13.5" thickTop="1" x14ac:dyDescent="0.2">
      <c r="A25" s="233"/>
      <c r="B25" s="244"/>
      <c r="C25" s="245"/>
      <c r="D25" s="245"/>
      <c r="E25" s="1066"/>
      <c r="F25" s="1066"/>
      <c r="G25" s="1066"/>
      <c r="H25" s="1066"/>
      <c r="I25" s="1066"/>
      <c r="J25" s="1066"/>
      <c r="K25" s="1066"/>
      <c r="L25" s="1067"/>
      <c r="M25" s="1068"/>
      <c r="N25" s="1069"/>
      <c r="O25" s="251"/>
      <c r="P25" s="252"/>
      <c r="Q25" s="252"/>
      <c r="R25" s="252"/>
      <c r="S25" s="252"/>
      <c r="T25" s="253"/>
    </row>
    <row r="26" spans="1:25" x14ac:dyDescent="0.2">
      <c r="A26" s="233"/>
      <c r="B26" s="436" t="s">
        <v>123</v>
      </c>
      <c r="C26" s="239"/>
      <c r="D26" s="239"/>
      <c r="E26" s="1058"/>
      <c r="F26" s="1745"/>
      <c r="G26" s="1745"/>
      <c r="H26" s="1745"/>
      <c r="I26" s="1745"/>
      <c r="J26" s="1745"/>
      <c r="K26" s="1745"/>
      <c r="L26" s="1065"/>
      <c r="M26" s="156"/>
      <c r="N26" s="1057"/>
      <c r="O26" s="1751"/>
      <c r="P26" s="1752"/>
      <c r="Q26" s="1752"/>
      <c r="R26" s="1752"/>
      <c r="S26" s="1752"/>
      <c r="T26" s="1753"/>
    </row>
    <row r="27" spans="1:25" x14ac:dyDescent="0.2">
      <c r="A27" s="233"/>
      <c r="B27" s="240" t="s">
        <v>124</v>
      </c>
      <c r="C27" s="239"/>
      <c r="D27" s="239"/>
      <c r="E27" s="1058"/>
      <c r="F27" s="1745"/>
      <c r="G27" s="1745"/>
      <c r="H27" s="1745"/>
      <c r="I27" s="1745"/>
      <c r="J27" s="1745"/>
      <c r="K27" s="1745"/>
      <c r="L27" s="1065"/>
      <c r="M27" s="254"/>
      <c r="N27" s="255"/>
      <c r="O27" s="1751"/>
      <c r="P27" s="1752"/>
      <c r="Q27" s="1752"/>
      <c r="R27" s="1752"/>
      <c r="S27" s="1752"/>
      <c r="T27" s="1753"/>
    </row>
    <row r="28" spans="1:25" x14ac:dyDescent="0.2">
      <c r="A28" s="233"/>
      <c r="B28" s="240"/>
      <c r="C28" s="239"/>
      <c r="D28" s="239"/>
      <c r="E28" s="1058"/>
      <c r="F28" s="1065"/>
      <c r="G28" s="1065"/>
      <c r="H28" s="1065"/>
      <c r="I28" s="1065"/>
      <c r="J28" s="1065"/>
      <c r="K28" s="1065"/>
      <c r="L28" s="1065"/>
      <c r="M28" s="254"/>
      <c r="N28" s="255"/>
      <c r="O28" s="1751"/>
      <c r="P28" s="1752"/>
      <c r="Q28" s="1752"/>
      <c r="R28" s="1752"/>
      <c r="S28" s="1752"/>
      <c r="T28" s="1753"/>
    </row>
    <row r="29" spans="1:25" ht="13.5" thickBot="1" x14ac:dyDescent="0.25">
      <c r="A29" s="233"/>
      <c r="B29" s="241"/>
      <c r="C29" s="242"/>
      <c r="D29" s="242"/>
      <c r="E29" s="242"/>
      <c r="F29" s="242" t="s">
        <v>117</v>
      </c>
      <c r="G29" s="1746"/>
      <c r="H29" s="1746"/>
      <c r="I29" s="1746"/>
      <c r="J29" s="242" t="s">
        <v>118</v>
      </c>
      <c r="K29" s="1060"/>
      <c r="L29" s="261"/>
      <c r="M29" s="256"/>
      <c r="N29" s="257"/>
      <c r="O29" s="264"/>
      <c r="P29" s="265"/>
      <c r="Q29" s="265"/>
      <c r="R29" s="265"/>
      <c r="S29" s="265"/>
      <c r="T29" s="266"/>
    </row>
    <row r="30" spans="1:25" ht="13.5" thickTop="1" x14ac:dyDescent="0.2">
      <c r="A30" s="233"/>
      <c r="B30" s="244"/>
      <c r="C30" s="245"/>
      <c r="D30" s="245"/>
      <c r="E30" s="1066"/>
      <c r="F30" s="1066"/>
      <c r="G30" s="1066"/>
      <c r="H30" s="1066"/>
      <c r="I30" s="1066"/>
      <c r="J30" s="1066"/>
      <c r="K30" s="1066"/>
      <c r="L30" s="1067"/>
      <c r="M30" s="1068"/>
      <c r="N30" s="1069"/>
      <c r="O30" s="267"/>
      <c r="P30" s="268"/>
      <c r="Q30" s="268"/>
      <c r="R30" s="268"/>
      <c r="S30" s="268"/>
      <c r="T30" s="269"/>
    </row>
    <row r="31" spans="1:25" x14ac:dyDescent="0.2">
      <c r="A31" s="233"/>
      <c r="B31" s="436" t="s">
        <v>125</v>
      </c>
      <c r="C31" s="239"/>
      <c r="D31" s="239"/>
      <c r="E31" s="1058"/>
      <c r="F31" s="1745"/>
      <c r="G31" s="1745"/>
      <c r="H31" s="1745"/>
      <c r="I31" s="1745"/>
      <c r="J31" s="1745"/>
      <c r="K31" s="1745"/>
      <c r="L31" s="1065"/>
      <c r="M31" s="156"/>
      <c r="N31" s="1057"/>
      <c r="O31" s="1751"/>
      <c r="P31" s="1752"/>
      <c r="Q31" s="1752"/>
      <c r="R31" s="1752"/>
      <c r="S31" s="1752"/>
      <c r="T31" s="1753"/>
    </row>
    <row r="32" spans="1:25" x14ac:dyDescent="0.2">
      <c r="A32" s="233"/>
      <c r="B32" s="240" t="s">
        <v>124</v>
      </c>
      <c r="C32" s="239"/>
      <c r="D32" s="239"/>
      <c r="E32" s="1058"/>
      <c r="F32" s="1745"/>
      <c r="G32" s="1745"/>
      <c r="H32" s="1745"/>
      <c r="I32" s="1745"/>
      <c r="J32" s="1745"/>
      <c r="K32" s="1745"/>
      <c r="L32" s="1065"/>
      <c r="M32" s="254"/>
      <c r="N32" s="255"/>
      <c r="O32" s="1751"/>
      <c r="P32" s="1752"/>
      <c r="Q32" s="1752"/>
      <c r="R32" s="1752"/>
      <c r="S32" s="1752"/>
      <c r="T32" s="1753"/>
      <c r="Y32" s="1027"/>
    </row>
    <row r="33" spans="1:25" x14ac:dyDescent="0.2">
      <c r="A33" s="233"/>
      <c r="B33" s="240"/>
      <c r="C33" s="239"/>
      <c r="D33" s="239"/>
      <c r="E33" s="1058"/>
      <c r="F33" s="1058"/>
      <c r="G33" s="1058"/>
      <c r="H33" s="1058"/>
      <c r="I33" s="1058"/>
      <c r="J33" s="1058"/>
      <c r="K33" s="1058"/>
      <c r="L33" s="1065"/>
      <c r="M33" s="254"/>
      <c r="N33" s="255"/>
      <c r="O33" s="1751"/>
      <c r="P33" s="1752"/>
      <c r="Q33" s="1752"/>
      <c r="R33" s="1752"/>
      <c r="S33" s="1752"/>
      <c r="T33" s="1753"/>
    </row>
    <row r="34" spans="1:25" ht="13.5" thickBot="1" x14ac:dyDescent="0.25">
      <c r="A34" s="233"/>
      <c r="B34" s="241"/>
      <c r="C34" s="242"/>
      <c r="D34" s="242"/>
      <c r="E34" s="242"/>
      <c r="F34" s="242" t="s">
        <v>117</v>
      </c>
      <c r="G34" s="1746"/>
      <c r="H34" s="1746"/>
      <c r="I34" s="1746"/>
      <c r="J34" s="242" t="s">
        <v>118</v>
      </c>
      <c r="K34" s="1060"/>
      <c r="L34" s="261"/>
      <c r="M34" s="256"/>
      <c r="N34" s="257"/>
      <c r="O34" s="264"/>
      <c r="P34" s="265"/>
      <c r="Q34" s="265"/>
      <c r="R34" s="265"/>
      <c r="S34" s="265"/>
      <c r="T34" s="266"/>
    </row>
    <row r="35" spans="1:25" ht="13.5" thickTop="1" x14ac:dyDescent="0.2">
      <c r="A35" s="233"/>
      <c r="B35" s="243"/>
      <c r="C35" s="237"/>
      <c r="D35" s="237"/>
      <c r="E35" s="1054"/>
      <c r="F35" s="1054"/>
      <c r="G35" s="1054"/>
      <c r="H35" s="1054"/>
      <c r="I35" s="1054"/>
      <c r="J35" s="1054"/>
      <c r="K35" s="1054"/>
      <c r="L35" s="1063"/>
      <c r="M35" s="1064"/>
      <c r="N35" s="791"/>
      <c r="O35" s="267"/>
      <c r="P35" s="268"/>
      <c r="Q35" s="268"/>
      <c r="R35" s="268"/>
      <c r="S35" s="268"/>
      <c r="T35" s="269"/>
      <c r="Y35" s="1027"/>
    </row>
    <row r="36" spans="1:25" x14ac:dyDescent="0.2">
      <c r="A36" s="233"/>
      <c r="B36" s="436" t="s">
        <v>126</v>
      </c>
      <c r="C36" s="239"/>
      <c r="D36" s="239"/>
      <c r="E36" s="1058"/>
      <c r="F36" s="1745"/>
      <c r="G36" s="1745"/>
      <c r="H36" s="1745"/>
      <c r="I36" s="1745"/>
      <c r="J36" s="1745"/>
      <c r="K36" s="1745"/>
      <c r="L36" s="1065"/>
      <c r="M36" s="156"/>
      <c r="N36" s="1057"/>
      <c r="O36" s="1751"/>
      <c r="P36" s="1752"/>
      <c r="Q36" s="1752"/>
      <c r="R36" s="1752"/>
      <c r="S36" s="1752"/>
      <c r="T36" s="1753"/>
    </row>
    <row r="37" spans="1:25" x14ac:dyDescent="0.2">
      <c r="A37" s="233"/>
      <c r="B37" s="238" t="s">
        <v>467</v>
      </c>
      <c r="C37" s="239"/>
      <c r="D37" s="239"/>
      <c r="E37" s="1058"/>
      <c r="F37" s="1745"/>
      <c r="G37" s="1745"/>
      <c r="H37" s="1745"/>
      <c r="I37" s="1745"/>
      <c r="J37" s="1745"/>
      <c r="K37" s="1745"/>
      <c r="L37" s="1065"/>
      <c r="M37" s="254"/>
      <c r="N37" s="255"/>
      <c r="O37" s="1751"/>
      <c r="P37" s="1752"/>
      <c r="Q37" s="1752"/>
      <c r="R37" s="1752"/>
      <c r="S37" s="1752"/>
      <c r="T37" s="1753"/>
    </row>
    <row r="38" spans="1:25" x14ac:dyDescent="0.2">
      <c r="A38" s="233"/>
      <c r="B38" s="240"/>
      <c r="C38" s="239"/>
      <c r="D38" s="239"/>
      <c r="E38" s="1058"/>
      <c r="F38" s="1058"/>
      <c r="G38" s="1058"/>
      <c r="H38" s="1058"/>
      <c r="I38" s="1058"/>
      <c r="J38" s="1058"/>
      <c r="K38" s="1058"/>
      <c r="L38" s="1065"/>
      <c r="M38" s="254"/>
      <c r="N38" s="255"/>
      <c r="O38" s="1751"/>
      <c r="P38" s="1752"/>
      <c r="Q38" s="1752"/>
      <c r="R38" s="1752"/>
      <c r="S38" s="1752"/>
      <c r="T38" s="1753"/>
    </row>
    <row r="39" spans="1:25" ht="13.5" thickBot="1" x14ac:dyDescent="0.25">
      <c r="A39" s="233"/>
      <c r="B39" s="241"/>
      <c r="C39" s="242"/>
      <c r="D39" s="242"/>
      <c r="E39" s="242"/>
      <c r="F39" s="242" t="s">
        <v>117</v>
      </c>
      <c r="G39" s="1746"/>
      <c r="H39" s="1746"/>
      <c r="I39" s="1746"/>
      <c r="J39" s="242" t="s">
        <v>118</v>
      </c>
      <c r="K39" s="1060"/>
      <c r="L39" s="261"/>
      <c r="M39" s="256"/>
      <c r="N39" s="257"/>
      <c r="O39" s="264"/>
      <c r="P39" s="265"/>
      <c r="Q39" s="265"/>
      <c r="R39" s="265"/>
      <c r="S39" s="265"/>
      <c r="T39" s="266"/>
    </row>
    <row r="40" spans="1:25" ht="13.5" thickTop="1" x14ac:dyDescent="0.2">
      <c r="A40" s="233"/>
      <c r="B40" s="243"/>
      <c r="C40" s="237"/>
      <c r="D40" s="237"/>
      <c r="E40" s="1054"/>
      <c r="F40" s="1054"/>
      <c r="G40" s="1070"/>
      <c r="H40" s="1070"/>
      <c r="I40" s="1070"/>
      <c r="J40" s="1054"/>
      <c r="K40" s="1071"/>
      <c r="L40" s="1063"/>
      <c r="M40" s="1064"/>
      <c r="N40" s="791"/>
      <c r="O40" s="267"/>
      <c r="P40" s="268"/>
      <c r="Q40" s="268"/>
      <c r="R40" s="268"/>
      <c r="S40" s="268"/>
      <c r="T40" s="269"/>
    </row>
    <row r="41" spans="1:25" x14ac:dyDescent="0.2">
      <c r="A41" s="233"/>
      <c r="B41" s="436" t="s">
        <v>127</v>
      </c>
      <c r="C41" s="239"/>
      <c r="D41" s="239"/>
      <c r="E41" s="1058"/>
      <c r="F41" s="1745"/>
      <c r="G41" s="1745"/>
      <c r="H41" s="1745"/>
      <c r="I41" s="1745"/>
      <c r="J41" s="1745"/>
      <c r="K41" s="1745"/>
      <c r="L41" s="1065"/>
      <c r="M41" s="1316"/>
      <c r="N41" s="1057"/>
      <c r="O41" s="1751"/>
      <c r="P41" s="1752"/>
      <c r="Q41" s="1752"/>
      <c r="R41" s="1752"/>
      <c r="S41" s="1752"/>
      <c r="T41" s="1753"/>
    </row>
    <row r="42" spans="1:25" x14ac:dyDescent="0.2">
      <c r="A42" s="233"/>
      <c r="B42" s="238" t="s">
        <v>468</v>
      </c>
      <c r="C42" s="239"/>
      <c r="D42" s="239"/>
      <c r="E42" s="1058"/>
      <c r="F42" s="1745"/>
      <c r="G42" s="1745"/>
      <c r="H42" s="1745"/>
      <c r="I42" s="1745"/>
      <c r="J42" s="1745"/>
      <c r="K42" s="1745"/>
      <c r="L42" s="1065"/>
      <c r="M42" s="254"/>
      <c r="N42" s="255"/>
      <c r="O42" s="1751"/>
      <c r="P42" s="1752"/>
      <c r="Q42" s="1752"/>
      <c r="R42" s="1752"/>
      <c r="S42" s="1752"/>
      <c r="T42" s="1753"/>
    </row>
    <row r="43" spans="1:25" x14ac:dyDescent="0.2">
      <c r="A43" s="233"/>
      <c r="B43" s="240"/>
      <c r="C43" s="239"/>
      <c r="D43" s="239"/>
      <c r="E43" s="1058"/>
      <c r="F43" s="1058"/>
      <c r="G43" s="1058"/>
      <c r="H43" s="1058"/>
      <c r="I43" s="1058"/>
      <c r="J43" s="1058"/>
      <c r="K43" s="1058"/>
      <c r="L43" s="1065"/>
      <c r="M43" s="254"/>
      <c r="N43" s="255"/>
      <c r="O43" s="1751"/>
      <c r="P43" s="1752"/>
      <c r="Q43" s="1752"/>
      <c r="R43" s="1752"/>
      <c r="S43" s="1752"/>
      <c r="T43" s="1753"/>
    </row>
    <row r="44" spans="1:25" ht="13.5" customHeight="1" thickBot="1" x14ac:dyDescent="0.25">
      <c r="A44" s="233"/>
      <c r="B44" s="241"/>
      <c r="C44" s="242"/>
      <c r="D44" s="242"/>
      <c r="E44" s="242"/>
      <c r="F44" s="242" t="s">
        <v>117</v>
      </c>
      <c r="G44" s="1746"/>
      <c r="H44" s="1746"/>
      <c r="I44" s="1746"/>
      <c r="J44" s="242" t="s">
        <v>118</v>
      </c>
      <c r="K44" s="1060"/>
      <c r="L44" s="261"/>
      <c r="M44" s="256"/>
      <c r="N44" s="257"/>
      <c r="O44" s="264"/>
      <c r="P44" s="265"/>
      <c r="Q44" s="265"/>
      <c r="R44" s="265"/>
      <c r="S44" s="265"/>
      <c r="T44" s="266"/>
    </row>
    <row r="45" spans="1:25" ht="13.5" thickTop="1" x14ac:dyDescent="0.2">
      <c r="A45" s="233"/>
      <c r="B45" s="243"/>
      <c r="C45" s="237"/>
      <c r="D45" s="237"/>
      <c r="E45" s="1054"/>
      <c r="F45" s="1054"/>
      <c r="G45" s="1070"/>
      <c r="H45" s="1070"/>
      <c r="I45" s="1070"/>
      <c r="J45" s="1054"/>
      <c r="K45" s="1071"/>
      <c r="L45" s="1063"/>
      <c r="M45" s="1064"/>
      <c r="N45" s="791"/>
      <c r="O45" s="267"/>
      <c r="P45" s="268"/>
      <c r="Q45" s="268"/>
      <c r="R45" s="268"/>
      <c r="S45" s="268"/>
      <c r="T45" s="269"/>
    </row>
    <row r="46" spans="1:25" ht="12.75" customHeight="1" x14ac:dyDescent="0.2">
      <c r="A46" s="231"/>
      <c r="B46" s="436" t="s">
        <v>541</v>
      </c>
      <c r="C46" s="239"/>
      <c r="D46" s="239"/>
      <c r="E46" s="1058"/>
      <c r="F46" s="1745"/>
      <c r="G46" s="1745"/>
      <c r="H46" s="1745"/>
      <c r="I46" s="1745"/>
      <c r="J46" s="1745"/>
      <c r="K46" s="1745"/>
      <c r="L46" s="1065"/>
      <c r="M46" s="156"/>
      <c r="N46" s="1057"/>
      <c r="O46" s="1751"/>
      <c r="P46" s="1752"/>
      <c r="Q46" s="1752"/>
      <c r="R46" s="1752"/>
      <c r="S46" s="1752"/>
      <c r="T46" s="1753"/>
    </row>
    <row r="47" spans="1:25" x14ac:dyDescent="0.2">
      <c r="A47" s="231"/>
      <c r="B47" s="238" t="s">
        <v>468</v>
      </c>
      <c r="C47" s="239"/>
      <c r="D47" s="239"/>
      <c r="E47" s="1058"/>
      <c r="F47" s="1745"/>
      <c r="G47" s="1745"/>
      <c r="H47" s="1745"/>
      <c r="I47" s="1745"/>
      <c r="J47" s="1745"/>
      <c r="K47" s="1745"/>
      <c r="L47" s="1065"/>
      <c r="M47" s="254"/>
      <c r="N47" s="255"/>
      <c r="O47" s="1751"/>
      <c r="P47" s="1752"/>
      <c r="Q47" s="1752"/>
      <c r="R47" s="1752"/>
      <c r="S47" s="1752"/>
      <c r="T47" s="1753"/>
    </row>
    <row r="48" spans="1:25" x14ac:dyDescent="0.2">
      <c r="A48" s="231"/>
      <c r="B48" s="240"/>
      <c r="C48" s="239"/>
      <c r="D48" s="239"/>
      <c r="E48" s="1058"/>
      <c r="F48" s="1058"/>
      <c r="G48" s="1058"/>
      <c r="H48" s="1058"/>
      <c r="I48" s="1058"/>
      <c r="J48" s="1058"/>
      <c r="K48" s="1058"/>
      <c r="L48" s="1065"/>
      <c r="M48" s="254"/>
      <c r="N48" s="255"/>
      <c r="O48" s="1751"/>
      <c r="P48" s="1752"/>
      <c r="Q48" s="1752"/>
      <c r="R48" s="1752"/>
      <c r="S48" s="1752"/>
      <c r="T48" s="1753"/>
    </row>
    <row r="49" spans="1:20" ht="13.5" thickBot="1" x14ac:dyDescent="0.25">
      <c r="A49" s="231"/>
      <c r="B49" s="241"/>
      <c r="C49" s="242"/>
      <c r="D49" s="242"/>
      <c r="E49" s="242"/>
      <c r="F49" s="242" t="s">
        <v>117</v>
      </c>
      <c r="G49" s="1746"/>
      <c r="H49" s="1746"/>
      <c r="I49" s="1746"/>
      <c r="J49" s="242" t="s">
        <v>118</v>
      </c>
      <c r="K49" s="1060"/>
      <c r="L49" s="261"/>
      <c r="M49" s="256"/>
      <c r="N49" s="257"/>
      <c r="O49" s="258"/>
      <c r="P49" s="227"/>
      <c r="Q49" s="227"/>
      <c r="R49" s="227"/>
      <c r="S49" s="227"/>
      <c r="T49" s="259"/>
    </row>
    <row r="50" spans="1:20" ht="13.5" thickTop="1" x14ac:dyDescent="0.2">
      <c r="A50" s="231"/>
      <c r="B50" s="246"/>
      <c r="C50" s="246"/>
      <c r="D50" s="246"/>
      <c r="E50" s="1063"/>
      <c r="F50" s="1063"/>
      <c r="G50" s="1063"/>
      <c r="H50" s="1063"/>
      <c r="I50" s="1063"/>
      <c r="J50" s="1063"/>
      <c r="K50" s="1063"/>
      <c r="L50" s="1063"/>
      <c r="M50" s="1064"/>
      <c r="N50" s="791"/>
      <c r="O50" s="251"/>
      <c r="P50" s="252"/>
      <c r="Q50" s="252"/>
      <c r="R50" s="252"/>
      <c r="S50" s="252"/>
      <c r="T50" s="253"/>
    </row>
    <row r="51" spans="1:20" x14ac:dyDescent="0.2">
      <c r="A51" s="231"/>
      <c r="B51" s="436" t="s">
        <v>548</v>
      </c>
      <c r="C51" s="239"/>
      <c r="D51" s="239"/>
      <c r="E51" s="1058"/>
      <c r="F51" s="1745"/>
      <c r="G51" s="1745"/>
      <c r="H51" s="1745"/>
      <c r="I51" s="1745"/>
      <c r="J51" s="1745"/>
      <c r="K51" s="1745"/>
      <c r="L51" s="1065"/>
      <c r="M51" s="156"/>
      <c r="N51" s="1057"/>
      <c r="O51" s="1748"/>
      <c r="P51" s="1749"/>
      <c r="Q51" s="1749"/>
      <c r="R51" s="1749"/>
      <c r="S51" s="1749"/>
      <c r="T51" s="1750"/>
    </row>
    <row r="52" spans="1:20" x14ac:dyDescent="0.2">
      <c r="A52" s="231"/>
      <c r="B52" s="240"/>
      <c r="C52" s="239"/>
      <c r="D52" s="239"/>
      <c r="E52" s="1058"/>
      <c r="F52" s="1745"/>
      <c r="G52" s="1745"/>
      <c r="H52" s="1745"/>
      <c r="I52" s="1745"/>
      <c r="J52" s="1745"/>
      <c r="K52" s="1745"/>
      <c r="L52" s="1065"/>
      <c r="M52" s="254"/>
      <c r="N52" s="255"/>
      <c r="O52" s="1748"/>
      <c r="P52" s="1749"/>
      <c r="Q52" s="1749"/>
      <c r="R52" s="1749"/>
      <c r="S52" s="1749"/>
      <c r="T52" s="1750"/>
    </row>
    <row r="53" spans="1:20" x14ac:dyDescent="0.2">
      <c r="A53" s="231"/>
      <c r="B53" s="240"/>
      <c r="C53" s="239"/>
      <c r="D53" s="239"/>
      <c r="E53" s="1058"/>
      <c r="F53" s="1058"/>
      <c r="G53" s="1058"/>
      <c r="H53" s="1058"/>
      <c r="I53" s="1058"/>
      <c r="J53" s="1058"/>
      <c r="K53" s="1058"/>
      <c r="L53" s="1065"/>
      <c r="M53" s="254"/>
      <c r="N53" s="255"/>
      <c r="O53" s="1748"/>
      <c r="P53" s="1749"/>
      <c r="Q53" s="1749"/>
      <c r="R53" s="1749"/>
      <c r="S53" s="1749"/>
      <c r="T53" s="1750"/>
    </row>
    <row r="54" spans="1:20" ht="13.5" thickBot="1" x14ac:dyDescent="0.25">
      <c r="A54" s="231"/>
      <c r="B54" s="241"/>
      <c r="C54" s="242"/>
      <c r="D54" s="242"/>
      <c r="E54" s="242"/>
      <c r="F54" s="242" t="s">
        <v>117</v>
      </c>
      <c r="G54" s="1747"/>
      <c r="H54" s="1747"/>
      <c r="I54" s="1747"/>
      <c r="J54" s="242" t="s">
        <v>118</v>
      </c>
      <c r="K54" s="155"/>
      <c r="L54" s="261"/>
      <c r="M54" s="256"/>
      <c r="N54" s="257"/>
      <c r="O54" s="258"/>
      <c r="P54" s="227"/>
      <c r="Q54" s="227"/>
      <c r="R54" s="227"/>
      <c r="S54" s="227"/>
      <c r="T54" s="259"/>
    </row>
    <row r="55" spans="1:20" ht="14.25" thickTop="1" thickBot="1" x14ac:dyDescent="0.25">
      <c r="A55" s="247"/>
      <c r="B55" s="248"/>
      <c r="C55" s="248"/>
      <c r="D55" s="248"/>
      <c r="E55" s="248"/>
      <c r="F55" s="248"/>
      <c r="G55" s="248"/>
      <c r="H55" s="248"/>
      <c r="I55" s="248"/>
      <c r="J55" s="248"/>
      <c r="K55" s="248"/>
      <c r="L55" s="262"/>
      <c r="M55" s="248"/>
      <c r="N55" s="263"/>
      <c r="O55" s="247"/>
      <c r="P55" s="248"/>
      <c r="Q55" s="248"/>
      <c r="R55" s="248"/>
      <c r="S55" s="248"/>
      <c r="T55" s="263"/>
    </row>
    <row r="56" spans="1:20" ht="13.5" thickTop="1" x14ac:dyDescent="0.2"/>
  </sheetData>
  <sheetProtection password="CC14" sheet="1" objects="1" scenarios="1"/>
  <mergeCells count="43">
    <mergeCell ref="G54:I54"/>
    <mergeCell ref="F46:K46"/>
    <mergeCell ref="F47:K47"/>
    <mergeCell ref="G49:I49"/>
    <mergeCell ref="F51:K51"/>
    <mergeCell ref="F52:K52"/>
    <mergeCell ref="F37:K37"/>
    <mergeCell ref="G39:I39"/>
    <mergeCell ref="F41:K41"/>
    <mergeCell ref="F42:K42"/>
    <mergeCell ref="G44:I44"/>
    <mergeCell ref="O26:T28"/>
    <mergeCell ref="B2:J2"/>
    <mergeCell ref="O21:T23"/>
    <mergeCell ref="O16:T18"/>
    <mergeCell ref="O11:T13"/>
    <mergeCell ref="O4:T8"/>
    <mergeCell ref="O2:T2"/>
    <mergeCell ref="F4:K4"/>
    <mergeCell ref="F5:K5"/>
    <mergeCell ref="F16:K16"/>
    <mergeCell ref="F17:K17"/>
    <mergeCell ref="G19:I19"/>
    <mergeCell ref="G7:I7"/>
    <mergeCell ref="H9:I9"/>
    <mergeCell ref="F11:K11"/>
    <mergeCell ref="F12:K12"/>
    <mergeCell ref="O51:T53"/>
    <mergeCell ref="O46:T48"/>
    <mergeCell ref="O41:T43"/>
    <mergeCell ref="O36:T38"/>
    <mergeCell ref="O31:T33"/>
    <mergeCell ref="G14:I14"/>
    <mergeCell ref="F21:K21"/>
    <mergeCell ref="F22:K22"/>
    <mergeCell ref="G24:I24"/>
    <mergeCell ref="F26:K26"/>
    <mergeCell ref="F36:K36"/>
    <mergeCell ref="F27:K27"/>
    <mergeCell ref="G29:I29"/>
    <mergeCell ref="F31:K31"/>
    <mergeCell ref="F32:K32"/>
    <mergeCell ref="G34:I34"/>
  </mergeCells>
  <phoneticPr fontId="25" type="noConversion"/>
  <dataValidations count="2">
    <dataValidation type="whole" allowBlank="1" showInputMessage="1" showErrorMessage="1" errorTitle="Inproper Input" error="The number must be a phone number.  Be sure to include the area code." promptTitle="Input Information:" prompt="Please input the phone number.  Use all numbers (the computer will insert parenthesis and hyphens as appropriate)." sqref="K39:K40 K34 K44:K45 K49 K54 K14 K9 K7 K24 K29 K19">
      <formula1>1000000000</formula1>
      <formula2>9999999999</formula2>
    </dataValidation>
    <dataValidation type="list" allowBlank="1" showInputMessage="1" showErrorMessage="1" sqref="N51 N46 N41 N36 N31 N26 N21 N16 N11 N4">
      <formula1>$AJ$4:$AJ$5</formula1>
    </dataValidation>
  </dataValidations>
  <printOptions horizontalCentered="1"/>
  <pageMargins left="0.75" right="0.75" top="0.65" bottom="0.56999999999999995" header="0.5" footer="0.5"/>
  <pageSetup scale="64" orientation="landscape"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8080"/>
  </sheetPr>
  <dimension ref="A1:J30"/>
  <sheetViews>
    <sheetView zoomScaleNormal="100" workbookViewId="0">
      <selection activeCell="B16" sqref="B16:J16"/>
    </sheetView>
  </sheetViews>
  <sheetFormatPr defaultColWidth="9.140625" defaultRowHeight="12.75" x14ac:dyDescent="0.2"/>
  <cols>
    <col min="1" max="1" width="3.42578125" style="21" customWidth="1"/>
    <col min="2" max="9" width="9.140625" style="21"/>
    <col min="10" max="10" width="3.42578125" style="21" customWidth="1"/>
    <col min="11" max="16384" width="9.140625" style="21"/>
  </cols>
  <sheetData>
    <row r="1" spans="1:10" ht="13.5" x14ac:dyDescent="0.25">
      <c r="A1" s="270" t="s">
        <v>128</v>
      </c>
      <c r="B1" s="271"/>
      <c r="C1" s="271"/>
      <c r="D1" s="271"/>
      <c r="E1" s="271"/>
      <c r="F1" s="271"/>
      <c r="G1" s="1784">
        <f>+Cover!$H$7</f>
        <v>0</v>
      </c>
      <c r="H1" s="1785"/>
      <c r="I1" s="271"/>
      <c r="J1" s="272"/>
    </row>
    <row r="2" spans="1:10" x14ac:dyDescent="0.2">
      <c r="A2" s="1792" t="str">
        <f>+Cover!D7</f>
        <v>02142019.SA1</v>
      </c>
      <c r="B2" s="1793"/>
      <c r="C2" s="1793"/>
      <c r="D2" s="1793"/>
      <c r="E2" s="1793"/>
      <c r="F2" s="1793"/>
      <c r="G2" s="1793"/>
      <c r="H2" s="1793"/>
      <c r="I2" s="1793"/>
      <c r="J2" s="1794"/>
    </row>
    <row r="3" spans="1:10" ht="81.75" hidden="1" customHeight="1" x14ac:dyDescent="0.2">
      <c r="A3" s="1789"/>
      <c r="B3" s="1790"/>
      <c r="C3" s="1790"/>
      <c r="D3" s="1790"/>
      <c r="E3" s="1790"/>
      <c r="F3" s="1790"/>
      <c r="G3" s="1790"/>
      <c r="H3" s="1790"/>
      <c r="I3" s="1790"/>
      <c r="J3" s="1791"/>
    </row>
    <row r="4" spans="1:10" x14ac:dyDescent="0.2">
      <c r="A4" s="1786">
        <f>+Cover!E10</f>
        <v>0</v>
      </c>
      <c r="B4" s="1787"/>
      <c r="C4" s="1787"/>
      <c r="D4" s="1787"/>
      <c r="E4" s="1787"/>
      <c r="F4" s="1787"/>
      <c r="G4" s="1787"/>
      <c r="H4" s="1787"/>
      <c r="I4" s="1787"/>
      <c r="J4" s="1788"/>
    </row>
    <row r="5" spans="1:10" x14ac:dyDescent="0.2">
      <c r="A5" s="1770"/>
      <c r="B5" s="1771"/>
      <c r="C5" s="1771"/>
      <c r="D5" s="1771"/>
      <c r="E5" s="1771"/>
      <c r="F5" s="1771"/>
      <c r="G5" s="1771"/>
      <c r="H5" s="1771"/>
      <c r="I5" s="1771"/>
      <c r="J5" s="1772"/>
    </row>
    <row r="6" spans="1:10" x14ac:dyDescent="0.2">
      <c r="A6" s="273"/>
      <c r="B6" s="1795"/>
      <c r="C6" s="1796"/>
      <c r="D6" s="1796"/>
      <c r="E6" s="1796"/>
      <c r="F6" s="1796"/>
      <c r="G6" s="1796"/>
      <c r="H6" s="1796"/>
      <c r="I6" s="1796"/>
      <c r="J6" s="1797"/>
    </row>
    <row r="7" spans="1:10" x14ac:dyDescent="0.2">
      <c r="A7" s="273"/>
      <c r="B7" s="1767"/>
      <c r="C7" s="1768"/>
      <c r="D7" s="1768"/>
      <c r="E7" s="1768"/>
      <c r="F7" s="1768"/>
      <c r="G7" s="1768"/>
      <c r="H7" s="1768"/>
      <c r="I7" s="1768"/>
      <c r="J7" s="1769"/>
    </row>
    <row r="8" spans="1:10" ht="12.75" customHeight="1" x14ac:dyDescent="0.2">
      <c r="A8" s="273"/>
      <c r="B8" s="1773" t="s">
        <v>129</v>
      </c>
      <c r="C8" s="1774"/>
      <c r="D8" s="1774"/>
      <c r="E8" s="1774"/>
      <c r="F8" s="1774"/>
      <c r="G8" s="1775"/>
      <c r="H8" s="1739" t="str">
        <f>IF('Primary Input'!E7&lt;&gt;"","OK","Ineligible As Submitted")</f>
        <v>Ineligible As Submitted</v>
      </c>
      <c r="I8" s="1782"/>
      <c r="J8" s="1783"/>
    </row>
    <row r="9" spans="1:10" ht="12.75" customHeight="1" x14ac:dyDescent="0.2">
      <c r="A9" s="273"/>
      <c r="B9" s="1773" t="s">
        <v>130</v>
      </c>
      <c r="C9" s="1774"/>
      <c r="D9" s="1774"/>
      <c r="E9" s="1774"/>
      <c r="F9" s="1774"/>
      <c r="G9" s="1775"/>
      <c r="H9" s="1739" t="str">
        <f>IF('Primary Input'!E10&lt;&gt;"","OK","Ineligible As Submitted")</f>
        <v>Ineligible As Submitted</v>
      </c>
      <c r="I9" s="1782"/>
      <c r="J9" s="1783"/>
    </row>
    <row r="10" spans="1:10" ht="12.75" customHeight="1" x14ac:dyDescent="0.2">
      <c r="A10" s="273"/>
      <c r="B10" s="1779" t="s">
        <v>136</v>
      </c>
      <c r="C10" s="1780"/>
      <c r="D10" s="1780"/>
      <c r="E10" s="1780"/>
      <c r="F10" s="1780"/>
      <c r="G10" s="1781"/>
      <c r="H10" s="1739" t="e">
        <f>IF(#REF!&gt;1.15,"OK",IF(#REF!=0,"OK","Ineligible As Submitted"))</f>
        <v>#REF!</v>
      </c>
      <c r="I10" s="1782"/>
      <c r="J10" s="1783"/>
    </row>
    <row r="11" spans="1:10" ht="12.75" customHeight="1" x14ac:dyDescent="0.2">
      <c r="A11" s="273"/>
      <c r="B11" s="1779" t="s">
        <v>131</v>
      </c>
      <c r="C11" s="1780"/>
      <c r="D11" s="1780"/>
      <c r="E11" s="1780"/>
      <c r="F11" s="1780"/>
      <c r="G11" s="1781"/>
      <c r="H11" s="1739" t="str">
        <f>IF('Rehab or New Construction'!F77&lt;='Rehab or New Construction'!F76,"OK","Ineligible As Submitted")</f>
        <v>OK</v>
      </c>
      <c r="I11" s="1782"/>
      <c r="J11" s="1783"/>
    </row>
    <row r="12" spans="1:10" ht="12.75" customHeight="1" x14ac:dyDescent="0.2">
      <c r="A12" s="273"/>
      <c r="B12" s="1779" t="s">
        <v>132</v>
      </c>
      <c r="C12" s="1780"/>
      <c r="D12" s="1780"/>
      <c r="E12" s="1780"/>
      <c r="F12" s="1780"/>
      <c r="G12" s="1781"/>
      <c r="H12" s="1739" t="str">
        <f>IF('Rehab or New Construction'!F75&lt;='Rehab or New Construction'!F74,"OK","Ineligible As Submitted")</f>
        <v>OK</v>
      </c>
      <c r="I12" s="1782"/>
      <c r="J12" s="1783"/>
    </row>
    <row r="13" spans="1:10" ht="12.75" customHeight="1" x14ac:dyDescent="0.2">
      <c r="A13" s="273"/>
      <c r="B13" s="1779" t="s">
        <v>133</v>
      </c>
      <c r="C13" s="1780"/>
      <c r="D13" s="1780"/>
      <c r="E13" s="1780"/>
      <c r="F13" s="1780"/>
      <c r="G13" s="1781"/>
      <c r="H13" s="1739" t="str">
        <f>IF('Rehab or New Construction'!F73&lt;='Rehab or New Construction'!F72,"OK","Ineligible As Submitted")</f>
        <v>OK</v>
      </c>
      <c r="I13" s="1782"/>
      <c r="J13" s="1783"/>
    </row>
    <row r="14" spans="1:10" ht="12.75" customHeight="1" x14ac:dyDescent="0.2">
      <c r="A14" s="273"/>
      <c r="B14" s="1779" t="s">
        <v>134</v>
      </c>
      <c r="C14" s="1780"/>
      <c r="D14" s="1780"/>
      <c r="E14" s="1780"/>
      <c r="F14" s="1780"/>
      <c r="G14" s="1781"/>
      <c r="H14" s="1739" t="str">
        <f>IF('Rehab or New Construction'!F71&lt;='Rehab or New Construction'!F70,"OK","Ineligible As Submitted")</f>
        <v>OK</v>
      </c>
      <c r="I14" s="1782"/>
      <c r="J14" s="1783"/>
    </row>
    <row r="15" spans="1:10" x14ac:dyDescent="0.2">
      <c r="A15" s="273"/>
      <c r="B15" s="1779" t="s">
        <v>135</v>
      </c>
      <c r="C15" s="1780"/>
      <c r="D15" s="1780"/>
      <c r="E15" s="1780"/>
      <c r="F15" s="1780"/>
      <c r="G15" s="1781"/>
      <c r="H15" s="1739" t="str">
        <f>IF('Sources and Uses'!F24='Sources and Uses'!F48,"OK","Ineligible As Submitted")</f>
        <v>OK</v>
      </c>
      <c r="I15" s="1782"/>
      <c r="J15" s="1783"/>
    </row>
    <row r="16" spans="1:10" x14ac:dyDescent="0.2">
      <c r="A16" s="273"/>
      <c r="B16" s="1767"/>
      <c r="C16" s="1768"/>
      <c r="D16" s="1768"/>
      <c r="E16" s="1768"/>
      <c r="F16" s="1768"/>
      <c r="G16" s="1768"/>
      <c r="H16" s="1768"/>
      <c r="I16" s="1768"/>
      <c r="J16" s="1769"/>
    </row>
    <row r="17" spans="1:10" x14ac:dyDescent="0.2">
      <c r="A17" s="273"/>
      <c r="B17" s="1776"/>
      <c r="C17" s="1777"/>
      <c r="D17" s="1777"/>
      <c r="E17" s="1777"/>
      <c r="F17" s="1777"/>
      <c r="G17" s="1777"/>
      <c r="H17" s="1777"/>
      <c r="I17" s="1777"/>
      <c r="J17" s="1778"/>
    </row>
    <row r="18" spans="1:10" x14ac:dyDescent="0.2">
      <c r="A18" s="273"/>
      <c r="B18" s="1767"/>
      <c r="C18" s="1768"/>
      <c r="D18" s="1768"/>
      <c r="E18" s="1768"/>
      <c r="F18" s="1768"/>
      <c r="G18" s="1768"/>
      <c r="H18" s="1768"/>
      <c r="I18" s="1768"/>
      <c r="J18" s="1769"/>
    </row>
    <row r="19" spans="1:10" x14ac:dyDescent="0.2">
      <c r="A19" s="273"/>
      <c r="B19" s="1767"/>
      <c r="C19" s="1768"/>
      <c r="D19" s="1768"/>
      <c r="E19" s="1768"/>
      <c r="F19" s="1768"/>
      <c r="G19" s="1768"/>
      <c r="H19" s="1768"/>
      <c r="I19" s="1768"/>
      <c r="J19" s="1769"/>
    </row>
    <row r="20" spans="1:10" x14ac:dyDescent="0.2">
      <c r="A20" s="273"/>
      <c r="B20" s="1767"/>
      <c r="C20" s="1768"/>
      <c r="D20" s="1768"/>
      <c r="E20" s="1768"/>
      <c r="F20" s="1768"/>
      <c r="G20" s="1768"/>
      <c r="H20" s="1768"/>
      <c r="I20" s="1768"/>
      <c r="J20" s="1769"/>
    </row>
    <row r="21" spans="1:10" x14ac:dyDescent="0.2">
      <c r="A21" s="273"/>
      <c r="B21" s="1767"/>
      <c r="C21" s="1768"/>
      <c r="D21" s="1768"/>
      <c r="E21" s="1768"/>
      <c r="F21" s="1768"/>
      <c r="G21" s="1768"/>
      <c r="H21" s="1768"/>
      <c r="I21" s="1768"/>
      <c r="J21" s="1769"/>
    </row>
    <row r="22" spans="1:10" x14ac:dyDescent="0.2">
      <c r="A22" s="273"/>
      <c r="B22" s="1767"/>
      <c r="C22" s="1768"/>
      <c r="D22" s="1768"/>
      <c r="E22" s="1768"/>
      <c r="F22" s="1768"/>
      <c r="G22" s="1768"/>
      <c r="H22" s="1768"/>
      <c r="I22" s="1768"/>
      <c r="J22" s="1769"/>
    </row>
    <row r="23" spans="1:10" x14ac:dyDescent="0.2">
      <c r="A23" s="273"/>
      <c r="B23" s="1767"/>
      <c r="C23" s="1768"/>
      <c r="D23" s="1768"/>
      <c r="E23" s="1768"/>
      <c r="F23" s="1768"/>
      <c r="G23" s="1768"/>
      <c r="H23" s="1768"/>
      <c r="I23" s="1768"/>
      <c r="J23" s="1769"/>
    </row>
    <row r="24" spans="1:10" x14ac:dyDescent="0.2">
      <c r="A24" s="273"/>
      <c r="B24" s="1767"/>
      <c r="C24" s="1768"/>
      <c r="D24" s="1768"/>
      <c r="E24" s="1768"/>
      <c r="F24" s="1768"/>
      <c r="G24" s="1768"/>
      <c r="H24" s="1768"/>
      <c r="I24" s="1768"/>
      <c r="J24" s="1769"/>
    </row>
    <row r="25" spans="1:10" x14ac:dyDescent="0.2">
      <c r="A25" s="273"/>
      <c r="B25" s="1767"/>
      <c r="C25" s="1768"/>
      <c r="D25" s="1768"/>
      <c r="E25" s="1768"/>
      <c r="F25" s="1768"/>
      <c r="G25" s="1768"/>
      <c r="H25" s="1768"/>
      <c r="I25" s="1768"/>
      <c r="J25" s="1769"/>
    </row>
    <row r="26" spans="1:10" x14ac:dyDescent="0.2">
      <c r="A26" s="273"/>
      <c r="B26" s="1767"/>
      <c r="C26" s="1768"/>
      <c r="D26" s="1768"/>
      <c r="E26" s="1768"/>
      <c r="F26" s="1768"/>
      <c r="G26" s="1768"/>
      <c r="H26" s="1768"/>
      <c r="I26" s="1768"/>
      <c r="J26" s="1769"/>
    </row>
    <row r="27" spans="1:10" x14ac:dyDescent="0.2">
      <c r="A27" s="273"/>
      <c r="B27" s="1767"/>
      <c r="C27" s="1768"/>
      <c r="D27" s="1768"/>
      <c r="E27" s="1768"/>
      <c r="F27" s="1768"/>
      <c r="G27" s="1768"/>
      <c r="H27" s="1768"/>
      <c r="I27" s="1768"/>
      <c r="J27" s="1769"/>
    </row>
    <row r="28" spans="1:10" x14ac:dyDescent="0.2">
      <c r="A28" s="273"/>
      <c r="B28" s="1767"/>
      <c r="C28" s="1768"/>
      <c r="D28" s="1768"/>
      <c r="E28" s="1768"/>
      <c r="F28" s="1768"/>
      <c r="G28" s="1768"/>
      <c r="H28" s="1768"/>
      <c r="I28" s="1768"/>
      <c r="J28" s="1769"/>
    </row>
    <row r="29" spans="1:10" x14ac:dyDescent="0.2">
      <c r="A29" s="273"/>
      <c r="B29" s="1767"/>
      <c r="C29" s="1768"/>
      <c r="D29" s="1768"/>
      <c r="E29" s="1768"/>
      <c r="F29" s="1768"/>
      <c r="G29" s="1768"/>
      <c r="H29" s="1768"/>
      <c r="I29" s="1768"/>
      <c r="J29" s="1769"/>
    </row>
    <row r="30" spans="1:10" x14ac:dyDescent="0.2">
      <c r="A30" s="273"/>
      <c r="B30" s="1767"/>
      <c r="C30" s="1768"/>
      <c r="D30" s="1768"/>
      <c r="E30" s="1768"/>
      <c r="F30" s="1768"/>
      <c r="G30" s="1768"/>
      <c r="H30" s="1768"/>
      <c r="I30" s="1768"/>
      <c r="J30" s="1769"/>
    </row>
  </sheetData>
  <sheetProtection password="CC14" sheet="1" objects="1" scenarios="1"/>
  <mergeCells count="38">
    <mergeCell ref="H13:J13"/>
    <mergeCell ref="H14:J14"/>
    <mergeCell ref="G1:H1"/>
    <mergeCell ref="A4:J4"/>
    <mergeCell ref="H11:J11"/>
    <mergeCell ref="B11:G11"/>
    <mergeCell ref="B12:G12"/>
    <mergeCell ref="A3:J3"/>
    <mergeCell ref="H12:J12"/>
    <mergeCell ref="H8:J8"/>
    <mergeCell ref="H9:J9"/>
    <mergeCell ref="H10:J10"/>
    <mergeCell ref="A2:J2"/>
    <mergeCell ref="B6:J6"/>
    <mergeCell ref="B10:G10"/>
    <mergeCell ref="B21:J21"/>
    <mergeCell ref="B28:J28"/>
    <mergeCell ref="B29:J29"/>
    <mergeCell ref="A5:J5"/>
    <mergeCell ref="B7:J7"/>
    <mergeCell ref="B8:G8"/>
    <mergeCell ref="B9:G9"/>
    <mergeCell ref="B16:J16"/>
    <mergeCell ref="B17:J17"/>
    <mergeCell ref="B15:G15"/>
    <mergeCell ref="B18:J18"/>
    <mergeCell ref="B19:J19"/>
    <mergeCell ref="B20:J20"/>
    <mergeCell ref="H15:J15"/>
    <mergeCell ref="B14:G14"/>
    <mergeCell ref="B13:G13"/>
    <mergeCell ref="B30:J30"/>
    <mergeCell ref="B22:J22"/>
    <mergeCell ref="B23:J23"/>
    <mergeCell ref="B24:J24"/>
    <mergeCell ref="B25:J25"/>
    <mergeCell ref="B26:J26"/>
    <mergeCell ref="B27:J27"/>
  </mergeCells>
  <phoneticPr fontId="0" type="noConversion"/>
  <printOptions horizontalCentered="1"/>
  <pageMargins left="0.75" right="0.75" top="1" bottom="1" header="0.5" footer="0.5"/>
  <pageSetup orientation="portrait" r:id="rId1"/>
  <headerFooter alignWithMargins="0">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pageSetUpPr fitToPage="1"/>
  </sheetPr>
  <dimension ref="A1:BD69"/>
  <sheetViews>
    <sheetView topLeftCell="A13" zoomScaleNormal="100" workbookViewId="0">
      <selection activeCell="C3" sqref="C3"/>
    </sheetView>
  </sheetViews>
  <sheetFormatPr defaultColWidth="9.140625" defaultRowHeight="12" x14ac:dyDescent="0.2"/>
  <cols>
    <col min="1" max="1" width="3.7109375" style="4" customWidth="1"/>
    <col min="2" max="2" width="9.140625" style="4"/>
    <col min="3" max="8" width="8.7109375" style="4" customWidth="1"/>
    <col min="9" max="10" width="12" style="4" customWidth="1"/>
    <col min="11" max="12" width="8.7109375" style="4" customWidth="1"/>
    <col min="13" max="13" width="11.28515625" style="4" customWidth="1"/>
    <col min="14" max="14" width="4" style="4" customWidth="1"/>
    <col min="15" max="16" width="0" style="4" hidden="1" customWidth="1"/>
    <col min="17" max="19" width="9.140625" style="4"/>
    <col min="20" max="22" width="10.140625" style="4" customWidth="1"/>
    <col min="23" max="23" width="9.140625" style="4"/>
    <col min="24" max="24" width="4.7109375" style="4" customWidth="1"/>
    <col min="25" max="27" width="9.140625" style="4"/>
    <col min="28" max="28" width="16" style="4" customWidth="1"/>
    <col min="29" max="29" width="16.28515625" style="4" customWidth="1"/>
    <col min="30" max="30" width="18" style="4" customWidth="1"/>
    <col min="31" max="16384" width="9.140625" style="4"/>
  </cols>
  <sheetData>
    <row r="1" spans="1:56" ht="14.25" customHeight="1" thickTop="1" thickBot="1" x14ac:dyDescent="0.25">
      <c r="A1" s="548" t="s">
        <v>175</v>
      </c>
      <c r="B1" s="549"/>
      <c r="C1" s="549"/>
      <c r="D1" s="1857" t="str">
        <f>+Cover!D7</f>
        <v>02142019.SA1</v>
      </c>
      <c r="E1" s="1857"/>
      <c r="F1" s="549"/>
      <c r="G1" s="1809">
        <f>+Cover!E10</f>
        <v>0</v>
      </c>
      <c r="H1" s="1809"/>
      <c r="I1" s="1809"/>
      <c r="J1" s="1809"/>
      <c r="K1" s="1809"/>
      <c r="L1" s="549"/>
      <c r="M1" s="549"/>
      <c r="N1" s="549"/>
      <c r="O1" s="549"/>
      <c r="P1" s="549"/>
      <c r="Q1" s="549"/>
      <c r="R1" s="550" t="s">
        <v>630</v>
      </c>
      <c r="S1" s="549"/>
      <c r="T1" s="549"/>
      <c r="U1" s="549"/>
      <c r="V1" s="549"/>
      <c r="W1" s="549"/>
      <c r="X1" s="549"/>
      <c r="Y1" s="549"/>
      <c r="Z1" s="549"/>
      <c r="AA1" s="549"/>
      <c r="AB1" s="549"/>
      <c r="AC1" s="549"/>
      <c r="AD1" s="551"/>
    </row>
    <row r="2" spans="1:56" ht="48" customHeight="1" thickTop="1" thickBot="1" x14ac:dyDescent="0.25">
      <c r="A2" s="552"/>
      <c r="B2" s="553" t="s">
        <v>137</v>
      </c>
      <c r="C2" s="554" t="s">
        <v>138</v>
      </c>
      <c r="D2" s="554" t="s">
        <v>139</v>
      </c>
      <c r="E2" s="555" t="s">
        <v>463</v>
      </c>
      <c r="F2" s="555" t="s">
        <v>462</v>
      </c>
      <c r="G2" s="1798" t="s">
        <v>140</v>
      </c>
      <c r="H2" s="1799"/>
      <c r="I2" s="1009" t="s">
        <v>631</v>
      </c>
      <c r="J2" s="560" t="s">
        <v>1679</v>
      </c>
      <c r="K2" s="557" t="s">
        <v>141</v>
      </c>
      <c r="L2" s="1798" t="s">
        <v>142</v>
      </c>
      <c r="M2" s="1802"/>
      <c r="N2" s="206"/>
      <c r="O2" s="206"/>
      <c r="P2" s="206"/>
      <c r="Q2" s="206"/>
      <c r="R2" s="554" t="s">
        <v>137</v>
      </c>
      <c r="S2" s="554" t="s">
        <v>138</v>
      </c>
      <c r="T2" s="554" t="s">
        <v>713</v>
      </c>
      <c r="U2" s="554" t="s">
        <v>714</v>
      </c>
      <c r="V2" s="1047" t="s">
        <v>1682</v>
      </c>
      <c r="W2" s="1798" t="s">
        <v>140</v>
      </c>
      <c r="X2" s="1799"/>
      <c r="Y2" s="556" t="s">
        <v>716</v>
      </c>
      <c r="Z2" s="559" t="s">
        <v>717</v>
      </c>
      <c r="AA2" s="559" t="s">
        <v>1681</v>
      </c>
      <c r="AB2" s="560" t="s">
        <v>1555</v>
      </c>
      <c r="AC2" s="1045" t="s">
        <v>1554</v>
      </c>
      <c r="AD2" s="1046" t="s">
        <v>1680</v>
      </c>
      <c r="BC2" s="562" t="s">
        <v>715</v>
      </c>
    </row>
    <row r="3" spans="1:56" ht="12.75" thickTop="1" x14ac:dyDescent="0.2">
      <c r="A3" s="552"/>
      <c r="B3" s="468" t="s">
        <v>143</v>
      </c>
      <c r="C3" s="563"/>
      <c r="D3" s="564"/>
      <c r="E3" s="753">
        <f>+'Primary Input'!E71:G71</f>
        <v>0</v>
      </c>
      <c r="F3" s="564"/>
      <c r="G3" s="1803">
        <f>+C48</f>
        <v>0</v>
      </c>
      <c r="H3" s="1804"/>
      <c r="I3" s="1030" t="e">
        <f>+('2018 Rents'!F73)-('Rental Income'!G3)</f>
        <v>#N/A</v>
      </c>
      <c r="J3" s="1043" t="e">
        <f>+'2018 Rents'!F77-G3</f>
        <v>#N/A</v>
      </c>
      <c r="K3" s="1041">
        <f t="shared" ref="K3:K9" si="0">IF(M15=0,0,+M27/M15)</f>
        <v>0</v>
      </c>
      <c r="L3" s="1803">
        <f t="shared" ref="L3:L9" si="1">+K3*E3</f>
        <v>0</v>
      </c>
      <c r="M3" s="1804"/>
      <c r="N3" s="566" t="str">
        <f t="shared" ref="N3:N9" si="2">IF(F3&gt;E3,"!","")</f>
        <v/>
      </c>
      <c r="O3" s="206"/>
      <c r="P3" s="206"/>
      <c r="Q3" s="206"/>
      <c r="R3" s="117" t="s">
        <v>143</v>
      </c>
      <c r="S3" s="760">
        <f t="shared" ref="S3:S8" si="3">+C3</f>
        <v>0</v>
      </c>
      <c r="T3" s="567"/>
      <c r="U3" s="567"/>
      <c r="V3" s="567"/>
      <c r="W3" s="1807">
        <f t="shared" ref="W3:W8" si="4">+G3</f>
        <v>0</v>
      </c>
      <c r="X3" s="1808"/>
      <c r="Y3" s="762">
        <f t="shared" ref="Y3:Y8" si="5">+T3+W3</f>
        <v>0</v>
      </c>
      <c r="Z3" s="763">
        <f t="shared" ref="Z3:Z8" si="6">+U3+W3</f>
        <v>0</v>
      </c>
      <c r="AA3" s="1044">
        <f t="shared" ref="AA3:AA8" si="7">+V3+W3</f>
        <v>0</v>
      </c>
      <c r="AB3" s="764" t="e">
        <f>+IF(Z3&lt;='2018 Rents'!F72, "Yes", "No")</f>
        <v>#N/A</v>
      </c>
      <c r="AC3" s="765" t="e">
        <f>IF(Y3&lt;=I3+G3,"Yes", "No")</f>
        <v>#N/A</v>
      </c>
      <c r="AD3" s="1048" t="e">
        <f>IF(AA3&lt;=J3+G3,"Yes","No")</f>
        <v>#N/A</v>
      </c>
      <c r="BB3" s="4">
        <v>0</v>
      </c>
      <c r="BC3" s="565" t="e">
        <f>+'2018 Rents'!F72-'Rental Income'!C48</f>
        <v>#N/A</v>
      </c>
      <c r="BD3" s="524"/>
    </row>
    <row r="4" spans="1:56" x14ac:dyDescent="0.2">
      <c r="A4" s="552"/>
      <c r="B4" s="469" t="s">
        <v>144</v>
      </c>
      <c r="C4" s="568"/>
      <c r="D4" s="569"/>
      <c r="E4" s="754">
        <f>+'Primary Input'!E72:G72</f>
        <v>0</v>
      </c>
      <c r="F4" s="569"/>
      <c r="G4" s="1800">
        <f>+D48</f>
        <v>0</v>
      </c>
      <c r="H4" s="1801"/>
      <c r="I4" s="1030" t="e">
        <f>+'2018 Rents'!G73-'Rental Income'!G4</f>
        <v>#N/A</v>
      </c>
      <c r="J4" s="1043" t="e">
        <f>+'2018 Rents'!G77-G4</f>
        <v>#N/A</v>
      </c>
      <c r="K4" s="1041">
        <f t="shared" si="0"/>
        <v>0</v>
      </c>
      <c r="L4" s="1800">
        <f t="shared" si="1"/>
        <v>0</v>
      </c>
      <c r="M4" s="1801"/>
      <c r="N4" s="566" t="str">
        <f t="shared" si="2"/>
        <v/>
      </c>
      <c r="O4" s="206"/>
      <c r="P4" s="206"/>
      <c r="Q4" s="206"/>
      <c r="R4" s="119" t="s">
        <v>144</v>
      </c>
      <c r="S4" s="760">
        <f t="shared" si="3"/>
        <v>0</v>
      </c>
      <c r="T4" s="570"/>
      <c r="U4" s="570"/>
      <c r="V4" s="570"/>
      <c r="W4" s="1805">
        <f t="shared" si="4"/>
        <v>0</v>
      </c>
      <c r="X4" s="1806"/>
      <c r="Y4" s="766">
        <f t="shared" si="5"/>
        <v>0</v>
      </c>
      <c r="Z4" s="763">
        <f t="shared" si="6"/>
        <v>0</v>
      </c>
      <c r="AA4" s="1044">
        <f t="shared" si="7"/>
        <v>0</v>
      </c>
      <c r="AB4" s="764" t="e">
        <f>+IF(Z4&lt;='2018 Rents'!G72, "Yes", "No")</f>
        <v>#N/A</v>
      </c>
      <c r="AC4" s="765" t="e">
        <f>IF(Y4&lt;=I4+G4,"Yes", "No")</f>
        <v>#N/A</v>
      </c>
      <c r="AD4" s="1048" t="e">
        <f t="shared" ref="AD4:AD8" si="8">IF(AA4&lt;=J4+G4,"Yes","No")</f>
        <v>#N/A</v>
      </c>
      <c r="BB4" s="4">
        <v>1</v>
      </c>
      <c r="BC4" s="565" t="e">
        <f>+'2018 Rents'!G72-'Rental Income'!D48</f>
        <v>#N/A</v>
      </c>
    </row>
    <row r="5" spans="1:56" x14ac:dyDescent="0.2">
      <c r="A5" s="552"/>
      <c r="B5" s="469" t="s">
        <v>145</v>
      </c>
      <c r="C5" s="568"/>
      <c r="D5" s="569"/>
      <c r="E5" s="754">
        <f>+'Primary Input'!E73:G73</f>
        <v>0</v>
      </c>
      <c r="F5" s="569"/>
      <c r="G5" s="1800">
        <f>+E48</f>
        <v>0</v>
      </c>
      <c r="H5" s="1801"/>
      <c r="I5" s="1030" t="e">
        <f>+'2018 Rents'!H73-'Rental Income'!G5</f>
        <v>#N/A</v>
      </c>
      <c r="J5" s="1043" t="e">
        <f>+'2018 Rents'!H77-G5</f>
        <v>#N/A</v>
      </c>
      <c r="K5" s="1041">
        <f t="shared" si="0"/>
        <v>0</v>
      </c>
      <c r="L5" s="1800">
        <f t="shared" si="1"/>
        <v>0</v>
      </c>
      <c r="M5" s="1801"/>
      <c r="N5" s="566" t="str">
        <f t="shared" si="2"/>
        <v/>
      </c>
      <c r="O5" s="206"/>
      <c r="P5" s="206"/>
      <c r="Q5" s="206"/>
      <c r="R5" s="119" t="s">
        <v>145</v>
      </c>
      <c r="S5" s="760">
        <v>1</v>
      </c>
      <c r="T5" s="570"/>
      <c r="U5" s="570"/>
      <c r="V5" s="570"/>
      <c r="W5" s="1805">
        <f t="shared" si="4"/>
        <v>0</v>
      </c>
      <c r="X5" s="1806"/>
      <c r="Y5" s="766">
        <f t="shared" si="5"/>
        <v>0</v>
      </c>
      <c r="Z5" s="763">
        <f t="shared" si="6"/>
        <v>0</v>
      </c>
      <c r="AA5" s="1044">
        <f t="shared" si="7"/>
        <v>0</v>
      </c>
      <c r="AB5" s="764" t="e">
        <f>+IF(Z5&lt;='2018 Rents'!H72, "Yes", "No")</f>
        <v>#N/A</v>
      </c>
      <c r="AC5" s="765" t="e">
        <f>IF(Y5&lt;=I5+G5,"Yes", "No")</f>
        <v>#N/A</v>
      </c>
      <c r="AD5" s="1048" t="e">
        <f t="shared" si="8"/>
        <v>#N/A</v>
      </c>
      <c r="BB5" s="4">
        <v>2</v>
      </c>
      <c r="BC5" s="565" t="e">
        <f>+'2018 Rents'!H72-'Rental Income'!E48</f>
        <v>#N/A</v>
      </c>
    </row>
    <row r="6" spans="1:56" x14ac:dyDescent="0.2">
      <c r="A6" s="552"/>
      <c r="B6" s="469" t="s">
        <v>146</v>
      </c>
      <c r="C6" s="568"/>
      <c r="D6" s="569"/>
      <c r="E6" s="754">
        <f>+'Primary Input'!E74:G74</f>
        <v>0</v>
      </c>
      <c r="F6" s="569"/>
      <c r="G6" s="1800">
        <f>+F48</f>
        <v>0</v>
      </c>
      <c r="H6" s="1801"/>
      <c r="I6" s="1030" t="e">
        <f>+'2018 Rents'!I73-'Rental Income'!G6</f>
        <v>#N/A</v>
      </c>
      <c r="J6" s="1043" t="e">
        <f>+'2018 Rents'!I77-G6</f>
        <v>#N/A</v>
      </c>
      <c r="K6" s="1041">
        <f t="shared" si="0"/>
        <v>0</v>
      </c>
      <c r="L6" s="1800">
        <f t="shared" si="1"/>
        <v>0</v>
      </c>
      <c r="M6" s="1801"/>
      <c r="N6" s="566" t="str">
        <f t="shared" si="2"/>
        <v/>
      </c>
      <c r="O6" s="206"/>
      <c r="P6" s="206"/>
      <c r="Q6" s="206"/>
      <c r="R6" s="119" t="s">
        <v>146</v>
      </c>
      <c r="S6" s="760">
        <f t="shared" si="3"/>
        <v>0</v>
      </c>
      <c r="T6" s="570"/>
      <c r="U6" s="570"/>
      <c r="V6" s="570"/>
      <c r="W6" s="1805">
        <f t="shared" si="4"/>
        <v>0</v>
      </c>
      <c r="X6" s="1806"/>
      <c r="Y6" s="766">
        <f t="shared" si="5"/>
        <v>0</v>
      </c>
      <c r="Z6" s="763">
        <f t="shared" si="6"/>
        <v>0</v>
      </c>
      <c r="AA6" s="1044">
        <f t="shared" si="7"/>
        <v>0</v>
      </c>
      <c r="AB6" s="764" t="e">
        <f>+IF(Z6&lt;='2018 Rents'!I72, "Yes", "No")</f>
        <v>#N/A</v>
      </c>
      <c r="AC6" s="765" t="e">
        <f>IF(Y6&lt;=I6+G6,"Yes", "No")</f>
        <v>#N/A</v>
      </c>
      <c r="AD6" s="1048" t="e">
        <f t="shared" si="8"/>
        <v>#N/A</v>
      </c>
      <c r="BB6" s="4">
        <v>3</v>
      </c>
      <c r="BC6" s="565" t="e">
        <f>+'2018 Rents'!I72-'Rental Income'!F48</f>
        <v>#N/A</v>
      </c>
    </row>
    <row r="7" spans="1:56" x14ac:dyDescent="0.2">
      <c r="A7" s="552"/>
      <c r="B7" s="469" t="s">
        <v>147</v>
      </c>
      <c r="C7" s="568"/>
      <c r="D7" s="569"/>
      <c r="E7" s="754">
        <f>+'Primary Input'!E75:G75</f>
        <v>0</v>
      </c>
      <c r="F7" s="569"/>
      <c r="G7" s="1800">
        <f>+G48</f>
        <v>0</v>
      </c>
      <c r="H7" s="1801"/>
      <c r="I7" s="1030" t="e">
        <f>+'2018 Rents'!J73-'Rental Income'!G7</f>
        <v>#N/A</v>
      </c>
      <c r="J7" s="1043" t="e">
        <f>+'2018 Rents'!J77-G7</f>
        <v>#N/A</v>
      </c>
      <c r="K7" s="1041">
        <f t="shared" si="0"/>
        <v>0</v>
      </c>
      <c r="L7" s="1800">
        <f t="shared" si="1"/>
        <v>0</v>
      </c>
      <c r="M7" s="1801"/>
      <c r="N7" s="566" t="str">
        <f t="shared" si="2"/>
        <v/>
      </c>
      <c r="O7" s="206"/>
      <c r="P7" s="206"/>
      <c r="Q7" s="206"/>
      <c r="R7" s="119" t="s">
        <v>147</v>
      </c>
      <c r="S7" s="760">
        <f t="shared" si="3"/>
        <v>0</v>
      </c>
      <c r="T7" s="570"/>
      <c r="U7" s="570"/>
      <c r="V7" s="570"/>
      <c r="W7" s="1805">
        <f t="shared" si="4"/>
        <v>0</v>
      </c>
      <c r="X7" s="1806"/>
      <c r="Y7" s="766">
        <f t="shared" si="5"/>
        <v>0</v>
      </c>
      <c r="Z7" s="763">
        <f t="shared" si="6"/>
        <v>0</v>
      </c>
      <c r="AA7" s="1044">
        <f t="shared" si="7"/>
        <v>0</v>
      </c>
      <c r="AB7" s="764" t="e">
        <f>+IF(Z7&lt;='2018 Rents'!J72, "Yes", "No")</f>
        <v>#N/A</v>
      </c>
      <c r="AC7" s="765" t="e">
        <f>IF(Y7&lt;=I7+G7,"Yes", "No")</f>
        <v>#N/A</v>
      </c>
      <c r="AD7" s="1048" t="e">
        <f t="shared" si="8"/>
        <v>#N/A</v>
      </c>
      <c r="BB7" s="4">
        <v>4</v>
      </c>
      <c r="BC7" s="565" t="e">
        <f>+'2018 Rents'!J72-'Rental Income'!G48</f>
        <v>#N/A</v>
      </c>
    </row>
    <row r="8" spans="1:56" ht="12.75" thickBot="1" x14ac:dyDescent="0.25">
      <c r="A8" s="552"/>
      <c r="B8" s="121" t="s">
        <v>39</v>
      </c>
      <c r="C8" s="568"/>
      <c r="D8" s="569"/>
      <c r="E8" s="754">
        <f>+'Primary Input'!E76:G76</f>
        <v>0</v>
      </c>
      <c r="F8" s="569"/>
      <c r="G8" s="1800">
        <f>+H48</f>
        <v>0</v>
      </c>
      <c r="H8" s="1801"/>
      <c r="I8" s="1039"/>
      <c r="J8" s="756" t="e">
        <f>+'2018 Rents'!K77-G8</f>
        <v>#N/A</v>
      </c>
      <c r="K8" s="1041">
        <f t="shared" si="0"/>
        <v>0</v>
      </c>
      <c r="L8" s="1800">
        <f t="shared" si="1"/>
        <v>0</v>
      </c>
      <c r="M8" s="1801"/>
      <c r="N8" s="566" t="str">
        <f t="shared" si="2"/>
        <v/>
      </c>
      <c r="O8" s="206"/>
      <c r="P8" s="206"/>
      <c r="Q8" s="206"/>
      <c r="R8" s="120" t="s">
        <v>148</v>
      </c>
      <c r="S8" s="761">
        <f t="shared" si="3"/>
        <v>0</v>
      </c>
      <c r="T8" s="571"/>
      <c r="U8" s="571"/>
      <c r="V8" s="571"/>
      <c r="W8" s="1858">
        <f t="shared" si="4"/>
        <v>0</v>
      </c>
      <c r="X8" s="1859"/>
      <c r="Y8" s="767">
        <f t="shared" si="5"/>
        <v>0</v>
      </c>
      <c r="Z8" s="763">
        <f t="shared" si="6"/>
        <v>0</v>
      </c>
      <c r="AA8" s="1044">
        <f t="shared" si="7"/>
        <v>0</v>
      </c>
      <c r="AB8" s="764" t="e">
        <f>+IF(Z8&lt;='2018 Rents'!K72, "Yes", "No")</f>
        <v>#N/A</v>
      </c>
      <c r="AC8" s="765" t="str">
        <f>IF(Y8&lt;=I8,"Yes", "No")</f>
        <v>Yes</v>
      </c>
      <c r="AD8" s="1048" t="e">
        <f t="shared" si="8"/>
        <v>#N/A</v>
      </c>
    </row>
    <row r="9" spans="1:56" ht="12.75" thickTop="1" x14ac:dyDescent="0.2">
      <c r="A9" s="552"/>
      <c r="B9" s="121" t="s">
        <v>39</v>
      </c>
      <c r="C9" s="568"/>
      <c r="D9" s="569"/>
      <c r="E9" s="754">
        <f>+'Primary Input'!E77:G77</f>
        <v>0</v>
      </c>
      <c r="F9" s="569"/>
      <c r="G9" s="1851">
        <v>0</v>
      </c>
      <c r="H9" s="1852"/>
      <c r="I9" s="1039"/>
      <c r="J9" s="756" t="e">
        <f>+'2018 Rents'!L77-G9</f>
        <v>#N/A</v>
      </c>
      <c r="K9" s="1041">
        <f t="shared" si="0"/>
        <v>0</v>
      </c>
      <c r="L9" s="1800">
        <f t="shared" si="1"/>
        <v>0</v>
      </c>
      <c r="M9" s="1801"/>
      <c r="N9" s="566" t="str">
        <f t="shared" si="2"/>
        <v/>
      </c>
      <c r="O9" s="206"/>
      <c r="P9" s="206"/>
      <c r="Q9" s="206"/>
      <c r="R9" s="206"/>
      <c r="S9" s="206"/>
      <c r="T9" s="206"/>
      <c r="U9" s="206"/>
      <c r="V9" s="206"/>
      <c r="W9" s="206"/>
      <c r="X9" s="206"/>
      <c r="Y9" s="206"/>
      <c r="Z9" s="206"/>
      <c r="AA9" s="206"/>
      <c r="AB9" s="206"/>
      <c r="AC9" s="206"/>
      <c r="AD9" s="561"/>
    </row>
    <row r="10" spans="1:56" x14ac:dyDescent="0.2">
      <c r="A10" s="552"/>
      <c r="B10" s="122" t="s">
        <v>64</v>
      </c>
      <c r="C10" s="572"/>
      <c r="D10" s="573"/>
      <c r="E10" s="755">
        <f>SUM(E3:E9)</f>
        <v>0</v>
      </c>
      <c r="F10" s="574">
        <f>SUM(F3:F9)</f>
        <v>0</v>
      </c>
      <c r="G10" s="1853"/>
      <c r="H10" s="1854"/>
      <c r="I10" s="1040" t="e">
        <f>SUMPRODUCT($E3:$E9,I3:I9)</f>
        <v>#N/A</v>
      </c>
      <c r="J10" s="575"/>
      <c r="K10" s="1042">
        <f>SUMPRODUCT($E3:$E9,K3:K9)</f>
        <v>0</v>
      </c>
      <c r="L10" s="1855">
        <f>SUM(L3:L9)</f>
        <v>0</v>
      </c>
      <c r="M10" s="1856"/>
      <c r="N10" s="514"/>
      <c r="O10" s="576"/>
      <c r="P10" s="206"/>
      <c r="Q10" s="206"/>
      <c r="R10" s="206"/>
      <c r="S10" s="206"/>
      <c r="T10" s="206"/>
      <c r="U10" s="206"/>
      <c r="V10" s="206"/>
      <c r="W10" s="206"/>
      <c r="X10" s="206"/>
      <c r="Y10" s="206"/>
      <c r="Z10" s="206"/>
      <c r="AA10" s="206"/>
      <c r="AB10" s="206"/>
      <c r="AC10" s="206"/>
      <c r="AD10" s="561"/>
    </row>
    <row r="11" spans="1:56" x14ac:dyDescent="0.2">
      <c r="A11" s="577"/>
      <c r="B11" s="578"/>
      <c r="C11" s="578"/>
      <c r="D11" s="578"/>
      <c r="E11" s="578"/>
      <c r="F11" s="578"/>
      <c r="G11" s="578"/>
      <c r="H11" s="578"/>
      <c r="I11" s="578"/>
      <c r="J11" s="578"/>
      <c r="K11" s="579"/>
      <c r="L11" s="576"/>
      <c r="M11" s="576"/>
      <c r="N11" s="206"/>
      <c r="O11" s="206"/>
      <c r="P11" s="206"/>
      <c r="Q11" s="206"/>
      <c r="R11" s="206"/>
      <c r="S11" s="206"/>
      <c r="T11" s="206"/>
      <c r="U11" s="206"/>
      <c r="V11" s="206"/>
      <c r="W11" s="206"/>
      <c r="X11" s="206"/>
      <c r="Y11" s="206"/>
      <c r="Z11" s="206"/>
      <c r="AA11" s="206"/>
      <c r="AB11" s="206"/>
      <c r="AC11" s="206"/>
      <c r="AD11" s="561"/>
    </row>
    <row r="12" spans="1:56" ht="12.75" thickBot="1" x14ac:dyDescent="0.25">
      <c r="A12" s="577"/>
      <c r="B12" s="578"/>
      <c r="C12" s="578"/>
      <c r="D12" s="578"/>
      <c r="E12" s="578"/>
      <c r="F12" s="578"/>
      <c r="G12" s="578"/>
      <c r="H12" s="578"/>
      <c r="I12" s="578"/>
      <c r="J12" s="578"/>
      <c r="K12" s="578"/>
      <c r="L12" s="206"/>
      <c r="M12" s="580"/>
      <c r="N12" s="206"/>
      <c r="O12" s="206"/>
      <c r="P12" s="206"/>
      <c r="Q12" s="206"/>
      <c r="R12" s="206"/>
      <c r="S12" s="206"/>
      <c r="T12" s="206"/>
      <c r="U12" s="206"/>
      <c r="V12" s="206"/>
      <c r="W12" s="206"/>
      <c r="X12" s="206"/>
      <c r="Y12" s="206"/>
      <c r="Z12" s="206"/>
      <c r="AA12" s="206"/>
      <c r="AB12" s="206"/>
      <c r="AC12" s="206"/>
      <c r="AD12" s="561"/>
    </row>
    <row r="13" spans="1:56" ht="13.5" thickTop="1" thickBot="1" x14ac:dyDescent="0.25">
      <c r="A13" s="577"/>
      <c r="B13" s="578"/>
      <c r="C13" s="1819" t="s">
        <v>177</v>
      </c>
      <c r="D13" s="1820"/>
      <c r="E13" s="1820"/>
      <c r="F13" s="1820"/>
      <c r="G13" s="1820"/>
      <c r="H13" s="1820"/>
      <c r="I13" s="1821"/>
      <c r="J13" s="1031"/>
      <c r="K13" s="578"/>
      <c r="L13" s="1849" t="s">
        <v>149</v>
      </c>
      <c r="M13" s="1850"/>
      <c r="N13" s="206"/>
      <c r="O13" s="206"/>
      <c r="P13" s="206"/>
      <c r="Q13" s="206"/>
      <c r="R13" s="1822" t="s">
        <v>712</v>
      </c>
      <c r="S13" s="1823"/>
      <c r="T13" s="1823"/>
      <c r="U13" s="1823"/>
      <c r="V13" s="1823"/>
      <c r="W13" s="1823"/>
      <c r="X13" s="1823"/>
      <c r="Y13" s="1823"/>
      <c r="Z13" s="1823"/>
      <c r="AA13" s="1823"/>
      <c r="AB13" s="1823"/>
      <c r="AC13" s="1824"/>
      <c r="AD13" s="561"/>
    </row>
    <row r="14" spans="1:56" ht="61.5" thickTop="1" thickBot="1" x14ac:dyDescent="0.25">
      <c r="A14" s="552"/>
      <c r="B14" s="553" t="s">
        <v>137</v>
      </c>
      <c r="C14" s="581" t="s">
        <v>150</v>
      </c>
      <c r="D14" s="581" t="s">
        <v>1768</v>
      </c>
      <c r="E14" s="581" t="s">
        <v>151</v>
      </c>
      <c r="F14" s="581" t="s">
        <v>152</v>
      </c>
      <c r="G14" s="581" t="s">
        <v>153</v>
      </c>
      <c r="H14" s="581" t="s">
        <v>154</v>
      </c>
      <c r="I14" s="558" t="s">
        <v>155</v>
      </c>
      <c r="J14" s="1032"/>
      <c r="K14" s="582"/>
      <c r="L14" s="553" t="s">
        <v>156</v>
      </c>
      <c r="M14" s="558" t="s">
        <v>157</v>
      </c>
      <c r="N14" s="206"/>
      <c r="O14" s="206"/>
      <c r="P14" s="206"/>
      <c r="Q14" s="206"/>
      <c r="R14" s="1825"/>
      <c r="S14" s="1826"/>
      <c r="T14" s="1826"/>
      <c r="U14" s="1826"/>
      <c r="V14" s="1826"/>
      <c r="W14" s="1826"/>
      <c r="X14" s="1826"/>
      <c r="Y14" s="1826"/>
      <c r="Z14" s="1826"/>
      <c r="AA14" s="1826"/>
      <c r="AB14" s="1826"/>
      <c r="AC14" s="1827"/>
      <c r="AD14" s="561"/>
    </row>
    <row r="15" spans="1:56" ht="14.25" customHeight="1" thickTop="1" x14ac:dyDescent="0.2">
      <c r="A15" s="552"/>
      <c r="B15" s="117" t="s">
        <v>143</v>
      </c>
      <c r="C15" s="583"/>
      <c r="D15" s="583"/>
      <c r="E15" s="583"/>
      <c r="F15" s="583"/>
      <c r="G15" s="583"/>
      <c r="H15" s="583"/>
      <c r="I15" s="583"/>
      <c r="J15" s="1033"/>
      <c r="K15" s="582"/>
      <c r="L15" s="583"/>
      <c r="M15" s="757">
        <f t="shared" ref="M15:M21" si="9">SUM(C15:L15)-K15</f>
        <v>0</v>
      </c>
      <c r="N15" s="578" t="str">
        <f t="shared" ref="N15:N21" si="10">IF(M15&lt;&gt;E3,"!","")</f>
        <v/>
      </c>
      <c r="O15" s="206"/>
      <c r="P15" s="206"/>
      <c r="Q15" s="206"/>
      <c r="R15" s="1825"/>
      <c r="S15" s="1826"/>
      <c r="T15" s="1826"/>
      <c r="U15" s="1826"/>
      <c r="V15" s="1826"/>
      <c r="W15" s="1826"/>
      <c r="X15" s="1826"/>
      <c r="Y15" s="1826"/>
      <c r="Z15" s="1826"/>
      <c r="AA15" s="1826"/>
      <c r="AB15" s="1826"/>
      <c r="AC15" s="1827"/>
      <c r="AD15" s="561"/>
    </row>
    <row r="16" spans="1:56" ht="14.25" customHeight="1" x14ac:dyDescent="0.2">
      <c r="A16" s="552"/>
      <c r="B16" s="119" t="s">
        <v>144</v>
      </c>
      <c r="C16" s="583"/>
      <c r="D16" s="583"/>
      <c r="E16" s="583"/>
      <c r="F16" s="583"/>
      <c r="G16" s="583"/>
      <c r="H16" s="583"/>
      <c r="I16" s="583"/>
      <c r="J16" s="1033"/>
      <c r="K16" s="582"/>
      <c r="L16" s="584"/>
      <c r="M16" s="757">
        <f t="shared" si="9"/>
        <v>0</v>
      </c>
      <c r="N16" s="578" t="str">
        <f t="shared" si="10"/>
        <v/>
      </c>
      <c r="O16" s="206"/>
      <c r="P16" s="206"/>
      <c r="Q16" s="206"/>
      <c r="R16" s="1825"/>
      <c r="S16" s="1826"/>
      <c r="T16" s="1826"/>
      <c r="U16" s="1826"/>
      <c r="V16" s="1826"/>
      <c r="W16" s="1826"/>
      <c r="X16" s="1826"/>
      <c r="Y16" s="1826"/>
      <c r="Z16" s="1826"/>
      <c r="AA16" s="1826"/>
      <c r="AB16" s="1826"/>
      <c r="AC16" s="1827"/>
      <c r="AD16" s="561"/>
    </row>
    <row r="17" spans="1:30" ht="14.25" customHeight="1" x14ac:dyDescent="0.2">
      <c r="A17" s="552"/>
      <c r="B17" s="119" t="s">
        <v>145</v>
      </c>
      <c r="C17" s="583"/>
      <c r="D17" s="583"/>
      <c r="E17" s="583"/>
      <c r="F17" s="583"/>
      <c r="G17" s="583"/>
      <c r="H17" s="583"/>
      <c r="I17" s="583"/>
      <c r="J17" s="1033"/>
      <c r="K17" s="582"/>
      <c r="L17" s="584"/>
      <c r="M17" s="757">
        <f t="shared" si="9"/>
        <v>0</v>
      </c>
      <c r="N17" s="578" t="str">
        <f t="shared" si="10"/>
        <v/>
      </c>
      <c r="O17" s="206"/>
      <c r="P17" s="206"/>
      <c r="Q17" s="206"/>
      <c r="R17" s="1825"/>
      <c r="S17" s="1826"/>
      <c r="T17" s="1826"/>
      <c r="U17" s="1826"/>
      <c r="V17" s="1826"/>
      <c r="W17" s="1826"/>
      <c r="X17" s="1826"/>
      <c r="Y17" s="1826"/>
      <c r="Z17" s="1826"/>
      <c r="AA17" s="1826"/>
      <c r="AB17" s="1826"/>
      <c r="AC17" s="1827"/>
      <c r="AD17" s="561"/>
    </row>
    <row r="18" spans="1:30" ht="14.25" customHeight="1" x14ac:dyDescent="0.2">
      <c r="A18" s="552"/>
      <c r="B18" s="119" t="s">
        <v>146</v>
      </c>
      <c r="C18" s="583"/>
      <c r="D18" s="583"/>
      <c r="E18" s="583"/>
      <c r="F18" s="583"/>
      <c r="G18" s="583"/>
      <c r="H18" s="583"/>
      <c r="I18" s="583"/>
      <c r="J18" s="1033"/>
      <c r="K18" s="582"/>
      <c r="L18" s="584"/>
      <c r="M18" s="757">
        <f t="shared" si="9"/>
        <v>0</v>
      </c>
      <c r="N18" s="578" t="str">
        <f t="shared" si="10"/>
        <v/>
      </c>
      <c r="O18" s="206"/>
      <c r="P18" s="206"/>
      <c r="Q18" s="206"/>
      <c r="R18" s="1825"/>
      <c r="S18" s="1826"/>
      <c r="T18" s="1826"/>
      <c r="U18" s="1826"/>
      <c r="V18" s="1826"/>
      <c r="W18" s="1826"/>
      <c r="X18" s="1826"/>
      <c r="Y18" s="1826"/>
      <c r="Z18" s="1826"/>
      <c r="AA18" s="1826"/>
      <c r="AB18" s="1826"/>
      <c r="AC18" s="1827"/>
      <c r="AD18" s="561"/>
    </row>
    <row r="19" spans="1:30" ht="14.25" customHeight="1" x14ac:dyDescent="0.2">
      <c r="A19" s="552"/>
      <c r="B19" s="119" t="s">
        <v>147</v>
      </c>
      <c r="C19" s="583"/>
      <c r="D19" s="583"/>
      <c r="E19" s="583"/>
      <c r="F19" s="583"/>
      <c r="G19" s="583"/>
      <c r="H19" s="583"/>
      <c r="I19" s="583"/>
      <c r="J19" s="1033"/>
      <c r="K19" s="582"/>
      <c r="L19" s="584"/>
      <c r="M19" s="757">
        <f t="shared" si="9"/>
        <v>0</v>
      </c>
      <c r="N19" s="578" t="str">
        <f t="shared" si="10"/>
        <v/>
      </c>
      <c r="O19" s="206"/>
      <c r="P19" s="206"/>
      <c r="Q19" s="206"/>
      <c r="R19" s="1825"/>
      <c r="S19" s="1826"/>
      <c r="T19" s="1826"/>
      <c r="U19" s="1826"/>
      <c r="V19" s="1826"/>
      <c r="W19" s="1826"/>
      <c r="X19" s="1826"/>
      <c r="Y19" s="1826"/>
      <c r="Z19" s="1826"/>
      <c r="AA19" s="1826"/>
      <c r="AB19" s="1826"/>
      <c r="AC19" s="1827"/>
      <c r="AD19" s="561"/>
    </row>
    <row r="20" spans="1:30" ht="14.25" customHeight="1" x14ac:dyDescent="0.2">
      <c r="A20" s="552"/>
      <c r="B20" s="119" t="s">
        <v>148</v>
      </c>
      <c r="C20" s="583"/>
      <c r="D20" s="583"/>
      <c r="E20" s="583"/>
      <c r="F20" s="583"/>
      <c r="G20" s="583"/>
      <c r="H20" s="583"/>
      <c r="I20" s="583"/>
      <c r="J20" s="1033"/>
      <c r="K20" s="582"/>
      <c r="L20" s="584"/>
      <c r="M20" s="757">
        <f t="shared" si="9"/>
        <v>0</v>
      </c>
      <c r="N20" s="578" t="str">
        <f t="shared" si="10"/>
        <v/>
      </c>
      <c r="O20" s="206"/>
      <c r="P20" s="206"/>
      <c r="Q20" s="206"/>
      <c r="R20" s="1825"/>
      <c r="S20" s="1826"/>
      <c r="T20" s="1826"/>
      <c r="U20" s="1826"/>
      <c r="V20" s="1826"/>
      <c r="W20" s="1826"/>
      <c r="X20" s="1826"/>
      <c r="Y20" s="1826"/>
      <c r="Z20" s="1826"/>
      <c r="AA20" s="1826"/>
      <c r="AB20" s="1826"/>
      <c r="AC20" s="1827"/>
      <c r="AD20" s="561"/>
    </row>
    <row r="21" spans="1:30" ht="14.25" customHeight="1" thickBot="1" x14ac:dyDescent="0.25">
      <c r="A21" s="552"/>
      <c r="B21" s="119" t="str">
        <f>+B9</f>
        <v>Other</v>
      </c>
      <c r="C21" s="583"/>
      <c r="D21" s="583"/>
      <c r="E21" s="585"/>
      <c r="F21" s="585"/>
      <c r="G21" s="585"/>
      <c r="H21" s="585"/>
      <c r="I21" s="585"/>
      <c r="J21" s="1033"/>
      <c r="K21" s="582"/>
      <c r="L21" s="585"/>
      <c r="M21" s="758">
        <f t="shared" si="9"/>
        <v>0</v>
      </c>
      <c r="N21" s="578" t="str">
        <f t="shared" si="10"/>
        <v/>
      </c>
      <c r="O21" s="206"/>
      <c r="P21" s="206"/>
      <c r="Q21" s="206"/>
      <c r="R21" s="1825"/>
      <c r="S21" s="1826"/>
      <c r="T21" s="1826"/>
      <c r="U21" s="1826"/>
      <c r="V21" s="1826"/>
      <c r="W21" s="1826"/>
      <c r="X21" s="1826"/>
      <c r="Y21" s="1826"/>
      <c r="Z21" s="1826"/>
      <c r="AA21" s="1826"/>
      <c r="AB21" s="1826"/>
      <c r="AC21" s="1827"/>
      <c r="AD21" s="561"/>
    </row>
    <row r="22" spans="1:30" ht="14.25" customHeight="1" thickBot="1" x14ac:dyDescent="0.25">
      <c r="A22" s="552"/>
      <c r="B22" s="122" t="s">
        <v>64</v>
      </c>
      <c r="C22" s="586">
        <f t="shared" ref="C22:I22" si="11">SUM(C15:C21)</f>
        <v>0</v>
      </c>
      <c r="D22" s="586">
        <f t="shared" si="11"/>
        <v>0</v>
      </c>
      <c r="E22" s="586">
        <f t="shared" si="11"/>
        <v>0</v>
      </c>
      <c r="F22" s="586">
        <f t="shared" si="11"/>
        <v>0</v>
      </c>
      <c r="G22" s="586">
        <f t="shared" si="11"/>
        <v>0</v>
      </c>
      <c r="H22" s="586">
        <f t="shared" si="11"/>
        <v>0</v>
      </c>
      <c r="I22" s="587">
        <f t="shared" si="11"/>
        <v>0</v>
      </c>
      <c r="J22" s="1034"/>
      <c r="K22" s="582"/>
      <c r="L22" s="587">
        <f>SUM(L15:L21)</f>
        <v>0</v>
      </c>
      <c r="M22" s="588">
        <f>SUM(M15:M21)</f>
        <v>0</v>
      </c>
      <c r="N22" s="578"/>
      <c r="O22" s="206"/>
      <c r="P22" s="206"/>
      <c r="Q22" s="206"/>
      <c r="R22" s="1828"/>
      <c r="S22" s="1829"/>
      <c r="T22" s="1829"/>
      <c r="U22" s="1829"/>
      <c r="V22" s="1829"/>
      <c r="W22" s="1829"/>
      <c r="X22" s="1829"/>
      <c r="Y22" s="1829"/>
      <c r="Z22" s="1829"/>
      <c r="AA22" s="1829"/>
      <c r="AB22" s="1829"/>
      <c r="AC22" s="1830"/>
      <c r="AD22" s="561"/>
    </row>
    <row r="23" spans="1:30" ht="12.75" thickTop="1" x14ac:dyDescent="0.2">
      <c r="A23" s="552"/>
      <c r="B23" s="578"/>
      <c r="C23" s="578"/>
      <c r="D23" s="578"/>
      <c r="E23" s="578"/>
      <c r="F23" s="578"/>
      <c r="G23" s="578"/>
      <c r="H23" s="578"/>
      <c r="I23" s="578"/>
      <c r="J23" s="578"/>
      <c r="K23" s="582"/>
      <c r="L23" s="579"/>
      <c r="M23" s="579"/>
      <c r="N23" s="206"/>
      <c r="O23" s="589"/>
      <c r="P23" s="206"/>
      <c r="Q23" s="206"/>
      <c r="R23" s="206"/>
      <c r="S23" s="206"/>
      <c r="T23" s="206"/>
      <c r="U23" s="206"/>
      <c r="V23" s="206"/>
      <c r="W23" s="206"/>
      <c r="X23" s="206"/>
      <c r="Y23" s="206"/>
      <c r="Z23" s="206"/>
      <c r="AA23" s="206"/>
      <c r="AB23" s="206"/>
      <c r="AC23" s="206"/>
      <c r="AD23" s="561"/>
    </row>
    <row r="24" spans="1:30" ht="12.75" thickBot="1" x14ac:dyDescent="0.25">
      <c r="A24" s="552"/>
      <c r="B24" s="578"/>
      <c r="C24" s="578"/>
      <c r="D24" s="578"/>
      <c r="E24" s="578"/>
      <c r="F24" s="578"/>
      <c r="G24" s="578"/>
      <c r="H24" s="578"/>
      <c r="I24" s="578"/>
      <c r="J24" s="578"/>
      <c r="K24" s="582"/>
      <c r="L24" s="579"/>
      <c r="M24" s="579"/>
      <c r="N24" s="206"/>
      <c r="O24" s="589"/>
      <c r="P24" s="206"/>
      <c r="Q24" s="206"/>
      <c r="R24" s="206"/>
      <c r="S24" s="206"/>
      <c r="T24" s="206"/>
      <c r="U24" s="206"/>
      <c r="V24" s="206"/>
      <c r="W24" s="206"/>
      <c r="X24" s="206"/>
      <c r="Y24" s="206"/>
      <c r="Z24" s="206"/>
      <c r="AA24" s="206"/>
      <c r="AB24" s="206"/>
      <c r="AC24" s="206"/>
      <c r="AD24" s="561"/>
    </row>
    <row r="25" spans="1:30" ht="13.5" thickTop="1" thickBot="1" x14ac:dyDescent="0.25">
      <c r="A25" s="577"/>
      <c r="B25" s="578"/>
      <c r="C25" s="1819" t="s">
        <v>850</v>
      </c>
      <c r="D25" s="1820"/>
      <c r="E25" s="1820"/>
      <c r="F25" s="1820"/>
      <c r="G25" s="1820"/>
      <c r="H25" s="1820"/>
      <c r="I25" s="1821"/>
      <c r="J25" s="1031"/>
      <c r="K25" s="582"/>
      <c r="L25" s="1849" t="s">
        <v>149</v>
      </c>
      <c r="M25" s="1850"/>
      <c r="N25" s="206"/>
      <c r="O25" s="589"/>
      <c r="P25" s="206"/>
      <c r="Q25" s="206"/>
      <c r="R25" s="1831" t="s">
        <v>711</v>
      </c>
      <c r="S25" s="1832"/>
      <c r="T25" s="1832"/>
      <c r="U25" s="1832"/>
      <c r="V25" s="1832"/>
      <c r="W25" s="1832"/>
      <c r="X25" s="1832"/>
      <c r="Y25" s="1832"/>
      <c r="Z25" s="1832"/>
      <c r="AA25" s="1832"/>
      <c r="AB25" s="1832"/>
      <c r="AC25" s="1833"/>
      <c r="AD25" s="561"/>
    </row>
    <row r="26" spans="1:30" ht="61.5" thickTop="1" thickBot="1" x14ac:dyDescent="0.25">
      <c r="A26" s="552"/>
      <c r="B26" s="553" t="s">
        <v>137</v>
      </c>
      <c r="C26" s="554" t="s">
        <v>150</v>
      </c>
      <c r="D26" s="554" t="s">
        <v>1767</v>
      </c>
      <c r="E26" s="554" t="s">
        <v>151</v>
      </c>
      <c r="F26" s="554" t="s">
        <v>152</v>
      </c>
      <c r="G26" s="554" t="s">
        <v>153</v>
      </c>
      <c r="H26" s="554" t="s">
        <v>154</v>
      </c>
      <c r="I26" s="558" t="s">
        <v>158</v>
      </c>
      <c r="J26" s="1032"/>
      <c r="K26" s="582"/>
      <c r="L26" s="553" t="s">
        <v>156</v>
      </c>
      <c r="M26" s="590" t="s">
        <v>142</v>
      </c>
      <c r="N26" s="206"/>
      <c r="O26" s="576"/>
      <c r="P26" s="206"/>
      <c r="Q26" s="206"/>
      <c r="R26" s="1834"/>
      <c r="S26" s="1835"/>
      <c r="T26" s="1835"/>
      <c r="U26" s="1835"/>
      <c r="V26" s="1835"/>
      <c r="W26" s="1835"/>
      <c r="X26" s="1835"/>
      <c r="Y26" s="1835"/>
      <c r="Z26" s="1835"/>
      <c r="AA26" s="1835"/>
      <c r="AB26" s="1835"/>
      <c r="AC26" s="1836"/>
      <c r="AD26" s="561"/>
    </row>
    <row r="27" spans="1:30" ht="12.75" thickTop="1" x14ac:dyDescent="0.2">
      <c r="A27" s="552"/>
      <c r="B27" s="117" t="s">
        <v>143</v>
      </c>
      <c r="C27" s="591"/>
      <c r="D27" s="591"/>
      <c r="E27" s="591"/>
      <c r="F27" s="591"/>
      <c r="G27" s="591"/>
      <c r="H27" s="591"/>
      <c r="I27" s="591"/>
      <c r="J27" s="1035"/>
      <c r="K27" s="582"/>
      <c r="L27" s="591"/>
      <c r="M27" s="756">
        <f t="shared" ref="M27:M33" si="12">SUMPRODUCT(C27:I27,C15:I15)+(L15*L27)</f>
        <v>0</v>
      </c>
      <c r="N27" s="206"/>
      <c r="O27" s="576"/>
      <c r="P27" s="206"/>
      <c r="Q27" s="206"/>
      <c r="R27" s="1834"/>
      <c r="S27" s="1835"/>
      <c r="T27" s="1835"/>
      <c r="U27" s="1835"/>
      <c r="V27" s="1835"/>
      <c r="W27" s="1835"/>
      <c r="X27" s="1835"/>
      <c r="Y27" s="1835"/>
      <c r="Z27" s="1835"/>
      <c r="AA27" s="1835"/>
      <c r="AB27" s="1835"/>
      <c r="AC27" s="1836"/>
      <c r="AD27" s="561"/>
    </row>
    <row r="28" spans="1:30" x14ac:dyDescent="0.2">
      <c r="A28" s="552"/>
      <c r="B28" s="119" t="s">
        <v>144</v>
      </c>
      <c r="C28" s="591"/>
      <c r="D28" s="591"/>
      <c r="E28" s="591"/>
      <c r="F28" s="591"/>
      <c r="G28" s="591"/>
      <c r="H28" s="591"/>
      <c r="I28" s="592"/>
      <c r="J28" s="1035"/>
      <c r="K28" s="593" t="e">
        <v>#N/A</v>
      </c>
      <c r="L28" s="591"/>
      <c r="M28" s="756">
        <f t="shared" si="12"/>
        <v>0</v>
      </c>
      <c r="N28" s="206"/>
      <c r="O28" s="206"/>
      <c r="P28" s="206"/>
      <c r="Q28" s="206"/>
      <c r="R28" s="1834"/>
      <c r="S28" s="1835"/>
      <c r="T28" s="1835"/>
      <c r="U28" s="1835"/>
      <c r="V28" s="1835"/>
      <c r="W28" s="1835"/>
      <c r="X28" s="1835"/>
      <c r="Y28" s="1835"/>
      <c r="Z28" s="1835"/>
      <c r="AA28" s="1835"/>
      <c r="AB28" s="1835"/>
      <c r="AC28" s="1836"/>
      <c r="AD28" s="561"/>
    </row>
    <row r="29" spans="1:30" x14ac:dyDescent="0.2">
      <c r="A29" s="552"/>
      <c r="B29" s="119" t="s">
        <v>145</v>
      </c>
      <c r="C29" s="591"/>
      <c r="D29" s="591"/>
      <c r="E29" s="591"/>
      <c r="F29" s="591"/>
      <c r="G29" s="591"/>
      <c r="H29" s="591"/>
      <c r="I29" s="592"/>
      <c r="J29" s="1035"/>
      <c r="K29" s="593" t="e">
        <v>#N/A</v>
      </c>
      <c r="L29" s="591"/>
      <c r="M29" s="756">
        <f t="shared" si="12"/>
        <v>0</v>
      </c>
      <c r="N29" s="206"/>
      <c r="O29" s="206"/>
      <c r="P29" s="206"/>
      <c r="Q29" s="206"/>
      <c r="R29" s="1834"/>
      <c r="S29" s="1835"/>
      <c r="T29" s="1835"/>
      <c r="U29" s="1835"/>
      <c r="V29" s="1835"/>
      <c r="W29" s="1835"/>
      <c r="X29" s="1835"/>
      <c r="Y29" s="1835"/>
      <c r="Z29" s="1835"/>
      <c r="AA29" s="1835"/>
      <c r="AB29" s="1835"/>
      <c r="AC29" s="1836"/>
      <c r="AD29" s="561"/>
    </row>
    <row r="30" spans="1:30" x14ac:dyDescent="0.2">
      <c r="A30" s="552"/>
      <c r="B30" s="119" t="s">
        <v>146</v>
      </c>
      <c r="C30" s="591"/>
      <c r="D30" s="591"/>
      <c r="E30" s="591"/>
      <c r="F30" s="591"/>
      <c r="G30" s="591"/>
      <c r="H30" s="591"/>
      <c r="I30" s="592"/>
      <c r="J30" s="1035"/>
      <c r="K30" s="593" t="e">
        <v>#N/A</v>
      </c>
      <c r="L30" s="591"/>
      <c r="M30" s="756">
        <f t="shared" si="12"/>
        <v>0</v>
      </c>
      <c r="N30" s="206"/>
      <c r="O30" s="206"/>
      <c r="P30" s="206"/>
      <c r="Q30" s="206"/>
      <c r="R30" s="1834"/>
      <c r="S30" s="1835"/>
      <c r="T30" s="1835"/>
      <c r="U30" s="1835"/>
      <c r="V30" s="1835"/>
      <c r="W30" s="1835"/>
      <c r="X30" s="1835"/>
      <c r="Y30" s="1835"/>
      <c r="Z30" s="1835"/>
      <c r="AA30" s="1835"/>
      <c r="AB30" s="1835"/>
      <c r="AC30" s="1836"/>
      <c r="AD30" s="561"/>
    </row>
    <row r="31" spans="1:30" x14ac:dyDescent="0.2">
      <c r="A31" s="552"/>
      <c r="B31" s="119" t="s">
        <v>147</v>
      </c>
      <c r="C31" s="591"/>
      <c r="D31" s="591"/>
      <c r="E31" s="591"/>
      <c r="F31" s="591"/>
      <c r="G31" s="591"/>
      <c r="H31" s="591"/>
      <c r="I31" s="592"/>
      <c r="J31" s="1035"/>
      <c r="K31" s="593" t="e">
        <v>#N/A</v>
      </c>
      <c r="L31" s="591"/>
      <c r="M31" s="756">
        <f t="shared" si="12"/>
        <v>0</v>
      </c>
      <c r="N31" s="206"/>
      <c r="O31" s="206"/>
      <c r="P31" s="206"/>
      <c r="Q31" s="206"/>
      <c r="R31" s="1834"/>
      <c r="S31" s="1835"/>
      <c r="T31" s="1835"/>
      <c r="U31" s="1835"/>
      <c r="V31" s="1835"/>
      <c r="W31" s="1835"/>
      <c r="X31" s="1835"/>
      <c r="Y31" s="1835"/>
      <c r="Z31" s="1835"/>
      <c r="AA31" s="1835"/>
      <c r="AB31" s="1835"/>
      <c r="AC31" s="1836"/>
      <c r="AD31" s="561"/>
    </row>
    <row r="32" spans="1:30" x14ac:dyDescent="0.2">
      <c r="A32" s="552"/>
      <c r="B32" s="119" t="s">
        <v>148</v>
      </c>
      <c r="C32" s="591"/>
      <c r="D32" s="591"/>
      <c r="E32" s="591"/>
      <c r="F32" s="591"/>
      <c r="G32" s="591"/>
      <c r="H32" s="591"/>
      <c r="I32" s="592"/>
      <c r="J32" s="1035"/>
      <c r="K32" s="593" t="e">
        <v>#N/A</v>
      </c>
      <c r="L32" s="591"/>
      <c r="M32" s="756">
        <f t="shared" si="12"/>
        <v>0</v>
      </c>
      <c r="N32" s="206"/>
      <c r="O32" s="206"/>
      <c r="P32" s="206"/>
      <c r="Q32" s="206"/>
      <c r="R32" s="1834"/>
      <c r="S32" s="1835"/>
      <c r="T32" s="1835"/>
      <c r="U32" s="1835"/>
      <c r="V32" s="1835"/>
      <c r="W32" s="1835"/>
      <c r="X32" s="1835"/>
      <c r="Y32" s="1835"/>
      <c r="Z32" s="1835"/>
      <c r="AA32" s="1835"/>
      <c r="AB32" s="1835"/>
      <c r="AC32" s="1836"/>
      <c r="AD32" s="561"/>
    </row>
    <row r="33" spans="1:30" ht="12.75" thickBot="1" x14ac:dyDescent="0.25">
      <c r="A33" s="552"/>
      <c r="B33" s="119" t="str">
        <f>+B9</f>
        <v>Other</v>
      </c>
      <c r="C33" s="591"/>
      <c r="D33" s="591"/>
      <c r="E33" s="591"/>
      <c r="F33" s="591"/>
      <c r="G33" s="591"/>
      <c r="H33" s="591"/>
      <c r="I33" s="594"/>
      <c r="J33" s="1035"/>
      <c r="K33" s="593">
        <v>0</v>
      </c>
      <c r="L33" s="591"/>
      <c r="M33" s="759">
        <f t="shared" si="12"/>
        <v>0</v>
      </c>
      <c r="N33" s="206"/>
      <c r="O33" s="206"/>
      <c r="P33" s="206"/>
      <c r="Q33" s="206"/>
      <c r="R33" s="1834"/>
      <c r="S33" s="1835"/>
      <c r="T33" s="1835"/>
      <c r="U33" s="1835"/>
      <c r="V33" s="1835"/>
      <c r="W33" s="1835"/>
      <c r="X33" s="1835"/>
      <c r="Y33" s="1835"/>
      <c r="Z33" s="1835"/>
      <c r="AA33" s="1835"/>
      <c r="AB33" s="1835"/>
      <c r="AC33" s="1836"/>
      <c r="AD33" s="561"/>
    </row>
    <row r="34" spans="1:30" ht="12.75" thickBot="1" x14ac:dyDescent="0.25">
      <c r="A34" s="552"/>
      <c r="B34" s="122" t="s">
        <v>157</v>
      </c>
      <c r="C34" s="587">
        <f t="shared" ref="C34:I34" si="13">SUMPRODUCT(C15:C21,C27:C33)</f>
        <v>0</v>
      </c>
      <c r="D34" s="587">
        <f t="shared" si="13"/>
        <v>0</v>
      </c>
      <c r="E34" s="587">
        <f t="shared" si="13"/>
        <v>0</v>
      </c>
      <c r="F34" s="587">
        <f t="shared" si="13"/>
        <v>0</v>
      </c>
      <c r="G34" s="587">
        <f t="shared" si="13"/>
        <v>0</v>
      </c>
      <c r="H34" s="587">
        <f t="shared" si="13"/>
        <v>0</v>
      </c>
      <c r="I34" s="587">
        <f t="shared" si="13"/>
        <v>0</v>
      </c>
      <c r="J34" s="1034"/>
      <c r="K34" s="593"/>
      <c r="L34" s="587">
        <f>SUMPRODUCT(L15:L21,L27:L33)</f>
        <v>0</v>
      </c>
      <c r="M34" s="595">
        <f>SUM(M27:M33)</f>
        <v>0</v>
      </c>
      <c r="N34" s="596"/>
      <c r="O34" s="206"/>
      <c r="P34" s="206"/>
      <c r="Q34" s="206"/>
      <c r="R34" s="1837"/>
      <c r="S34" s="1838"/>
      <c r="T34" s="1838"/>
      <c r="U34" s="1838"/>
      <c r="V34" s="1838"/>
      <c r="W34" s="1838"/>
      <c r="X34" s="1838"/>
      <c r="Y34" s="1838"/>
      <c r="Z34" s="1838"/>
      <c r="AA34" s="1838"/>
      <c r="AB34" s="1838"/>
      <c r="AC34" s="1839"/>
      <c r="AD34" s="561"/>
    </row>
    <row r="35" spans="1:30" ht="12.75" thickTop="1" x14ac:dyDescent="0.2">
      <c r="A35" s="552"/>
      <c r="B35" s="578"/>
      <c r="C35" s="578"/>
      <c r="D35" s="578"/>
      <c r="E35" s="578"/>
      <c r="F35" s="578"/>
      <c r="G35" s="578"/>
      <c r="H35" s="578"/>
      <c r="I35" s="578"/>
      <c r="J35" s="578"/>
      <c r="K35" s="578"/>
      <c r="L35" s="578"/>
      <c r="M35" s="578"/>
      <c r="N35" s="206"/>
      <c r="O35" s="206"/>
      <c r="P35" s="206"/>
      <c r="Q35" s="206"/>
      <c r="R35" s="206"/>
      <c r="S35" s="206"/>
      <c r="T35" s="206"/>
      <c r="U35" s="206"/>
      <c r="V35" s="206"/>
      <c r="W35" s="206"/>
      <c r="X35" s="206"/>
      <c r="Y35" s="206"/>
      <c r="Z35" s="206"/>
      <c r="AA35" s="206"/>
      <c r="AB35" s="206"/>
      <c r="AC35" s="206"/>
      <c r="AD35" s="561"/>
    </row>
    <row r="36" spans="1:30" x14ac:dyDescent="0.2">
      <c r="A36" s="552"/>
      <c r="B36" s="578"/>
      <c r="C36" s="578"/>
      <c r="D36" s="578"/>
      <c r="E36" s="578"/>
      <c r="F36" s="578"/>
      <c r="G36" s="578"/>
      <c r="H36" s="578"/>
      <c r="I36" s="578"/>
      <c r="J36" s="578"/>
      <c r="K36" s="578"/>
      <c r="L36" s="578"/>
      <c r="M36" s="578"/>
      <c r="N36" s="206"/>
      <c r="O36" s="206"/>
      <c r="P36" s="206"/>
      <c r="Q36" s="206"/>
      <c r="R36" s="206"/>
      <c r="S36" s="206"/>
      <c r="T36" s="206"/>
      <c r="U36" s="206"/>
      <c r="V36" s="206"/>
      <c r="W36" s="206"/>
      <c r="X36" s="206"/>
      <c r="Y36" s="206"/>
      <c r="Z36" s="206"/>
      <c r="AA36" s="206"/>
      <c r="AB36" s="206"/>
      <c r="AC36" s="206"/>
      <c r="AD36" s="561"/>
    </row>
    <row r="37" spans="1:30" ht="12.75" thickBot="1" x14ac:dyDescent="0.25">
      <c r="A37" s="577" t="s">
        <v>159</v>
      </c>
      <c r="B37" s="578"/>
      <c r="C37" s="578"/>
      <c r="D37" s="578"/>
      <c r="E37" s="578"/>
      <c r="F37" s="578"/>
      <c r="G37" s="578"/>
      <c r="H37" s="578"/>
      <c r="I37" s="578"/>
      <c r="J37" s="578"/>
      <c r="K37" s="578"/>
      <c r="L37" s="578"/>
      <c r="M37" s="578"/>
      <c r="N37" s="206"/>
      <c r="O37" s="206"/>
      <c r="P37" s="206"/>
      <c r="Q37" s="206"/>
      <c r="R37" s="206"/>
      <c r="S37" s="206"/>
      <c r="T37" s="206"/>
      <c r="U37" s="206"/>
      <c r="V37" s="206"/>
      <c r="W37" s="206"/>
      <c r="X37" s="206"/>
      <c r="Y37" s="206"/>
      <c r="Z37" s="206"/>
      <c r="AA37" s="206"/>
      <c r="AB37" s="206"/>
      <c r="AC37" s="206"/>
      <c r="AD37" s="561"/>
    </row>
    <row r="38" spans="1:30" ht="13.5" thickTop="1" thickBot="1" x14ac:dyDescent="0.25">
      <c r="A38" s="552"/>
      <c r="B38" s="597" t="s">
        <v>160</v>
      </c>
      <c r="C38" s="598" t="s">
        <v>143</v>
      </c>
      <c r="D38" s="598" t="s">
        <v>144</v>
      </c>
      <c r="E38" s="598" t="s">
        <v>145</v>
      </c>
      <c r="F38" s="598" t="s">
        <v>146</v>
      </c>
      <c r="G38" s="598" t="s">
        <v>147</v>
      </c>
      <c r="H38" s="599" t="s">
        <v>148</v>
      </c>
      <c r="I38" s="598" t="s">
        <v>161</v>
      </c>
      <c r="J38" s="1036"/>
      <c r="K38" s="600" t="s">
        <v>162</v>
      </c>
      <c r="L38" s="206"/>
      <c r="M38" s="601"/>
      <c r="N38" s="206"/>
      <c r="O38" s="206"/>
      <c r="P38" s="206"/>
      <c r="Q38" s="206"/>
      <c r="R38" s="1840" t="s">
        <v>710</v>
      </c>
      <c r="S38" s="1841"/>
      <c r="T38" s="1841"/>
      <c r="U38" s="1841"/>
      <c r="V38" s="1841"/>
      <c r="W38" s="1841"/>
      <c r="X38" s="1841"/>
      <c r="Y38" s="1841"/>
      <c r="Z38" s="1841"/>
      <c r="AA38" s="1841"/>
      <c r="AB38" s="1841"/>
      <c r="AC38" s="1842"/>
      <c r="AD38" s="561"/>
    </row>
    <row r="39" spans="1:30" ht="12.75" thickTop="1" x14ac:dyDescent="0.2">
      <c r="A39" s="552"/>
      <c r="B39" s="123" t="s">
        <v>163</v>
      </c>
      <c r="C39" s="564"/>
      <c r="D39" s="564"/>
      <c r="E39" s="1078"/>
      <c r="F39" s="564"/>
      <c r="G39" s="564"/>
      <c r="H39" s="564"/>
      <c r="I39" s="602" t="s">
        <v>164</v>
      </c>
      <c r="J39" s="1037"/>
      <c r="K39" s="564"/>
      <c r="L39" s="206"/>
      <c r="M39" s="206"/>
      <c r="N39" s="206"/>
      <c r="O39" s="206"/>
      <c r="P39" s="206"/>
      <c r="Q39" s="206"/>
      <c r="R39" s="1843"/>
      <c r="S39" s="1844"/>
      <c r="T39" s="1844"/>
      <c r="U39" s="1844"/>
      <c r="V39" s="1844"/>
      <c r="W39" s="1844"/>
      <c r="X39" s="1844"/>
      <c r="Y39" s="1844"/>
      <c r="Z39" s="1844"/>
      <c r="AA39" s="1844"/>
      <c r="AB39" s="1844"/>
      <c r="AC39" s="1845"/>
      <c r="AD39" s="561"/>
    </row>
    <row r="40" spans="1:30" x14ac:dyDescent="0.2">
      <c r="A40" s="552"/>
      <c r="B40" s="124" t="s">
        <v>165</v>
      </c>
      <c r="C40" s="569"/>
      <c r="D40" s="569"/>
      <c r="E40" s="569"/>
      <c r="F40" s="569"/>
      <c r="G40" s="569"/>
      <c r="H40" s="569"/>
      <c r="I40" s="603" t="s">
        <v>166</v>
      </c>
      <c r="J40" s="1038"/>
      <c r="K40" s="569"/>
      <c r="L40" s="206"/>
      <c r="M40" s="206"/>
      <c r="N40" s="206"/>
      <c r="O40" s="206"/>
      <c r="P40" s="206"/>
      <c r="Q40" s="206"/>
      <c r="R40" s="1843"/>
      <c r="S40" s="1844"/>
      <c r="T40" s="1844"/>
      <c r="U40" s="1844"/>
      <c r="V40" s="1844"/>
      <c r="W40" s="1844"/>
      <c r="X40" s="1844"/>
      <c r="Y40" s="1844"/>
      <c r="Z40" s="1844"/>
      <c r="AA40" s="1844"/>
      <c r="AB40" s="1844"/>
      <c r="AC40" s="1845"/>
      <c r="AD40" s="561"/>
    </row>
    <row r="41" spans="1:30" x14ac:dyDescent="0.2">
      <c r="A41" s="552"/>
      <c r="B41" s="124" t="s">
        <v>167</v>
      </c>
      <c r="C41" s="569"/>
      <c r="D41" s="569"/>
      <c r="E41" s="569"/>
      <c r="F41" s="569"/>
      <c r="G41" s="569"/>
      <c r="H41" s="569"/>
      <c r="I41" s="603" t="s">
        <v>168</v>
      </c>
      <c r="J41" s="1038"/>
      <c r="K41" s="569"/>
      <c r="L41" s="206"/>
      <c r="M41" s="206"/>
      <c r="N41" s="206"/>
      <c r="O41" s="206"/>
      <c r="P41" s="206"/>
      <c r="Q41" s="206"/>
      <c r="R41" s="1843"/>
      <c r="S41" s="1844"/>
      <c r="T41" s="1844"/>
      <c r="U41" s="1844"/>
      <c r="V41" s="1844"/>
      <c r="W41" s="1844"/>
      <c r="X41" s="1844"/>
      <c r="Y41" s="1844"/>
      <c r="Z41" s="1844"/>
      <c r="AA41" s="1844"/>
      <c r="AB41" s="1844"/>
      <c r="AC41" s="1845"/>
      <c r="AD41" s="561"/>
    </row>
    <row r="42" spans="1:30" x14ac:dyDescent="0.2">
      <c r="A42" s="552"/>
      <c r="B42" s="124" t="s">
        <v>169</v>
      </c>
      <c r="C42" s="569"/>
      <c r="D42" s="569"/>
      <c r="E42" s="569"/>
      <c r="F42" s="569"/>
      <c r="G42" s="569"/>
      <c r="H42" s="569"/>
      <c r="I42" s="603" t="s">
        <v>613</v>
      </c>
      <c r="J42" s="1038"/>
      <c r="K42" s="569"/>
      <c r="L42" s="206"/>
      <c r="M42" s="206"/>
      <c r="N42" s="206"/>
      <c r="O42" s="206"/>
      <c r="P42" s="206"/>
      <c r="Q42" s="206"/>
      <c r="R42" s="1843"/>
      <c r="S42" s="1844"/>
      <c r="T42" s="1844"/>
      <c r="U42" s="1844"/>
      <c r="V42" s="1844"/>
      <c r="W42" s="1844"/>
      <c r="X42" s="1844"/>
      <c r="Y42" s="1844"/>
      <c r="Z42" s="1844"/>
      <c r="AA42" s="1844"/>
      <c r="AB42" s="1844"/>
      <c r="AC42" s="1845"/>
      <c r="AD42" s="561"/>
    </row>
    <row r="43" spans="1:30" x14ac:dyDescent="0.2">
      <c r="A43" s="552"/>
      <c r="B43" s="124" t="s">
        <v>170</v>
      </c>
      <c r="C43" s="569"/>
      <c r="D43" s="569"/>
      <c r="E43" s="569"/>
      <c r="F43" s="569"/>
      <c r="G43" s="569"/>
      <c r="H43" s="569"/>
      <c r="I43" s="603" t="s">
        <v>171</v>
      </c>
      <c r="J43" s="1038"/>
      <c r="K43" s="569"/>
      <c r="L43" s="206"/>
      <c r="M43" s="206"/>
      <c r="N43" s="206"/>
      <c r="O43" s="206"/>
      <c r="P43" s="206"/>
      <c r="Q43" s="206"/>
      <c r="R43" s="1843"/>
      <c r="S43" s="1844"/>
      <c r="T43" s="1844"/>
      <c r="U43" s="1844"/>
      <c r="V43" s="1844"/>
      <c r="W43" s="1844"/>
      <c r="X43" s="1844"/>
      <c r="Y43" s="1844"/>
      <c r="Z43" s="1844"/>
      <c r="AA43" s="1844"/>
      <c r="AB43" s="1844"/>
      <c r="AC43" s="1845"/>
      <c r="AD43" s="561"/>
    </row>
    <row r="44" spans="1:30" x14ac:dyDescent="0.2">
      <c r="A44" s="552"/>
      <c r="B44" s="124" t="s">
        <v>172</v>
      </c>
      <c r="C44" s="569"/>
      <c r="D44" s="569"/>
      <c r="E44" s="569"/>
      <c r="F44" s="569"/>
      <c r="G44" s="569"/>
      <c r="H44" s="569"/>
      <c r="I44" s="603" t="s">
        <v>39</v>
      </c>
      <c r="J44" s="1038"/>
      <c r="K44" s="569"/>
      <c r="L44" s="206"/>
      <c r="M44" s="206"/>
      <c r="N44" s="206"/>
      <c r="O44" s="206"/>
      <c r="P44" s="206"/>
      <c r="Q44" s="206"/>
      <c r="R44" s="1843"/>
      <c r="S44" s="1844"/>
      <c r="T44" s="1844"/>
      <c r="U44" s="1844"/>
      <c r="V44" s="1844"/>
      <c r="W44" s="1844"/>
      <c r="X44" s="1844"/>
      <c r="Y44" s="1844"/>
      <c r="Z44" s="1844"/>
      <c r="AA44" s="1844"/>
      <c r="AB44" s="1844"/>
      <c r="AC44" s="1845"/>
      <c r="AD44" s="561"/>
    </row>
    <row r="45" spans="1:30" x14ac:dyDescent="0.2">
      <c r="A45" s="552"/>
      <c r="B45" s="124" t="s">
        <v>173</v>
      </c>
      <c r="C45" s="569"/>
      <c r="D45" s="569"/>
      <c r="E45" s="569"/>
      <c r="F45" s="569"/>
      <c r="G45" s="569"/>
      <c r="H45" s="569"/>
      <c r="I45" s="1810"/>
      <c r="J45" s="1811"/>
      <c r="K45" s="1812"/>
      <c r="L45" s="206"/>
      <c r="M45" s="206"/>
      <c r="N45" s="206"/>
      <c r="O45" s="206"/>
      <c r="P45" s="206"/>
      <c r="Q45" s="206"/>
      <c r="R45" s="1843"/>
      <c r="S45" s="1844"/>
      <c r="T45" s="1844"/>
      <c r="U45" s="1844"/>
      <c r="V45" s="1844"/>
      <c r="W45" s="1844"/>
      <c r="X45" s="1844"/>
      <c r="Y45" s="1844"/>
      <c r="Z45" s="1844"/>
      <c r="AA45" s="1844"/>
      <c r="AB45" s="1844"/>
      <c r="AC45" s="1845"/>
      <c r="AD45" s="561"/>
    </row>
    <row r="46" spans="1:30" x14ac:dyDescent="0.2">
      <c r="A46" s="552"/>
      <c r="B46" s="124" t="s">
        <v>174</v>
      </c>
      <c r="C46" s="569"/>
      <c r="D46" s="569"/>
      <c r="E46" s="569"/>
      <c r="F46" s="569"/>
      <c r="G46" s="569"/>
      <c r="H46" s="569"/>
      <c r="I46" s="1813"/>
      <c r="J46" s="1814"/>
      <c r="K46" s="1815"/>
      <c r="L46" s="206"/>
      <c r="M46" s="206"/>
      <c r="N46" s="206"/>
      <c r="O46" s="206"/>
      <c r="P46" s="206"/>
      <c r="Q46" s="206"/>
      <c r="R46" s="1843"/>
      <c r="S46" s="1844"/>
      <c r="T46" s="1844"/>
      <c r="U46" s="1844"/>
      <c r="V46" s="1844"/>
      <c r="W46" s="1844"/>
      <c r="X46" s="1844"/>
      <c r="Y46" s="1844"/>
      <c r="Z46" s="1844"/>
      <c r="AA46" s="1844"/>
      <c r="AB46" s="1844"/>
      <c r="AC46" s="1845"/>
      <c r="AD46" s="561"/>
    </row>
    <row r="47" spans="1:30" ht="12.75" thickBot="1" x14ac:dyDescent="0.25">
      <c r="A47" s="552"/>
      <c r="B47" s="124" t="s">
        <v>39</v>
      </c>
      <c r="C47" s="569"/>
      <c r="D47" s="569"/>
      <c r="E47" s="569"/>
      <c r="F47" s="569"/>
      <c r="G47" s="569"/>
      <c r="H47" s="569"/>
      <c r="I47" s="1813"/>
      <c r="J47" s="1814"/>
      <c r="K47" s="1815"/>
      <c r="L47" s="206"/>
      <c r="M47" s="206"/>
      <c r="N47" s="206"/>
      <c r="O47" s="206"/>
      <c r="P47" s="206"/>
      <c r="Q47" s="206"/>
      <c r="R47" s="1846"/>
      <c r="S47" s="1847"/>
      <c r="T47" s="1847"/>
      <c r="U47" s="1847"/>
      <c r="V47" s="1847"/>
      <c r="W47" s="1847"/>
      <c r="X47" s="1847"/>
      <c r="Y47" s="1847"/>
      <c r="Z47" s="1847"/>
      <c r="AA47" s="1847"/>
      <c r="AB47" s="1847"/>
      <c r="AC47" s="1848"/>
      <c r="AD47" s="561"/>
    </row>
    <row r="48" spans="1:30" ht="12.75" thickTop="1" x14ac:dyDescent="0.2">
      <c r="A48" s="552"/>
      <c r="B48" s="125" t="s">
        <v>64</v>
      </c>
      <c r="C48" s="573">
        <f t="shared" ref="C48:H48" si="14">SUM(C39:C47)</f>
        <v>0</v>
      </c>
      <c r="D48" s="573">
        <f>SUM(D39:D47)</f>
        <v>0</v>
      </c>
      <c r="E48" s="573">
        <f t="shared" si="14"/>
        <v>0</v>
      </c>
      <c r="F48" s="573">
        <f t="shared" si="14"/>
        <v>0</v>
      </c>
      <c r="G48" s="573">
        <f t="shared" si="14"/>
        <v>0</v>
      </c>
      <c r="H48" s="573">
        <f t="shared" si="14"/>
        <v>0</v>
      </c>
      <c r="I48" s="1816"/>
      <c r="J48" s="1817"/>
      <c r="K48" s="1818"/>
      <c r="L48" s="206"/>
      <c r="M48" s="206"/>
      <c r="N48" s="206"/>
      <c r="O48" s="206"/>
      <c r="P48" s="206"/>
      <c r="Q48" s="206"/>
      <c r="R48" s="206"/>
      <c r="S48" s="206"/>
      <c r="T48" s="206"/>
      <c r="U48" s="206"/>
      <c r="V48" s="206"/>
      <c r="W48" s="206"/>
      <c r="X48" s="206"/>
      <c r="Y48" s="206"/>
      <c r="Z48" s="206"/>
      <c r="AA48" s="206"/>
      <c r="AB48" s="206"/>
      <c r="AC48" s="206"/>
      <c r="AD48" s="561"/>
    </row>
    <row r="49" spans="1:30" x14ac:dyDescent="0.2">
      <c r="A49" s="552"/>
      <c r="B49" s="277"/>
      <c r="C49" s="604"/>
      <c r="D49" s="604"/>
      <c r="E49" s="604"/>
      <c r="F49" s="604"/>
      <c r="G49" s="604"/>
      <c r="H49" s="604"/>
      <c r="I49" s="206"/>
      <c r="J49" s="206"/>
      <c r="K49" s="206"/>
      <c r="L49" s="206"/>
      <c r="M49" s="206"/>
      <c r="N49" s="206"/>
      <c r="O49" s="206"/>
      <c r="P49" s="206"/>
      <c r="Q49" s="206"/>
      <c r="R49" s="206"/>
      <c r="S49" s="206"/>
      <c r="T49" s="206"/>
      <c r="U49" s="206"/>
      <c r="V49" s="206"/>
      <c r="W49" s="206"/>
      <c r="X49" s="206"/>
      <c r="Y49" s="206"/>
      <c r="Z49" s="206"/>
      <c r="AA49" s="206"/>
      <c r="AB49" s="206"/>
      <c r="AC49" s="206"/>
      <c r="AD49" s="561"/>
    </row>
    <row r="50" spans="1:30" x14ac:dyDescent="0.2">
      <c r="A50" s="552"/>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561"/>
    </row>
    <row r="51" spans="1:30" x14ac:dyDescent="0.2">
      <c r="A51" s="552"/>
      <c r="B51" s="7"/>
      <c r="C51" s="7"/>
      <c r="D51" s="7"/>
      <c r="E51" s="7"/>
      <c r="F51" s="7"/>
      <c r="G51" s="7"/>
      <c r="H51" s="7"/>
      <c r="I51" s="7"/>
      <c r="J51" s="7"/>
      <c r="K51" s="7"/>
      <c r="L51" s="7"/>
      <c r="M51" s="7"/>
      <c r="N51" s="206"/>
      <c r="O51" s="206"/>
      <c r="P51" s="206"/>
      <c r="Q51" s="206"/>
      <c r="R51" s="206"/>
      <c r="S51" s="206"/>
      <c r="T51" s="206"/>
      <c r="U51" s="206"/>
      <c r="V51" s="206"/>
      <c r="W51" s="206"/>
      <c r="X51" s="206"/>
      <c r="Y51" s="206"/>
      <c r="Z51" s="206"/>
      <c r="AA51" s="206"/>
      <c r="AB51" s="206"/>
      <c r="AC51" s="206"/>
      <c r="AD51" s="561"/>
    </row>
    <row r="52" spans="1:30" x14ac:dyDescent="0.2">
      <c r="A52" s="552"/>
      <c r="B52" s="7"/>
      <c r="C52" s="7"/>
      <c r="D52" s="7"/>
      <c r="E52" s="7"/>
      <c r="F52" s="7"/>
      <c r="G52" s="7"/>
      <c r="H52" s="7"/>
      <c r="I52" s="7"/>
      <c r="J52" s="7"/>
      <c r="K52" s="7"/>
      <c r="L52" s="7"/>
      <c r="M52" s="7"/>
      <c r="N52" s="206"/>
      <c r="O52" s="206"/>
      <c r="P52" s="206"/>
      <c r="Q52" s="206"/>
      <c r="R52" s="206"/>
      <c r="S52" s="206"/>
      <c r="T52" s="206"/>
      <c r="U52" s="206"/>
      <c r="V52" s="206"/>
      <c r="W52" s="206"/>
      <c r="X52" s="206"/>
      <c r="Y52" s="206"/>
      <c r="Z52" s="206"/>
      <c r="AA52" s="206"/>
      <c r="AB52" s="206"/>
      <c r="AC52" s="206"/>
      <c r="AD52" s="561"/>
    </row>
    <row r="53" spans="1:30" x14ac:dyDescent="0.2">
      <c r="A53" s="552"/>
      <c r="B53" s="7"/>
      <c r="C53" s="7"/>
      <c r="D53" s="7"/>
      <c r="E53" s="7"/>
      <c r="F53" s="7"/>
      <c r="G53" s="7"/>
      <c r="H53" s="7"/>
      <c r="I53" s="7"/>
      <c r="J53" s="7"/>
      <c r="K53" s="7"/>
      <c r="L53" s="7"/>
      <c r="M53" s="7"/>
      <c r="N53" s="206"/>
      <c r="O53" s="206"/>
      <c r="P53" s="206"/>
      <c r="Q53" s="206"/>
      <c r="R53" s="206"/>
      <c r="S53" s="206"/>
      <c r="T53" s="206"/>
      <c r="U53" s="206"/>
      <c r="V53" s="206"/>
      <c r="W53" s="206"/>
      <c r="X53" s="206"/>
      <c r="Y53" s="206"/>
      <c r="Z53" s="206"/>
      <c r="AA53" s="206"/>
      <c r="AB53" s="206"/>
      <c r="AC53" s="206"/>
      <c r="AD53" s="561"/>
    </row>
    <row r="54" spans="1:30" x14ac:dyDescent="0.2">
      <c r="A54" s="552"/>
      <c r="B54" s="7"/>
      <c r="C54" s="7"/>
      <c r="D54" s="7"/>
      <c r="E54" s="7"/>
      <c r="F54" s="7"/>
      <c r="G54" s="7"/>
      <c r="H54" s="7"/>
      <c r="I54" s="7"/>
      <c r="J54" s="7"/>
      <c r="K54" s="7"/>
      <c r="L54" s="7"/>
      <c r="M54" s="7"/>
      <c r="N54" s="206"/>
      <c r="O54" s="206"/>
      <c r="P54" s="206"/>
      <c r="Q54" s="206"/>
      <c r="R54" s="206"/>
      <c r="S54" s="206"/>
      <c r="T54" s="206"/>
      <c r="U54" s="206"/>
      <c r="V54" s="206"/>
      <c r="W54" s="206"/>
      <c r="X54" s="206"/>
      <c r="Y54" s="206"/>
      <c r="Z54" s="206"/>
      <c r="AA54" s="206"/>
      <c r="AB54" s="206"/>
      <c r="AC54" s="206"/>
      <c r="AD54" s="561"/>
    </row>
    <row r="55" spans="1:30" x14ac:dyDescent="0.2">
      <c r="A55" s="552"/>
      <c r="B55" s="7"/>
      <c r="C55" s="7"/>
      <c r="D55" s="7"/>
      <c r="E55" s="7"/>
      <c r="F55" s="7"/>
      <c r="G55" s="7"/>
      <c r="H55" s="7"/>
      <c r="I55" s="7"/>
      <c r="J55" s="7"/>
      <c r="K55" s="7"/>
      <c r="L55" s="7"/>
      <c r="M55" s="7"/>
      <c r="N55" s="206"/>
      <c r="O55" s="206"/>
      <c r="P55" s="206"/>
      <c r="Q55" s="206"/>
      <c r="R55" s="206"/>
      <c r="S55" s="206"/>
      <c r="T55" s="206"/>
      <c r="U55" s="206"/>
      <c r="V55" s="206"/>
      <c r="W55" s="206"/>
      <c r="X55" s="206"/>
      <c r="Y55" s="206"/>
      <c r="Z55" s="206"/>
      <c r="AA55" s="206"/>
      <c r="AB55" s="206"/>
      <c r="AC55" s="206"/>
      <c r="AD55" s="561"/>
    </row>
    <row r="56" spans="1:30" x14ac:dyDescent="0.2">
      <c r="A56" s="552"/>
      <c r="B56" s="7"/>
      <c r="C56" s="7"/>
      <c r="D56" s="7"/>
      <c r="E56" s="7"/>
      <c r="F56" s="7"/>
      <c r="G56" s="7"/>
      <c r="H56" s="7"/>
      <c r="I56" s="7"/>
      <c r="J56" s="7"/>
      <c r="K56" s="7"/>
      <c r="L56" s="7"/>
      <c r="M56" s="7"/>
      <c r="N56" s="206"/>
      <c r="O56" s="206"/>
      <c r="P56" s="206"/>
      <c r="Q56" s="206"/>
      <c r="R56" s="206"/>
      <c r="S56" s="206"/>
      <c r="T56" s="206"/>
      <c r="U56" s="206"/>
      <c r="V56" s="206"/>
      <c r="W56" s="206"/>
      <c r="X56" s="206"/>
      <c r="Y56" s="206"/>
      <c r="Z56" s="206"/>
      <c r="AA56" s="206"/>
      <c r="AB56" s="206"/>
      <c r="AC56" s="206"/>
      <c r="AD56" s="561"/>
    </row>
    <row r="57" spans="1:30" x14ac:dyDescent="0.2">
      <c r="A57" s="552"/>
      <c r="B57" s="7"/>
      <c r="C57" s="7"/>
      <c r="D57" s="7"/>
      <c r="E57" s="7"/>
      <c r="F57" s="7"/>
      <c r="G57" s="7"/>
      <c r="H57" s="7"/>
      <c r="I57" s="7"/>
      <c r="J57" s="7"/>
      <c r="K57" s="7"/>
      <c r="L57" s="7"/>
      <c r="M57" s="7"/>
      <c r="N57" s="206"/>
      <c r="O57" s="206"/>
      <c r="P57" s="206"/>
      <c r="Q57" s="206"/>
      <c r="R57" s="206"/>
      <c r="S57" s="206"/>
      <c r="T57" s="206"/>
      <c r="U57" s="206"/>
      <c r="V57" s="206"/>
      <c r="W57" s="206"/>
      <c r="X57" s="206"/>
      <c r="Y57" s="206"/>
      <c r="Z57" s="206"/>
      <c r="AA57" s="206"/>
      <c r="AB57" s="206"/>
      <c r="AC57" s="206"/>
      <c r="AD57" s="561"/>
    </row>
    <row r="58" spans="1:30" x14ac:dyDescent="0.2">
      <c r="A58" s="552"/>
      <c r="B58" s="7"/>
      <c r="C58" s="7"/>
      <c r="D58" s="7"/>
      <c r="E58" s="7"/>
      <c r="F58" s="7"/>
      <c r="G58" s="7"/>
      <c r="H58" s="7"/>
      <c r="I58" s="7"/>
      <c r="J58" s="7"/>
      <c r="K58" s="7"/>
      <c r="L58" s="7"/>
      <c r="M58" s="7"/>
      <c r="N58" s="206"/>
      <c r="O58" s="206"/>
      <c r="P58" s="206"/>
      <c r="Q58" s="206"/>
      <c r="R58" s="206"/>
      <c r="S58" s="206"/>
      <c r="T58" s="206"/>
      <c r="U58" s="206"/>
      <c r="V58" s="206"/>
      <c r="W58" s="206"/>
      <c r="X58" s="206"/>
      <c r="Y58" s="206"/>
      <c r="Z58" s="206"/>
      <c r="AA58" s="206"/>
      <c r="AB58" s="206"/>
      <c r="AC58" s="206"/>
      <c r="AD58" s="561"/>
    </row>
    <row r="59" spans="1:30" x14ac:dyDescent="0.2">
      <c r="A59" s="552"/>
      <c r="B59" s="7"/>
      <c r="C59" s="7"/>
      <c r="D59" s="7"/>
      <c r="E59" s="7"/>
      <c r="F59" s="7"/>
      <c r="G59" s="7"/>
      <c r="H59" s="7"/>
      <c r="I59" s="7"/>
      <c r="J59" s="7"/>
      <c r="K59" s="7"/>
      <c r="L59" s="7"/>
      <c r="M59" s="7"/>
      <c r="N59" s="206"/>
      <c r="O59" s="206"/>
      <c r="P59" s="206"/>
      <c r="Q59" s="206"/>
      <c r="R59" s="206"/>
      <c r="S59" s="206"/>
      <c r="T59" s="206"/>
      <c r="U59" s="206"/>
      <c r="V59" s="206"/>
      <c r="W59" s="206"/>
      <c r="X59" s="206"/>
      <c r="Y59" s="206"/>
      <c r="Z59" s="206"/>
      <c r="AA59" s="206"/>
      <c r="AB59" s="206"/>
      <c r="AC59" s="206"/>
      <c r="AD59" s="561"/>
    </row>
    <row r="60" spans="1:30" x14ac:dyDescent="0.2">
      <c r="A60" s="552"/>
      <c r="B60" s="7"/>
      <c r="C60" s="7"/>
      <c r="D60" s="7"/>
      <c r="E60" s="7"/>
      <c r="F60" s="7"/>
      <c r="G60" s="7"/>
      <c r="H60" s="7"/>
      <c r="I60" s="7"/>
      <c r="J60" s="7"/>
      <c r="K60" s="7"/>
      <c r="L60" s="7"/>
      <c r="M60" s="7"/>
      <c r="N60" s="206"/>
      <c r="O60" s="206"/>
      <c r="P60" s="206"/>
      <c r="Q60" s="206"/>
      <c r="R60" s="206"/>
      <c r="S60" s="206"/>
      <c r="T60" s="206"/>
      <c r="U60" s="206"/>
      <c r="V60" s="206"/>
      <c r="W60" s="206"/>
      <c r="X60" s="206"/>
      <c r="Y60" s="206"/>
      <c r="Z60" s="206"/>
      <c r="AA60" s="206"/>
      <c r="AB60" s="206"/>
      <c r="AC60" s="206"/>
      <c r="AD60" s="561"/>
    </row>
    <row r="61" spans="1:30" x14ac:dyDescent="0.2">
      <c r="A61" s="552"/>
      <c r="B61" s="7"/>
      <c r="C61" s="7"/>
      <c r="D61" s="7"/>
      <c r="E61" s="7"/>
      <c r="F61" s="7"/>
      <c r="G61" s="7"/>
      <c r="H61" s="7"/>
      <c r="I61" s="7"/>
      <c r="J61" s="7"/>
      <c r="K61" s="7"/>
      <c r="L61" s="7"/>
      <c r="M61" s="7"/>
      <c r="N61" s="206"/>
      <c r="O61" s="206"/>
      <c r="P61" s="206"/>
      <c r="Q61" s="206"/>
      <c r="R61" s="206"/>
      <c r="S61" s="206"/>
      <c r="T61" s="206"/>
      <c r="U61" s="206"/>
      <c r="V61" s="206"/>
      <c r="W61" s="206"/>
      <c r="X61" s="206"/>
      <c r="Y61" s="206"/>
      <c r="Z61" s="206"/>
      <c r="AA61" s="206"/>
      <c r="AB61" s="206"/>
      <c r="AC61" s="206"/>
      <c r="AD61" s="561"/>
    </row>
    <row r="62" spans="1:30" x14ac:dyDescent="0.2">
      <c r="A62" s="552"/>
      <c r="B62" s="7"/>
      <c r="C62" s="7"/>
      <c r="D62" s="7"/>
      <c r="E62" s="7"/>
      <c r="F62" s="7"/>
      <c r="G62" s="7"/>
      <c r="H62" s="7"/>
      <c r="I62" s="7"/>
      <c r="J62" s="7"/>
      <c r="K62" s="7"/>
      <c r="L62" s="7"/>
      <c r="M62" s="7"/>
      <c r="N62" s="206"/>
      <c r="O62" s="206"/>
      <c r="P62" s="206"/>
      <c r="Q62" s="206"/>
      <c r="R62" s="206"/>
      <c r="S62" s="206"/>
      <c r="T62" s="206"/>
      <c r="U62" s="206"/>
      <c r="V62" s="206"/>
      <c r="W62" s="206"/>
      <c r="X62" s="206"/>
      <c r="Y62" s="206"/>
      <c r="Z62" s="206"/>
      <c r="AA62" s="206"/>
      <c r="AB62" s="206"/>
      <c r="AC62" s="206"/>
      <c r="AD62" s="561"/>
    </row>
    <row r="63" spans="1:30" x14ac:dyDescent="0.2">
      <c r="A63" s="552"/>
      <c r="B63" s="7"/>
      <c r="C63" s="7"/>
      <c r="D63" s="7"/>
      <c r="E63" s="7"/>
      <c r="F63" s="7"/>
      <c r="G63" s="7"/>
      <c r="H63" s="7"/>
      <c r="I63" s="7"/>
      <c r="J63" s="7"/>
      <c r="K63" s="7"/>
      <c r="L63" s="7"/>
      <c r="M63" s="7"/>
      <c r="N63" s="206"/>
      <c r="O63" s="206"/>
      <c r="P63" s="206"/>
      <c r="Q63" s="206"/>
      <c r="R63" s="206"/>
      <c r="S63" s="206"/>
      <c r="T63" s="206"/>
      <c r="U63" s="206"/>
      <c r="V63" s="206"/>
      <c r="W63" s="206"/>
      <c r="X63" s="206"/>
      <c r="Y63" s="206"/>
      <c r="Z63" s="206"/>
      <c r="AA63" s="206"/>
      <c r="AB63" s="206"/>
      <c r="AC63" s="206"/>
      <c r="AD63" s="561"/>
    </row>
    <row r="64" spans="1:30" x14ac:dyDescent="0.2">
      <c r="A64" s="552"/>
      <c r="B64" s="7"/>
      <c r="C64" s="7"/>
      <c r="D64" s="7"/>
      <c r="E64" s="7"/>
      <c r="F64" s="7"/>
      <c r="G64" s="7"/>
      <c r="H64" s="7"/>
      <c r="I64" s="7"/>
      <c r="J64" s="7"/>
      <c r="K64" s="7"/>
      <c r="L64" s="7"/>
      <c r="M64" s="7"/>
      <c r="N64" s="206"/>
      <c r="O64" s="206"/>
      <c r="P64" s="206"/>
      <c r="Q64" s="206"/>
      <c r="R64" s="206"/>
      <c r="S64" s="206"/>
      <c r="T64" s="206"/>
      <c r="U64" s="206"/>
      <c r="V64" s="206"/>
      <c r="W64" s="206"/>
      <c r="X64" s="206"/>
      <c r="Y64" s="206"/>
      <c r="Z64" s="206"/>
      <c r="AA64" s="206"/>
      <c r="AB64" s="206"/>
      <c r="AC64" s="206"/>
      <c r="AD64" s="561"/>
    </row>
    <row r="65" spans="1:30" x14ac:dyDescent="0.2">
      <c r="A65" s="552"/>
      <c r="B65" s="7"/>
      <c r="C65" s="7"/>
      <c r="D65" s="7"/>
      <c r="E65" s="7"/>
      <c r="F65" s="7"/>
      <c r="G65" s="7"/>
      <c r="H65" s="7"/>
      <c r="I65" s="7"/>
      <c r="J65" s="7"/>
      <c r="K65" s="7"/>
      <c r="L65" s="7"/>
      <c r="M65" s="7"/>
      <c r="N65" s="206"/>
      <c r="O65" s="206"/>
      <c r="P65" s="206"/>
      <c r="Q65" s="206"/>
      <c r="R65" s="206"/>
      <c r="S65" s="206"/>
      <c r="T65" s="206"/>
      <c r="U65" s="206"/>
      <c r="V65" s="206"/>
      <c r="W65" s="206"/>
      <c r="X65" s="206"/>
      <c r="Y65" s="206"/>
      <c r="Z65" s="206"/>
      <c r="AA65" s="206"/>
      <c r="AB65" s="206"/>
      <c r="AC65" s="206"/>
      <c r="AD65" s="561"/>
    </row>
    <row r="66" spans="1:30" x14ac:dyDescent="0.2">
      <c r="A66" s="552"/>
      <c r="B66" s="7"/>
      <c r="C66" s="7"/>
      <c r="D66" s="7"/>
      <c r="E66" s="7"/>
      <c r="F66" s="7"/>
      <c r="G66" s="7"/>
      <c r="H66" s="7"/>
      <c r="I66" s="7"/>
      <c r="J66" s="7"/>
      <c r="K66" s="7"/>
      <c r="L66" s="7"/>
      <c r="M66" s="7"/>
      <c r="N66" s="206"/>
      <c r="O66" s="206"/>
      <c r="P66" s="206"/>
      <c r="Q66" s="206"/>
      <c r="R66" s="206"/>
      <c r="S66" s="206"/>
      <c r="T66" s="206"/>
      <c r="U66" s="206"/>
      <c r="V66" s="206"/>
      <c r="W66" s="206"/>
      <c r="X66" s="206"/>
      <c r="Y66" s="206"/>
      <c r="Z66" s="206"/>
      <c r="AA66" s="206"/>
      <c r="AB66" s="206"/>
      <c r="AC66" s="206"/>
      <c r="AD66" s="561"/>
    </row>
    <row r="67" spans="1:30" x14ac:dyDescent="0.2">
      <c r="A67" s="552"/>
      <c r="B67" s="206"/>
      <c r="C67" s="206"/>
      <c r="D67" s="206"/>
      <c r="E67" s="206"/>
      <c r="F67" s="206"/>
      <c r="G67" s="206"/>
      <c r="H67" s="206"/>
      <c r="I67" s="206"/>
      <c r="J67" s="206"/>
      <c r="K67" s="206"/>
      <c r="L67" s="206"/>
      <c r="M67" s="206"/>
      <c r="N67" s="206"/>
      <c r="O67" s="206"/>
      <c r="P67" s="206"/>
      <c r="Q67" s="206"/>
      <c r="R67" s="206"/>
      <c r="S67" s="206"/>
      <c r="T67" s="206"/>
      <c r="U67" s="206"/>
      <c r="V67" s="206"/>
      <c r="W67" s="206"/>
      <c r="X67" s="206"/>
      <c r="Y67" s="206"/>
      <c r="Z67" s="206"/>
      <c r="AA67" s="206"/>
      <c r="AB67" s="206"/>
      <c r="AC67" s="206"/>
      <c r="AD67" s="561"/>
    </row>
    <row r="68" spans="1:30" ht="12.75" thickBot="1" x14ac:dyDescent="0.25">
      <c r="A68" s="605"/>
      <c r="B68" s="606"/>
      <c r="C68" s="606"/>
      <c r="D68" s="606"/>
      <c r="E68" s="606"/>
      <c r="F68" s="606"/>
      <c r="G68" s="606"/>
      <c r="H68" s="606"/>
      <c r="I68" s="606"/>
      <c r="J68" s="606"/>
      <c r="K68" s="606"/>
      <c r="L68" s="606"/>
      <c r="M68" s="606"/>
      <c r="N68" s="606"/>
      <c r="O68" s="606"/>
      <c r="P68" s="606"/>
      <c r="Q68" s="606"/>
      <c r="R68" s="606"/>
      <c r="S68" s="606"/>
      <c r="T68" s="606"/>
      <c r="U68" s="606"/>
      <c r="V68" s="606"/>
      <c r="W68" s="606"/>
      <c r="X68" s="606"/>
      <c r="Y68" s="606"/>
      <c r="Z68" s="606"/>
      <c r="AA68" s="606"/>
      <c r="AB68" s="606"/>
      <c r="AC68" s="606"/>
      <c r="AD68" s="607"/>
    </row>
    <row r="69" spans="1:30" ht="12.75" thickTop="1" x14ac:dyDescent="0.2"/>
  </sheetData>
  <sheetProtection password="CC14" sheet="1" objects="1" scenarios="1"/>
  <mergeCells count="35">
    <mergeCell ref="G6:H6"/>
    <mergeCell ref="G7:H7"/>
    <mergeCell ref="G8:H8"/>
    <mergeCell ref="G2:H2"/>
    <mergeCell ref="G3:H3"/>
    <mergeCell ref="G4:H4"/>
    <mergeCell ref="G5:H5"/>
    <mergeCell ref="G1:K1"/>
    <mergeCell ref="I45:K48"/>
    <mergeCell ref="C25:I25"/>
    <mergeCell ref="L9:M9"/>
    <mergeCell ref="R13:AC22"/>
    <mergeCell ref="R25:AC34"/>
    <mergeCell ref="R38:AC47"/>
    <mergeCell ref="L25:M25"/>
    <mergeCell ref="L13:M13"/>
    <mergeCell ref="C13:I13"/>
    <mergeCell ref="G9:H9"/>
    <mergeCell ref="G10:H10"/>
    <mergeCell ref="L10:M10"/>
    <mergeCell ref="D1:E1"/>
    <mergeCell ref="W8:X8"/>
    <mergeCell ref="L5:M5"/>
    <mergeCell ref="W2:X2"/>
    <mergeCell ref="L6:M6"/>
    <mergeCell ref="L7:M7"/>
    <mergeCell ref="L8:M8"/>
    <mergeCell ref="L2:M2"/>
    <mergeCell ref="L3:M3"/>
    <mergeCell ref="L4:M4"/>
    <mergeCell ref="W7:X7"/>
    <mergeCell ref="W3:X3"/>
    <mergeCell ref="W4:X4"/>
    <mergeCell ref="W5:X5"/>
    <mergeCell ref="W6:X6"/>
  </mergeCells>
  <phoneticPr fontId="0" type="noConversion"/>
  <printOptions horizontalCentered="1"/>
  <pageMargins left="0.75" right="0.75" top="1" bottom="1" header="0.5" footer="0.5"/>
  <pageSetup scale="70" orientation="portrait"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12</vt:i4>
      </vt:variant>
    </vt:vector>
  </HeadingPairs>
  <TitlesOfParts>
    <vt:vector size="39" baseType="lpstr">
      <vt:lpstr>Cover</vt:lpstr>
      <vt:lpstr>Primary Input</vt:lpstr>
      <vt:lpstr>Lists</vt:lpstr>
      <vt:lpstr>Underwriting</vt:lpstr>
      <vt:lpstr>Eligibility</vt:lpstr>
      <vt:lpstr>Types of Housing</vt:lpstr>
      <vt:lpstr>Development Team</vt:lpstr>
      <vt:lpstr>Financial Considerations</vt:lpstr>
      <vt:lpstr>Rental Income</vt:lpstr>
      <vt:lpstr>Utility Allowance</vt:lpstr>
      <vt:lpstr>Leverage</vt:lpstr>
      <vt:lpstr>Rehab or New Construction</vt:lpstr>
      <vt:lpstr>Loan Information</vt:lpstr>
      <vt:lpstr>Amortization</vt:lpstr>
      <vt:lpstr>Sources and Uses</vt:lpstr>
      <vt:lpstr>Pro Forma Calculation</vt:lpstr>
      <vt:lpstr>Pro Forma</vt:lpstr>
      <vt:lpstr>Properties</vt:lpstr>
      <vt:lpstr>Project Schedule</vt:lpstr>
      <vt:lpstr>Competitive Scorig</vt:lpstr>
      <vt:lpstr>Completed Projects</vt:lpstr>
      <vt:lpstr>Certification</vt:lpstr>
      <vt:lpstr>Funing and Units Instructions</vt:lpstr>
      <vt:lpstr>Funding and Units Worksheet</vt:lpstr>
      <vt:lpstr>Checklist &amp; Application Order</vt:lpstr>
      <vt:lpstr>SLR</vt:lpstr>
      <vt:lpstr>2018 Rents</vt:lpstr>
      <vt:lpstr>'Competitive Scorig'!OLE_LINK1</vt:lpstr>
      <vt:lpstr>'Checklist &amp; Application Order'!Print_Area</vt:lpstr>
      <vt:lpstr>'Competitive Scorig'!Print_Area</vt:lpstr>
      <vt:lpstr>Cover!Print_Area</vt:lpstr>
      <vt:lpstr>'Development Team'!Print_Area</vt:lpstr>
      <vt:lpstr>Eligibility!Print_Area</vt:lpstr>
      <vt:lpstr>Leverage!Print_Area</vt:lpstr>
      <vt:lpstr>'Loan Information'!Print_Area</vt:lpstr>
      <vt:lpstr>'Primary Input'!Print_Area</vt:lpstr>
      <vt:lpstr>'Pro Forma Calculation'!Print_Area</vt:lpstr>
      <vt:lpstr>'Rental Income'!Print_Area</vt:lpstr>
      <vt:lpstr>'Sources and Uses'!Print_Area</vt:lpstr>
    </vt:vector>
  </TitlesOfParts>
  <Company>Parkin Financial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Parkin</dc:creator>
  <cp:lastModifiedBy>Robert McNeese</cp:lastModifiedBy>
  <cp:lastPrinted>2016-06-13T15:37:51Z</cp:lastPrinted>
  <dcterms:created xsi:type="dcterms:W3CDTF">2008-03-06T16:24:03Z</dcterms:created>
  <dcterms:modified xsi:type="dcterms:W3CDTF">2019-02-14T16:03:09Z</dcterms:modified>
</cp:coreProperties>
</file>